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5059AB9E-1C7F-4D61-900A-A9C576D226E0}" xr6:coauthVersionLast="47" xr6:coauthVersionMax="47" xr10:uidLastSave="{00000000-0000-0000-0000-000000000000}"/>
  <bookViews>
    <workbookView xWindow="1170" yWindow="1170" windowWidth="24555" windowHeight="14250" activeTab="1" xr2:uid="{00000000-000D-0000-FFFF-FFFF00000000}"/>
  </bookViews>
  <sheets>
    <sheet name="sample" sheetId="1" r:id="rId1"/>
    <sheet name="Sheet1" sheetId="2" r:id="rId2"/>
  </sheets>
  <definedNames>
    <definedName name="_xlnm._FilterDatabase" localSheetId="0" hidden="1">sample!$A$1:$J$11</definedName>
  </definedNames>
  <calcPr calcId="191029"/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</calcChain>
</file>

<file path=xl/sharedStrings.xml><?xml version="1.0" encoding="utf-8"?>
<sst xmlns="http://schemas.openxmlformats.org/spreadsheetml/2006/main" count="9505" uniqueCount="6553">
  <si>
    <t>国名</t>
  </si>
  <si>
    <t>公告期</t>
  </si>
  <si>
    <t>発表日</t>
  </si>
  <si>
    <t>商標番号</t>
  </si>
  <si>
    <t>商標名称</t>
  </si>
  <si>
    <t>商標名称J</t>
  </si>
  <si>
    <t>申請人</t>
  </si>
  <si>
    <t>商品</t>
  </si>
  <si>
    <t>申請日</t>
  </si>
  <si>
    <t>No.</t>
    <phoneticPr fontId="1"/>
  </si>
  <si>
    <t>中国</t>
  </si>
  <si>
    <t>LEVRIER</t>
  </si>
  <si>
    <t>乔安妮欧文有限公司</t>
  </si>
  <si>
    <t>葡萄酒</t>
  </si>
  <si>
    <t>初壹食午</t>
  </si>
  <si>
    <t>初壱食午</t>
  </si>
  <si>
    <t>重庆初壹食午食品科技有限公司</t>
  </si>
  <si>
    <t>果酒（含酒精）; 开胃酒; 鸡尾酒; 葡萄酒; 佐餐酒; 米酒; 黄酒; 白酒; 高粱酒; 酒精饮料原汁</t>
  </si>
  <si>
    <t>洒客义 SAKIY</t>
  </si>
  <si>
    <t>灑客義 SAKIY</t>
  </si>
  <si>
    <t>乌鲁木齐洒福琴农业科技开发有限公司</t>
  </si>
  <si>
    <t>绵宴</t>
  </si>
  <si>
    <t>綿宴</t>
  </si>
  <si>
    <t>四川绵竹剑南春酒厂有限公司</t>
  </si>
  <si>
    <t>果酒（含酒精）; 葡萄酒; 烈酒（饮料）; 酒精饮料浓缩汁; 酒精饮料（啤酒除外）; 含水果酒精饮料; 米酒; 黄酒; 烧酒; 白酒</t>
  </si>
  <si>
    <t>孑台</t>
  </si>
  <si>
    <t>贵州卓丰酒业有限公司</t>
  </si>
  <si>
    <t>葡萄酒; 蜂蜜酒; 樱桃酒; 白兰地; 米酒; 黄酒; 食用酒精; 烧酒; 开胃酒; 鸡尾酒</t>
  </si>
  <si>
    <t>荆江</t>
  </si>
  <si>
    <t>湖北荆江源车桥有限责任公司</t>
  </si>
  <si>
    <t>鸡尾酒; 食用酒精; 伏特加酒; 米酒; 葡萄酒; 果酒（含酒精）; 含水果酒精饮料; 烈酒（饮料）; 威士忌; 白酒</t>
  </si>
  <si>
    <t>三宝乐</t>
  </si>
  <si>
    <t>三宝楽</t>
  </si>
  <si>
    <t>三宝乐持株株式会社</t>
  </si>
  <si>
    <t>汽酒; 果酒（含酒精）; 烈酒（饮料）; 烧酒; 梅酒; 鸡尾酒; 酒精饮料（啤酒除外）; 葡萄酒; 威士忌; 利口酒</t>
  </si>
  <si>
    <t>虞酿</t>
  </si>
  <si>
    <t>虞醸</t>
  </si>
  <si>
    <t>安徽徽农生态食品有限公司</t>
  </si>
  <si>
    <t>白酒; 红葡萄酒; 米酒; 黄酒; 食用酒精; 蒸煮提取物（利口酒和烈酒）; 烈酒; 果酒; 已调味的蒸馏酒; 开胃酒</t>
  </si>
  <si>
    <t>杏竹青</t>
  </si>
  <si>
    <t>张陶然</t>
  </si>
  <si>
    <t>白酒; 蒸馏饮料; 蜂蜜酒; 米酒; 烧酒; 果酒（含酒精）; 开胃酒; 葡萄酒; 黄酒; 含酒精的水果鸡尾酒饮料</t>
  </si>
  <si>
    <t>LAO DAO</t>
  </si>
  <si>
    <t>王宾</t>
  </si>
  <si>
    <t>果酒（含酒精）; 含水果酒精饮料; 朗姆酒; 伏特加酒; 白酒; 烧酒; 威士忌; 蜂蜜酒; 白兰地; 苹果酒</t>
  </si>
  <si>
    <t>米酒; 青稞酒; 白酒; 酒精饮料原汁; 薄荷酒; 茴香酒（利口酒）; 威士忌; 烈性干酒</t>
  </si>
  <si>
    <t>侍魂</t>
  </si>
  <si>
    <t>日商SNK股份有限公司</t>
  </si>
  <si>
    <r>
      <t>白酒; 清酒（日本米酒）;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</si>
  <si>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酱缘</t>
  </si>
  <si>
    <r>
      <t>王</t>
    </r>
    <r>
      <rPr>
        <sz val="11"/>
        <color theme="1"/>
        <rFont val="ＭＳ Ｐゴシック"/>
        <family val="3"/>
        <charset val="134"/>
        <scheme val="minor"/>
      </rPr>
      <t>买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</si>
  <si>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黄酒; 白酒; 食用酒精;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</t>
    </r>
  </si>
  <si>
    <t>乌凤</t>
  </si>
  <si>
    <r>
      <t>河北取舍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</si>
  <si>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葡萄酒;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高粱酒; 露酒; 白酒</t>
    </r>
  </si>
  <si>
    <t>VIMI</t>
  </si>
  <si>
    <t>天方控股有限公司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</si>
  <si>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威士忌; 伏特加酒; 利口酒</t>
    </r>
  </si>
  <si>
    <r>
      <t>川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醉</t>
    </r>
  </si>
  <si>
    <t>李广文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</si>
  <si>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</si>
  <si>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台昆</t>
  </si>
  <si>
    <r>
      <t>周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清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</si>
  <si>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白酒; 果酒;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</si>
  <si>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偕酒 金婚之喜</t>
  </si>
  <si>
    <r>
      <t>新吴区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山青俊家政服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</si>
  <si>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</si>
  <si>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一品珍</t>
    </r>
    <r>
      <rPr>
        <sz val="11"/>
        <color theme="1"/>
        <rFont val="ＭＳ Ｐゴシック"/>
        <family val="3"/>
        <charset val="134"/>
        <scheme val="minor"/>
      </rPr>
      <t>鹤</t>
    </r>
  </si>
  <si>
    <r>
      <t>北京珍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</si>
  <si>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黄酒;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米酒; 清酒; 高粱酒; 烈酒</t>
    </r>
  </si>
  <si>
    <r>
      <t xml:space="preserve">1664 </t>
    </r>
    <r>
      <rPr>
        <sz val="11"/>
        <color theme="1"/>
        <rFont val="ＭＳ Ｐゴシック"/>
        <family val="3"/>
        <charset val="134"/>
        <scheme val="minor"/>
      </rPr>
      <t>槟</t>
    </r>
    <r>
      <rPr>
        <sz val="11"/>
        <color theme="1"/>
        <rFont val="ＭＳ Ｐゴシック"/>
        <family val="3"/>
        <charset val="128"/>
        <scheme val="minor"/>
      </rPr>
      <t>悦</t>
    </r>
  </si>
  <si>
    <r>
      <t>冠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堡公司</t>
    </r>
  </si>
  <si>
    <r>
      <t>薄荷酒; 果酒（含酒精）; 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</si>
  <si>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THE GLENLIVET THE SAMPLE ROOM COLLECTION</t>
  </si>
  <si>
    <r>
      <t>英国格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里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特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</si>
  <si>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</si>
  <si>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图</t>
    </r>
    <r>
      <rPr>
        <sz val="11"/>
        <color theme="1"/>
        <rFont val="ＭＳ Ｐゴシック"/>
        <family val="3"/>
        <charset val="128"/>
        <scheme val="minor"/>
      </rPr>
      <t>形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</si>
  <si>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州情景国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</si>
  <si>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BVLGARI</t>
  </si>
  <si>
    <r>
      <t>宝格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</si>
  <si>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利口酒;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</si>
  <si>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青山梦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</si>
  <si>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州零启酒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</si>
  <si>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</si>
  <si>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MITU</t>
  </si>
  <si>
    <r>
      <t>小米科技有限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</si>
  <si>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</si>
  <si>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TORABIKA</t>
  </si>
  <si>
    <r>
      <t>爱</t>
    </r>
    <r>
      <rPr>
        <sz val="11"/>
        <color theme="1"/>
        <rFont val="ＭＳ Ｐゴシック"/>
        <family val="3"/>
        <charset val="128"/>
        <scheme val="minor"/>
      </rPr>
      <t>利特黄金（上海）有限公司</t>
    </r>
  </si>
  <si>
    <r>
      <t>咖啡利口酒; 米酒; 白酒; 葡萄酒;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</t>
    </r>
  </si>
  <si>
    <t>CECILIA YAU COUTURE</t>
  </si>
  <si>
    <t>丘雪祺</t>
  </si>
  <si>
    <r>
      <t>果酒（含酒精）; 利口酒; 清酒（日本米酒）; 米酒;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食用酒精</t>
    </r>
  </si>
  <si>
    <r>
      <t>兴顺</t>
    </r>
    <r>
      <rPr>
        <sz val="11"/>
        <color theme="1"/>
        <rFont val="ＭＳ Ｐゴシック"/>
        <family val="3"/>
        <charset val="128"/>
        <scheme val="minor"/>
      </rPr>
      <t>昌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</si>
  <si>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州市五禾源酒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</si>
  <si>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</si>
  <si>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RADIAN</t>
  </si>
  <si>
    <r>
      <t>剑</t>
    </r>
    <r>
      <rPr>
        <sz val="11"/>
        <color theme="1"/>
        <rFont val="ＭＳ Ｐゴシック"/>
        <family val="3"/>
        <charset val="128"/>
        <scheme val="minor"/>
      </rPr>
      <t>柄有限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</si>
  <si>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</t>
    </r>
  </si>
  <si>
    <r>
      <t>克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心有限公司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</si>
  <si>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薄荷酒; 朗姆酒; 伏特加酒;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白酒</t>
    </r>
  </si>
  <si>
    <t>浪漫今生</t>
  </si>
  <si>
    <r>
      <t>弥勒</t>
    </r>
    <r>
      <rPr>
        <sz val="11"/>
        <color theme="1"/>
        <rFont val="ＭＳ Ｐゴシック"/>
        <family val="3"/>
        <charset val="134"/>
        <scheme val="minor"/>
      </rPr>
      <t>东风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地葡萄酒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</si>
  <si>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青稞酒; 黄酒</t>
    </r>
  </si>
  <si>
    <t>古藏台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</si>
  <si>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州研牌酒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</si>
  <si>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</si>
  <si>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晋粮福</t>
  </si>
  <si>
    <r>
      <t>山西粮投粮油集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</si>
  <si>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</si>
  <si>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THE MONTEREY VINEYARD</t>
  </si>
  <si>
    <r>
      <t>富豪酒庄及</t>
    </r>
    <r>
      <rPr>
        <sz val="11"/>
        <color theme="1"/>
        <rFont val="ＭＳ Ｐゴシック"/>
        <family val="3"/>
        <charset val="134"/>
        <scheme val="minor"/>
      </rPr>
      <t>产业</t>
    </r>
  </si>
  <si>
    <r>
      <t>葡萄汽酒;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加烈葡萄酒;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</si>
  <si>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年宗 36</t>
  </si>
  <si>
    <r>
      <t>上海妥瑞文化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</si>
  <si>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t>FRESHIPPO HARVEST</t>
  </si>
  <si>
    <r>
      <t>盒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（中国）有限公司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</si>
  <si>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米酒;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</si>
  <si>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 xml:space="preserve">SCOF 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曲</t>
    </r>
  </si>
  <si>
    <r>
      <t>四川省外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粮油食品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</si>
  <si>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</t>
    </r>
  </si>
  <si>
    <t>胆小鬼</t>
  </si>
  <si>
    <r>
      <t>吉威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</si>
  <si>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</si>
  <si>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授酒 古大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年份古</t>
    </r>
  </si>
  <si>
    <r>
      <t>情景国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</si>
  <si>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JDP</t>
  </si>
  <si>
    <r>
      <t>北京京</t>
    </r>
    <r>
      <rPr>
        <sz val="11"/>
        <color theme="1"/>
        <rFont val="ＭＳ Ｐゴシック"/>
        <family val="3"/>
        <charset val="134"/>
        <scheme val="minor"/>
      </rPr>
      <t>东叁</t>
    </r>
    <r>
      <rPr>
        <sz val="11"/>
        <color theme="1"/>
        <rFont val="ＭＳ Ｐゴシック"/>
        <family val="3"/>
        <charset val="128"/>
        <scheme val="minor"/>
      </rPr>
      <t>佰</t>
    </r>
    <r>
      <rPr>
        <sz val="11"/>
        <color theme="1"/>
        <rFont val="ＭＳ Ｐゴシック"/>
        <family val="3"/>
        <charset val="134"/>
        <scheme val="minor"/>
      </rPr>
      <t>陆</t>
    </r>
    <r>
      <rPr>
        <sz val="11"/>
        <color theme="1"/>
        <rFont val="ＭＳ Ｐゴシック"/>
        <family val="3"/>
        <charset val="128"/>
        <scheme val="minor"/>
      </rPr>
      <t>拾度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</si>
  <si>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</si>
  <si>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滴天髓</t>
  </si>
  <si>
    <r>
      <t>河南滴天髓酒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</si>
  <si>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开胃酒; 果酒（含酒精）; 食用酒精; 白酒; 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</si>
  <si>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零食妹妹</t>
  </si>
  <si>
    <t>杭州超达食品有限公司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</si>
  <si>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水果汽酒; 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</si>
  <si>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心入水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</si>
  <si>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江小白酒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</si>
  <si>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</si>
  <si>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湘将</t>
  </si>
  <si>
    <r>
      <t>湖南粮投粮油集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</si>
  <si>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派堂</t>
    </r>
  </si>
  <si>
    <r>
      <t>江西</t>
    </r>
    <r>
      <rPr>
        <sz val="11"/>
        <color theme="1"/>
        <rFont val="ＭＳ Ｐゴシック"/>
        <family val="3"/>
        <charset val="134"/>
        <scheme val="minor"/>
      </rPr>
      <t>赣</t>
    </r>
    <r>
      <rPr>
        <sz val="11"/>
        <color theme="1"/>
        <rFont val="ＭＳ Ｐゴシック"/>
        <family val="3"/>
        <charset val="128"/>
        <scheme val="minor"/>
      </rPr>
      <t>派堂酒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</si>
  <si>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米酒; 葡萄酒; 利口酒;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</si>
  <si>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颐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</si>
  <si>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瑜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</si>
  <si>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</t>
    </r>
  </si>
  <si>
    <t>瓷魂</t>
  </si>
  <si>
    <t>戴金咲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</si>
  <si>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威士忌</t>
    </r>
  </si>
  <si>
    <t>巨岭 岭台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</si>
  <si>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市巨岭酒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</si>
  <si>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</si>
  <si>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餐后酒（利口酒和烈酒）; 加烈葡萄酒; 葡萄汽酒; 起泡白葡萄酒; 白酒</t>
    </r>
  </si>
  <si>
    <t>祁</t>
  </si>
  <si>
    <r>
      <t>祁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</si>
  <si>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清酒（日本米酒）</t>
    </r>
  </si>
  <si>
    <t>年藏喜 娶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</si>
  <si>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州情景最藏酒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</si>
  <si>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祥坤</t>
  </si>
  <si>
    <r>
      <t>张</t>
    </r>
    <r>
      <rPr>
        <sz val="11"/>
        <color theme="1"/>
        <rFont val="ＭＳ Ｐゴシック"/>
        <family val="3"/>
        <charset val="128"/>
        <scheme val="minor"/>
      </rPr>
      <t>旭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</si>
  <si>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青梅酒;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</si>
  <si>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天下良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</si>
  <si>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市宏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芝酒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</si>
  <si>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威士忌; 葡萄酒</t>
    </r>
  </si>
  <si>
    <r>
      <t>SORUN 宿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尼</t>
    </r>
  </si>
  <si>
    <r>
      <t>新疆宿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尼国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</si>
  <si>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白酒; 甜果酒;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</si>
  <si>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蚁</t>
    </r>
    <r>
      <rPr>
        <sz val="11"/>
        <color theme="1"/>
        <rFont val="ＭＳ Ｐゴシック"/>
        <family val="3"/>
        <charset val="128"/>
        <scheme val="minor"/>
      </rPr>
      <t>力神</t>
    </r>
  </si>
  <si>
    <t>洛阳武后医学科技有限公司</t>
  </si>
  <si>
    <r>
      <t>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</si>
  <si>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无声</t>
  </si>
  <si>
    <t>河南省十二宝鼎国酒控股有限公司</t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</si>
  <si>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青稞酒; 黄酒; 酸酒（低等葡萄酒）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</si>
  <si>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家港保税区拉菲</t>
    </r>
    <r>
      <rPr>
        <sz val="11"/>
        <color theme="1"/>
        <rFont val="ＭＳ Ｐゴシック"/>
        <family val="3"/>
        <charset val="134"/>
        <scheme val="minor"/>
      </rPr>
      <t>红进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</si>
  <si>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黄酒; 果酒;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</si>
  <si>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万众</t>
  </si>
  <si>
    <r>
      <t>石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市国</t>
    </r>
    <r>
      <rPr>
        <sz val="11"/>
        <color theme="1"/>
        <rFont val="ＭＳ Ｐゴシック"/>
        <family val="3"/>
        <charset val="134"/>
        <scheme val="minor"/>
      </rPr>
      <t>练</t>
    </r>
    <r>
      <rPr>
        <sz val="11"/>
        <color theme="1"/>
        <rFont val="ＭＳ Ｐゴシック"/>
        <family val="3"/>
        <charset val="128"/>
        <scheme val="minor"/>
      </rPr>
      <t>遇网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</si>
  <si>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清酒（日本米酒）;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</si>
  <si>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ROYAL SALUTE THE TIME SERIES</t>
  </si>
  <si>
    <r>
      <t>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士控股（知</t>
    </r>
    <r>
      <rPr>
        <sz val="11"/>
        <color theme="1"/>
        <rFont val="ＭＳ Ｐゴシック"/>
        <family val="3"/>
        <charset val="134"/>
        <scheme val="minor"/>
      </rPr>
      <t>识产权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</si>
  <si>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金生</t>
    </r>
  </si>
  <si>
    <t>武夷山市蕊秀服装店</t>
  </si>
  <si>
    <t>迪胡希 DILHUX</t>
  </si>
  <si>
    <r>
      <t>排孜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耶·伊拉吉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</si>
  <si>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</t>
    </r>
  </si>
  <si>
    <r>
      <t xml:space="preserve">832 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</si>
  <si>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中国供</t>
    </r>
    <r>
      <rPr>
        <sz val="11"/>
        <color theme="1"/>
        <rFont val="ＭＳ Ｐゴシック"/>
        <family val="3"/>
        <charset val="134"/>
        <scheme val="minor"/>
      </rPr>
      <t>销电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</si>
  <si>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</si>
  <si>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小茅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</si>
  <si>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州老茅</t>
    </r>
    <r>
      <rPr>
        <sz val="11"/>
        <color theme="1"/>
        <rFont val="ＭＳ Ｐゴシック"/>
        <family val="3"/>
        <charset val="134"/>
        <scheme val="minor"/>
      </rPr>
      <t>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</si>
  <si>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</si>
  <si>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QULAN</t>
  </si>
  <si>
    <r>
      <t>“全球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料”有限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任合伙公司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</si>
  <si>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</si>
  <si>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信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行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</si>
  <si>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信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</si>
  <si>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食用酒精;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</si>
  <si>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</si>
  <si>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黄酒</t>
    </r>
  </si>
  <si>
    <r>
      <t>怡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通酩酒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</si>
  <si>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深圳市怡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通供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</si>
  <si>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</si>
  <si>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崆山白云洞</t>
  </si>
  <si>
    <r>
      <t>临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崆山旅游管理有限公司</t>
    </r>
  </si>
  <si>
    <r>
      <t xml:space="preserve">开胃酒;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白酒</t>
    </r>
  </si>
  <si>
    <t>御香台 YUXIANGTAIJIU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</si>
  <si>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贵宾镇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</si>
  <si>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米酒; 清酒（日本米酒）</t>
    </r>
  </si>
  <si>
    <r>
      <t>泾</t>
    </r>
    <r>
      <rPr>
        <sz val="11"/>
        <color theme="1"/>
        <rFont val="ＭＳ Ｐゴシック"/>
        <family val="3"/>
        <charset val="128"/>
        <scheme val="minor"/>
      </rPr>
      <t>河阳光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</si>
  <si>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泾</t>
    </r>
    <r>
      <rPr>
        <sz val="11"/>
        <color theme="1"/>
        <rFont val="ＭＳ Ｐゴシック"/>
        <family val="3"/>
        <charset val="128"/>
        <scheme val="minor"/>
      </rPr>
      <t>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</si>
  <si>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威士忌;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</t>
    </r>
  </si>
  <si>
    <t>王者江山</t>
  </si>
  <si>
    <r>
      <t>四川杰鑫泰商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</si>
  <si>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</si>
  <si>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高粱酒; 青梅酒; 清酒;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白酒</t>
    </r>
  </si>
  <si>
    <t>正佳</t>
  </si>
  <si>
    <r>
      <t>正佳食品有限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</si>
  <si>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混合威士忌酒; 清酒;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</si>
  <si>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老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台</t>
    </r>
  </si>
  <si>
    <t>常在堂</t>
  </si>
  <si>
    <r>
      <t>果酒（含酒精）; 黄酒; 开胃酒;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朗姆酒</t>
    </r>
  </si>
  <si>
    <r>
      <t>乐动</t>
    </r>
    <r>
      <rPr>
        <sz val="11"/>
        <color theme="1"/>
        <rFont val="ＭＳ Ｐゴシック"/>
        <family val="3"/>
        <charset val="128"/>
        <scheme val="minor"/>
      </rPr>
      <t>力</t>
    </r>
  </si>
  <si>
    <r>
      <t>橙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体育（北京）有限公司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</si>
  <si>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白酒; 利口酒</t>
    </r>
  </si>
  <si>
    <r>
      <t>钰</t>
    </r>
    <r>
      <rPr>
        <sz val="11"/>
        <color theme="1"/>
        <rFont val="ＭＳ Ｐゴシック"/>
        <family val="3"/>
        <charset val="128"/>
        <scheme val="minor"/>
      </rPr>
      <t>清天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</si>
  <si>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博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航生物科技有限公司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</si>
  <si>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米酒</t>
    </r>
  </si>
  <si>
    <t>TUA RITA</t>
  </si>
  <si>
    <r>
      <t>图丽</t>
    </r>
    <r>
      <rPr>
        <sz val="11"/>
        <color theme="1"/>
        <rFont val="ＭＳ Ｐゴシック"/>
        <family val="3"/>
        <charset val="128"/>
        <scheme val="minor"/>
      </rPr>
      <t>塔酒庄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</si>
  <si>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</si>
  <si>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WHALEBONE BAY</t>
  </si>
  <si>
    <r>
      <t>圣克莱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地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</si>
  <si>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加烈葡萄酒; 不起泡葡萄酒; 烈性酒;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烈酒; 起泡白葡萄酒;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</si>
  <si>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清中清</t>
  </si>
  <si>
    <r>
      <t>黄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楼酒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</si>
  <si>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蒸煮提取物（利口酒和烈酒）;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黄酒</t>
    </r>
  </si>
  <si>
    <t>GABRISAN</t>
  </si>
  <si>
    <r>
      <t>圣盖布瑞研</t>
    </r>
    <r>
      <rPr>
        <sz val="11"/>
        <color theme="1"/>
        <rFont val="ＭＳ Ｐゴシック"/>
        <family val="3"/>
        <charset val="134"/>
        <scheme val="minor"/>
      </rPr>
      <t>讨</t>
    </r>
    <r>
      <rPr>
        <sz val="11"/>
        <color theme="1"/>
        <rFont val="ＭＳ Ｐゴシック"/>
        <family val="3"/>
        <charset val="128"/>
        <scheme val="minor"/>
      </rPr>
      <t>会-学院</t>
    </r>
  </si>
  <si>
    <r>
      <t>弗雷德船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</si>
  <si>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VP品牌国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</si>
  <si>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伏特加酒</t>
    </r>
  </si>
  <si>
    <t>仁大窖</t>
  </si>
  <si>
    <r>
      <t>吴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岭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</si>
  <si>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</si>
  <si>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荣力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</si>
  <si>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州荣力投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</si>
  <si>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白干酒（中国白酒）;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</si>
  <si>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谷莨</t>
  </si>
  <si>
    <r>
      <t>浙江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阳林栖文化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</si>
  <si>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</si>
  <si>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中国供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流通集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</si>
  <si>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</si>
  <si>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水墨金色熊猫</t>
  </si>
  <si>
    <r>
      <t>熊猫酒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</si>
  <si>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果酒（含酒精）; 葡萄酒; 白酒;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</si>
  <si>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水墨黄金熊猫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</si>
  <si>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朗姆酒;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</si>
  <si>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首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大厨房</t>
    </r>
  </si>
  <si>
    <r>
      <t>北京首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食品集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</si>
  <si>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苦味酒; 食用酒精; 利口酒</t>
    </r>
  </si>
  <si>
    <r>
      <t>天朝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醇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</si>
  <si>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州千园同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</si>
  <si>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白酒; 高粱酒; 白干酒（中国白酒）;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葡萄酒; 果酒</t>
    </r>
  </si>
  <si>
    <r>
      <t>郸</t>
    </r>
    <r>
      <rPr>
        <sz val="11"/>
        <color theme="1"/>
        <rFont val="ＭＳ Ｐゴシック"/>
        <family val="3"/>
        <charset val="128"/>
        <scheme val="minor"/>
      </rPr>
      <t>盛</t>
    </r>
  </si>
  <si>
    <r>
      <t>河北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盛餐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</si>
  <si>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黄酒;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</si>
  <si>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天朝</t>
    </r>
    <r>
      <rPr>
        <sz val="11"/>
        <color theme="1"/>
        <rFont val="ＭＳ Ｐゴシック"/>
        <family val="3"/>
        <charset val="134"/>
        <scheme val="minor"/>
      </rPr>
      <t>华酿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</si>
  <si>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黄酒;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白酒; 白干酒（中国白酒）</t>
    </r>
  </si>
  <si>
    <t>汉娇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</si>
  <si>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汉骄酱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</si>
  <si>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葡萄酒;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</si>
  <si>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汉骄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</si>
  <si>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</si>
  <si>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汉骄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</si>
  <si>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</t>
    </r>
  </si>
  <si>
    <r>
      <t>年份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</si>
  <si>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州善牌酒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</si>
  <si>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果酒（含酒精）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</si>
  <si>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州一品黄金叶酒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</si>
  <si>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伏特加酒;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</t>
    </r>
  </si>
  <si>
    <r>
      <t>履</t>
    </r>
    <r>
      <rPr>
        <sz val="11"/>
        <color theme="1"/>
        <rFont val="ＭＳ Ｐゴシック"/>
        <family val="3"/>
        <charset val="134"/>
        <scheme val="minor"/>
      </rPr>
      <t>约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</si>
  <si>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郑</t>
    </r>
    <r>
      <rPr>
        <sz val="11"/>
        <color theme="1"/>
        <rFont val="ＭＳ Ｐゴシック"/>
        <family val="3"/>
        <charset val="128"/>
        <scheme val="minor"/>
      </rPr>
      <t>祖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</si>
  <si>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</si>
  <si>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ONE 亘古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 xml:space="preserve"> ETERNAL INSCRIPTION</t>
    </r>
  </si>
  <si>
    <r>
      <t>海南茅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</si>
  <si>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露酒; 苹果酒</t>
    </r>
  </si>
  <si>
    <t>香遇云谷里 FRAGRANT ENCOUNTER CLOUD VALLEY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</si>
  <si>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玫山生物科技有限公司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</si>
  <si>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白酒; 果酒（含酒精）;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米酒</t>
    </r>
  </si>
  <si>
    <t>BY 拜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</si>
  <si>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蔚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上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</si>
  <si>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蒸煮提取物（利口酒和烈酒）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</si>
  <si>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</si>
  <si>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侠客行</t>
  </si>
  <si>
    <t>沈琪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</si>
  <si>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葡萄酒; 米酒; 白酒; 蒸煮提取物（利口酒和烈酒）; 高粱酒; 烈酒;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</si>
  <si>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商山洛水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</si>
  <si>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西商山洛水酒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</si>
  <si>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白酒; 米酒; 果酒（含酒精）;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五加皮酒（中国混合烈酒）;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</si>
  <si>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皇樽</t>
  </si>
  <si>
    <r>
      <t>罗</t>
    </r>
    <r>
      <rPr>
        <sz val="11"/>
        <color theme="1"/>
        <rFont val="ＭＳ Ｐゴシック"/>
        <family val="3"/>
        <charset val="128"/>
        <scheme val="minor"/>
      </rPr>
      <t>江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</si>
  <si>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梅酒; 露酒; 白干酒（中国白酒）; 苦艾酒;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高粱酒</t>
    </r>
  </si>
  <si>
    <t>皇樽酒庄</t>
  </si>
  <si>
    <r>
      <t>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高粱酒;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</si>
  <si>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氿 越氿</t>
  </si>
  <si>
    <t>吴仕梅</t>
  </si>
  <si>
    <r>
      <t>餐后酒（利口酒和烈酒）; 酸酒（低等葡萄酒）;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</si>
  <si>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鲸</t>
    </r>
    <r>
      <rPr>
        <sz val="11"/>
        <color theme="1"/>
        <rFont val="ＭＳ Ｐゴシック"/>
        <family val="3"/>
        <charset val="128"/>
        <scheme val="minor"/>
      </rPr>
      <t>也</t>
    </r>
  </si>
  <si>
    <r>
      <t>郴州</t>
    </r>
    <r>
      <rPr>
        <sz val="11"/>
        <color theme="1"/>
        <rFont val="ＭＳ Ｐゴシック"/>
        <family val="3"/>
        <charset val="134"/>
        <scheme val="minor"/>
      </rPr>
      <t>鲸</t>
    </r>
    <r>
      <rPr>
        <sz val="11"/>
        <color theme="1"/>
        <rFont val="ＭＳ Ｐゴシック"/>
        <family val="3"/>
        <charset val="128"/>
        <scheme val="minor"/>
      </rPr>
      <t>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行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</si>
  <si>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</si>
  <si>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守</t>
    </r>
    <r>
      <rPr>
        <sz val="11"/>
        <color theme="1"/>
        <rFont val="ＭＳ Ｐゴシック"/>
        <family val="3"/>
        <charset val="134"/>
        <scheme val="minor"/>
      </rPr>
      <t>业</t>
    </r>
  </si>
  <si>
    <t>王达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</si>
  <si>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</si>
  <si>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杏隆源</t>
  </si>
  <si>
    <r>
      <t>马</t>
    </r>
    <r>
      <rPr>
        <sz val="11"/>
        <color theme="1"/>
        <rFont val="ＭＳ Ｐゴシック"/>
        <family val="3"/>
        <charset val="128"/>
        <scheme val="minor"/>
      </rPr>
      <t>志耀</t>
    </r>
  </si>
  <si>
    <r>
      <t>白酒;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清酒（日本米酒）; 烈酒; 黄酒; 果酒（含酒精）</t>
    </r>
  </si>
  <si>
    <t>京西臺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</si>
  <si>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市星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</si>
  <si>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食用酒精; 黄酒; 果酒（含酒精）;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开胃酒</t>
    </r>
  </si>
  <si>
    <r>
      <t>开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</si>
  <si>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普洱开</t>
    </r>
    <r>
      <rPr>
        <sz val="11"/>
        <color theme="1"/>
        <rFont val="ＭＳ Ｐゴシック"/>
        <family val="3"/>
        <charset val="134"/>
        <scheme val="minor"/>
      </rPr>
      <t>兴酿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总</t>
    </r>
    <r>
      <rPr>
        <sz val="11"/>
        <color theme="1"/>
        <rFont val="ＭＳ Ｐゴシック"/>
        <family val="3"/>
        <charset val="128"/>
        <scheme val="minor"/>
      </rPr>
      <t>厂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</si>
  <si>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葡萄酒</t>
    </r>
  </si>
  <si>
    <t>四海云水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</si>
  <si>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帕商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</si>
  <si>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白酒; 清酒;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</si>
  <si>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花开芙蓉</t>
  </si>
  <si>
    <r>
      <t>湖南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凰情品牌管理有限公司</t>
    </r>
  </si>
  <si>
    <r>
      <t xml:space="preserve">威士忌; 高粱酒;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果酒; 梅酒;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</si>
  <si>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蜀江功夫</t>
  </si>
  <si>
    <r>
      <t>上海品</t>
    </r>
    <r>
      <rPr>
        <sz val="11"/>
        <color theme="1"/>
        <rFont val="ＭＳ Ｐゴシック"/>
        <family val="3"/>
        <charset val="134"/>
        <scheme val="minor"/>
      </rPr>
      <t>驰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</si>
  <si>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米酒; 黄酒; 开胃酒; 清酒; 葡萄酒; 白酒; 高粱酒; 青梅酒</t>
    </r>
  </si>
  <si>
    <t>天邦 55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</si>
  <si>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市天邦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</si>
  <si>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</si>
  <si>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如意林卡</t>
  </si>
  <si>
    <r>
      <t>其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扎西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</si>
  <si>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</t>
    </r>
  </si>
  <si>
    <t>NEW NEW Q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</si>
  <si>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牛牛芊餐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</si>
  <si>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加烈葡萄酒; 奶油利口酒; 草莓酒; 葡萄酒; 葡萄汽酒; 烈酒;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</t>
    </r>
  </si>
  <si>
    <r>
      <t>加烈葡萄酒; 烈酒;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奶油利口酒;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草莓酒; 葡萄汽酒; 甜酒</t>
    </r>
  </si>
  <si>
    <r>
      <t>事</t>
    </r>
    <r>
      <rPr>
        <sz val="11"/>
        <color theme="1"/>
        <rFont val="ＭＳ Ｐゴシック"/>
        <family val="3"/>
        <charset val="134"/>
        <scheme val="minor"/>
      </rPr>
      <t>业红</t>
    </r>
  </si>
  <si>
    <r>
      <t>南宁事</t>
    </r>
    <r>
      <rPr>
        <sz val="11"/>
        <color theme="1"/>
        <rFont val="ＭＳ Ｐゴシック"/>
        <family val="3"/>
        <charset val="134"/>
        <scheme val="minor"/>
      </rPr>
      <t>业红</t>
    </r>
    <r>
      <rPr>
        <sz val="11"/>
        <color theme="1"/>
        <rFont val="ＭＳ Ｐゴシック"/>
        <family val="3"/>
        <charset val="128"/>
        <scheme val="minor"/>
      </rPr>
      <t>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</si>
  <si>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果酒（含酒精）; 苹果酒; 葡萄酒; 白酒</t>
    </r>
  </si>
  <si>
    <t>秦皇</t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</si>
  <si>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鑫开</t>
    </r>
    <r>
      <rPr>
        <sz val="11"/>
        <color theme="1"/>
        <rFont val="ＭＳ Ｐゴシック"/>
        <family val="3"/>
        <charset val="134"/>
        <scheme val="minor"/>
      </rPr>
      <t>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</si>
  <si>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清酒; 葡萄酒;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</si>
  <si>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圣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</si>
  <si>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徐州淘知道网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</si>
  <si>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伏特加酒;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</si>
  <si>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BAICAOXIANG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</si>
  <si>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州董酒股份有限公司</t>
    </r>
  </si>
  <si>
    <r>
      <t>白酒; 果酒（含酒精）; 梨酒;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开胃酒</t>
    </r>
  </si>
  <si>
    <r>
      <t>华腾</t>
    </r>
    <r>
      <rPr>
        <sz val="11"/>
        <color theme="1"/>
        <rFont val="ＭＳ Ｐゴシック"/>
        <family val="3"/>
        <charset val="128"/>
        <scheme val="minor"/>
      </rPr>
      <t>盛世</t>
    </r>
  </si>
  <si>
    <r>
      <t>华腾</t>
    </r>
    <r>
      <rPr>
        <sz val="11"/>
        <color theme="1"/>
        <rFont val="ＭＳ Ｐゴシック"/>
        <family val="3"/>
        <charset val="128"/>
        <scheme val="minor"/>
      </rPr>
      <t>盛世国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媒（北京）有限公司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</si>
  <si>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青稞酒; 露酒;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</si>
  <si>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t>星辰大海</t>
  </si>
  <si>
    <r>
      <t>宿迁市洋河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御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</si>
  <si>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白酒;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</si>
  <si>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 xml:space="preserve">州老窖 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</si>
  <si>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州老窖股份有限公司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</si>
  <si>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</si>
  <si>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维标</t>
    </r>
    <r>
      <rPr>
        <sz val="11"/>
        <color theme="1"/>
        <rFont val="ＭＳ Ｐゴシック"/>
        <family val="3"/>
        <charset val="128"/>
        <scheme val="minor"/>
      </rPr>
      <t>志</t>
    </r>
  </si>
  <si>
    <r>
      <t>浙江花田旅游开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</si>
  <si>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</si>
  <si>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</si>
  <si>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酒中天</t>
  </si>
  <si>
    <r>
      <t>山西酒中天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</si>
  <si>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开胃酒; 蒸煮提取物（利口酒和烈酒）; 果酒（含酒精）; 米酒; 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</si>
  <si>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金双二</t>
    </r>
    <r>
      <rPr>
        <sz val="11"/>
        <color theme="1"/>
        <rFont val="ＭＳ Ｐゴシック"/>
        <family val="3"/>
        <charset val="134"/>
        <scheme val="minor"/>
      </rPr>
      <t>锅头</t>
    </r>
  </si>
  <si>
    <r>
      <t>泗洪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双沟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金双酒厂</t>
    </r>
  </si>
  <si>
    <r>
      <t xml:space="preserve">黄酒;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威士忌; 白酒; 果酒</t>
    </r>
  </si>
  <si>
    <t>HARBIN 2025 THE 9TH ASIAN WINTER GAMEST</t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</si>
  <si>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市2025年第9届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冬会</t>
    </r>
    <r>
      <rPr>
        <sz val="11"/>
        <color theme="1"/>
        <rFont val="ＭＳ Ｐゴシック"/>
        <family val="3"/>
        <charset val="134"/>
        <scheme val="minor"/>
      </rPr>
      <t>执</t>
    </r>
    <r>
      <rPr>
        <sz val="11"/>
        <color theme="1"/>
        <rFont val="ＭＳ Ｐゴシック"/>
        <family val="3"/>
        <charset val="128"/>
        <scheme val="minor"/>
      </rPr>
      <t>行委</t>
    </r>
    <r>
      <rPr>
        <sz val="11"/>
        <color theme="1"/>
        <rFont val="ＭＳ Ｐゴシック"/>
        <family val="3"/>
        <charset val="134"/>
        <scheme val="minor"/>
      </rPr>
      <t>员</t>
    </r>
    <r>
      <rPr>
        <sz val="11"/>
        <color theme="1"/>
        <rFont val="ＭＳ Ｐゴシック"/>
        <family val="3"/>
        <charset val="128"/>
        <scheme val="minor"/>
      </rPr>
      <t>会（</t>
    </r>
    <r>
      <rPr>
        <sz val="11"/>
        <color theme="1"/>
        <rFont val="ＭＳ Ｐゴシック"/>
        <family val="3"/>
        <charset val="134"/>
        <scheme val="minor"/>
      </rPr>
      <t>临时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</si>
  <si>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汽酒; 苹果酒</t>
    </r>
  </si>
  <si>
    <t>JARABA 嘉富彼</t>
  </si>
  <si>
    <r>
      <t>洛西恩酒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</si>
  <si>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杜松子酒; 威士忌; 黄酒; 米酒</t>
    </r>
  </si>
  <si>
    <t>参香父母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</si>
  <si>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宁熙峰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</si>
  <si>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米酒; 白酒;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苹果酒;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</si>
  <si>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T1 肆拾玖坊</t>
  </si>
  <si>
    <r>
      <t>肆拾玖坊（天津）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</si>
  <si>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甜果酒; 白酒; 黄酒; 葡萄酒; 开胃酒; 果酒（含酒精）</t>
    </r>
  </si>
  <si>
    <t>周上食品</t>
  </si>
  <si>
    <r>
      <t>上海周上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洋国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</si>
  <si>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</t>
    </r>
  </si>
  <si>
    <r>
      <t>创</t>
    </r>
    <r>
      <rPr>
        <sz val="11"/>
        <color theme="1"/>
        <rFont val="ＭＳ Ｐゴシック"/>
        <family val="3"/>
        <charset val="128"/>
        <scheme val="minor"/>
      </rPr>
      <t>世模王</t>
    </r>
  </si>
  <si>
    <r>
      <t>广州象形文化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</si>
  <si>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果酒（含酒精）;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白酒</t>
    </r>
  </si>
  <si>
    <r>
      <t>宿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千味 DELICIOUS FOOD IN SUQIAN</t>
    </r>
  </si>
  <si>
    <r>
      <t>宿迁市旅游咨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</si>
  <si>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t>葡萄酒; 白酒; 果酒（含酒精）; 黄酒</t>
  </si>
  <si>
    <t>HAMISS</t>
  </si>
  <si>
    <r>
      <t>嘉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市哈米思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</si>
  <si>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食用酒精; 黄酒;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</t>
    </r>
  </si>
  <si>
    <t>WALKWINE</t>
  </si>
  <si>
    <r>
      <t>宁夏</t>
    </r>
    <r>
      <rPr>
        <sz val="11"/>
        <color theme="1"/>
        <rFont val="ＭＳ Ｐゴシック"/>
        <family val="3"/>
        <charset val="134"/>
        <scheme val="minor"/>
      </rPr>
      <t>归乡</t>
    </r>
    <r>
      <rPr>
        <sz val="11"/>
        <color theme="1"/>
        <rFont val="ＭＳ Ｐゴシック"/>
        <family val="3"/>
        <charset val="128"/>
        <scheme val="minor"/>
      </rPr>
      <t>造物文化科技有限公司</t>
    </r>
  </si>
  <si>
    <r>
      <t xml:space="preserve">朗姆酒; 蜂蜜酒; 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白酒</t>
    </r>
  </si>
  <si>
    <t>富然泉</t>
  </si>
  <si>
    <r>
      <t>郴州市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仙区振湘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易中心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</si>
  <si>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清酒（日本米酒）;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</si>
  <si>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池</t>
    </r>
  </si>
  <si>
    <r>
      <t>峨眉山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</si>
  <si>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伏特加酒; 白酒;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青稞酒</t>
    </r>
  </si>
  <si>
    <r>
      <t>清酒（日本米酒）; 蜂蜜酒; 伏特加酒; 青稞酒;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</si>
  <si>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蜂蜜酒; 白酒</t>
    </r>
  </si>
  <si>
    <t>康美霸王</t>
  </si>
  <si>
    <r>
      <t>慈葫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（广州）有限公司</t>
    </r>
  </si>
  <si>
    <r>
      <t>白酒; 白葡萄酒; 果酒（含酒精）; 葡萄汽酒;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梅酒; 葡萄酒</t>
    </r>
  </si>
  <si>
    <r>
      <t>幸运</t>
    </r>
    <r>
      <rPr>
        <sz val="11"/>
        <color theme="1"/>
        <rFont val="ＭＳ Ｐゴシック"/>
        <family val="3"/>
        <charset val="134"/>
        <scheme val="minor"/>
      </rPr>
      <t>线</t>
    </r>
  </si>
  <si>
    <r>
      <t>佛山市幸运</t>
    </r>
    <r>
      <rPr>
        <sz val="11"/>
        <color theme="1"/>
        <rFont val="ＭＳ Ｐゴシック"/>
        <family val="3"/>
        <charset val="134"/>
        <scheme val="minor"/>
      </rPr>
      <t>线</t>
    </r>
    <r>
      <rPr>
        <sz val="11"/>
        <color theme="1"/>
        <rFont val="ＭＳ Ｐゴシック"/>
        <family val="3"/>
        <charset val="128"/>
        <scheme val="minor"/>
      </rPr>
      <t>金属制品有限公司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</si>
  <si>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食用酒精; 青梅酒; 白酒;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</t>
    </r>
  </si>
  <si>
    <t>久蜜堂</t>
  </si>
  <si>
    <t>成都蟲鑫生物科技有限公司</t>
  </si>
  <si>
    <r>
      <t>朗姆酒;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伏特加酒; 威士忌;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白酒</t>
    </r>
  </si>
  <si>
    <t>硒养生命医学研究(山西)有限公司</t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</si>
  <si>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利口酒</t>
    </r>
  </si>
  <si>
    <t>聚米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</si>
  <si>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聚米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</si>
  <si>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蒸煮提取物（利口酒和烈酒）;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开胃酒</t>
    </r>
  </si>
  <si>
    <r>
      <t>环</t>
    </r>
    <r>
      <rPr>
        <sz val="11"/>
        <color theme="1"/>
        <rFont val="ＭＳ Ｐゴシック"/>
        <family val="3"/>
        <charset val="128"/>
        <scheme val="minor"/>
      </rPr>
      <t>宇工</t>
    </r>
  </si>
  <si>
    <r>
      <t>习</t>
    </r>
    <r>
      <rPr>
        <sz val="11"/>
        <color theme="1"/>
        <rFont val="ＭＳ Ｐゴシック"/>
        <family val="3"/>
        <charset val="128"/>
        <scheme val="minor"/>
      </rPr>
      <t>水</t>
    </r>
    <r>
      <rPr>
        <sz val="11"/>
        <color theme="1"/>
        <rFont val="ＭＳ Ｐゴシック"/>
        <family val="3"/>
        <charset val="134"/>
        <scheme val="minor"/>
      </rPr>
      <t>县环</t>
    </r>
    <r>
      <rPr>
        <sz val="11"/>
        <color theme="1"/>
        <rFont val="ＭＳ Ｐゴシック"/>
        <family val="3"/>
        <charset val="128"/>
        <scheme val="minor"/>
      </rPr>
      <t>宇</t>
    </r>
    <r>
      <rPr>
        <sz val="11"/>
        <color theme="1"/>
        <rFont val="ＭＳ Ｐゴシック"/>
        <family val="3"/>
        <charset val="134"/>
        <scheme val="minor"/>
      </rPr>
      <t>劳务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</si>
  <si>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食用酒精</t>
    </r>
  </si>
  <si>
    <r>
      <t>环</t>
    </r>
    <r>
      <rPr>
        <sz val="11"/>
        <color theme="1"/>
        <rFont val="ＭＳ Ｐゴシック"/>
        <family val="3"/>
        <charset val="128"/>
        <scheme val="minor"/>
      </rPr>
      <t>宇人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</si>
  <si>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</t>
    </r>
  </si>
  <si>
    <r>
      <t>天津津食集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</si>
  <si>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薄荷酒; 汽酒; 清酒; 黄酒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</si>
  <si>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米酒</t>
    </r>
  </si>
  <si>
    <r>
      <t>黎金</t>
    </r>
    <r>
      <rPr>
        <sz val="11"/>
        <color theme="1"/>
        <rFont val="ＭＳ Ｐゴシック"/>
        <family val="3"/>
        <charset val="134"/>
        <scheme val="minor"/>
      </rPr>
      <t>团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</si>
  <si>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梨酒; 甘蔗制烈酒; 米酒; 果酒; 黄酒; 高粱酒</t>
    </r>
  </si>
  <si>
    <t>LALA MIA</t>
  </si>
  <si>
    <r>
      <t>北京拉米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</si>
  <si>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薄荷酒;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果酒（含酒精）; 开胃酒</t>
    </r>
  </si>
  <si>
    <t>PALANTER</t>
  </si>
  <si>
    <r>
      <t>城匠数字建筑科技（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</si>
  <si>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清酒;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</t>
    </r>
  </si>
  <si>
    <r>
      <t>帕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泰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</si>
  <si>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 xml:space="preserve">威士忌;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黄酒; 清酒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</si>
  <si>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骏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</si>
  <si>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雪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</si>
  <si>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食用酒精; 黄酒; 白酒; 米酒;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</si>
  <si>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莨芬</t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</si>
  <si>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市福寿食品有限公司</t>
    </r>
  </si>
  <si>
    <r>
      <t xml:space="preserve">果酒（含酒精）;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</si>
  <si>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 xml:space="preserve">大荒 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 xml:space="preserve"> GUIDAHUANG WINE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</si>
  <si>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江关里关外酒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</si>
  <si>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</si>
  <si>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清万家</t>
  </si>
  <si>
    <r>
      <t>安徽美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健康科技有限公司</t>
    </r>
  </si>
  <si>
    <t>白酒; 果酒; 米酒</t>
  </si>
  <si>
    <t>抖富同城</t>
  </si>
  <si>
    <r>
      <t>抖富同城（攀枝花）互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网科技有限公司</t>
    </r>
  </si>
  <si>
    <r>
      <t>果酒; 清酒; 烈酒; 苦味酒; 米酒; 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</si>
  <si>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云都香</t>
  </si>
  <si>
    <r>
      <t>顺</t>
    </r>
    <r>
      <rPr>
        <sz val="11"/>
        <color theme="1"/>
        <rFont val="ＭＳ Ｐゴシック"/>
        <family val="3"/>
        <charset val="128"/>
        <scheme val="minor"/>
      </rPr>
      <t>年人力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源（深圳）有限公司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</si>
  <si>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黄酒; 柑香酒;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苹果酒</t>
    </r>
  </si>
  <si>
    <r>
      <t>琴韵</t>
    </r>
    <r>
      <rPr>
        <sz val="11"/>
        <color theme="1"/>
        <rFont val="ＭＳ Ｐゴシック"/>
        <family val="3"/>
        <charset val="134"/>
        <scheme val="minor"/>
      </rPr>
      <t>阁</t>
    </r>
  </si>
  <si>
    <t>上海仁安安健康管理有限公司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</si>
  <si>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</si>
  <si>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r>
      <t>琼浆</t>
    </r>
    <r>
      <rPr>
        <sz val="11"/>
        <color theme="1"/>
        <rFont val="ＭＳ Ｐゴシック"/>
        <family val="3"/>
        <charset val="128"/>
        <scheme val="minor"/>
      </rPr>
      <t>微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</si>
  <si>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黄酒; 果酒（含酒精）; 白酒; 食用酒精;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</si>
  <si>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微韵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光</t>
    </r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</si>
  <si>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</t>
    </r>
  </si>
  <si>
    <r>
      <t>西安秦</t>
    </r>
    <r>
      <rPr>
        <sz val="11"/>
        <color theme="1"/>
        <rFont val="ＭＳ Ｐゴシック"/>
        <family val="3"/>
        <charset val="134"/>
        <scheme val="minor"/>
      </rPr>
      <t>骏铁</t>
    </r>
    <r>
      <rPr>
        <sz val="11"/>
        <color theme="1"/>
        <rFont val="ＭＳ Ｐゴシック"/>
        <family val="3"/>
        <charset val="128"/>
        <scheme val="minor"/>
      </rPr>
      <t>路客服有限公司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</si>
  <si>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黄酒; 食用酒精; 威士忌; 开胃酒;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</si>
  <si>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澳巴巴</t>
  </si>
  <si>
    <r>
      <t>江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市御澳食品有限公司</t>
    </r>
  </si>
  <si>
    <t>果酒（含酒精）</t>
  </si>
  <si>
    <t>MIJIUTAN</t>
  </si>
  <si>
    <r>
      <t>匠心岩装（厦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</si>
  <si>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青稞酒; 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</si>
  <si>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世黔</t>
    </r>
    <r>
      <rPr>
        <sz val="11"/>
        <color theme="1"/>
        <rFont val="ＭＳ Ｐゴシック"/>
        <family val="3"/>
        <charset val="134"/>
        <scheme val="minor"/>
      </rPr>
      <t>图</t>
    </r>
  </si>
  <si>
    <t>李朝俊</t>
  </si>
  <si>
    <r>
      <t>米酒; 白酒; 果酒; 清酒;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白干酒（中国白酒）</t>
    </r>
  </si>
  <si>
    <t>渣泉</t>
  </si>
  <si>
    <r>
      <t>田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</si>
  <si>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白酒; 葡萄酒; 果酒（含酒精）; 蜂蜜酒;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</si>
  <si>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渡小</t>
    </r>
    <r>
      <rPr>
        <sz val="11"/>
        <color theme="1"/>
        <rFont val="ＭＳ Ｐゴシック"/>
        <family val="3"/>
        <charset val="134"/>
        <scheme val="minor"/>
      </rPr>
      <t>烧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</si>
  <si>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市浩初服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</si>
  <si>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</si>
  <si>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梅酒; 葡萄酒; 高粱酒; 白酒; 果酒; 米酒; 黄酒; 青梅酒; 甜酒; 刺五加酒</t>
  </si>
  <si>
    <r>
      <t>楚方城二</t>
    </r>
    <r>
      <rPr>
        <sz val="11"/>
        <color theme="1"/>
        <rFont val="ＭＳ Ｐゴシック"/>
        <family val="3"/>
        <charset val="134"/>
        <scheme val="minor"/>
      </rPr>
      <t>锅头</t>
    </r>
  </si>
  <si>
    <t>南阳伏牛山木瓜食品有限公司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</si>
  <si>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白酒; 米酒; 果酒（含酒精）; 利口酒; 黄酒; 蜂蜜酒</t>
    </r>
  </si>
  <si>
    <r>
      <t>柳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印象</t>
    </r>
  </si>
  <si>
    <r>
      <t>广西柳州市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基</t>
    </r>
    <r>
      <rPr>
        <sz val="11"/>
        <color theme="1"/>
        <rFont val="ＭＳ Ｐゴシック"/>
        <family val="3"/>
        <charset val="134"/>
        <scheme val="minor"/>
      </rPr>
      <t>础设</t>
    </r>
    <r>
      <rPr>
        <sz val="11"/>
        <color theme="1"/>
        <rFont val="ＭＳ Ｐゴシック"/>
        <family val="3"/>
        <charset val="128"/>
        <scheme val="minor"/>
      </rPr>
      <t>施投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</si>
  <si>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</si>
  <si>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THE HUILAN ORIENTAL WHISKY</t>
  </si>
  <si>
    <r>
      <t>回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威士忌蒸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科技（成都）有限公司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</si>
  <si>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清酒;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烈酒</t>
    </r>
  </si>
  <si>
    <t>氿吧</t>
  </si>
  <si>
    <r>
      <t>路上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</si>
  <si>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</si>
  <si>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CREATION TRADING LIAN</t>
  </si>
  <si>
    <r>
      <t>绿</t>
    </r>
    <r>
      <rPr>
        <sz val="11"/>
        <color theme="1"/>
        <rFont val="ＭＳ Ｐゴシック"/>
        <family val="3"/>
        <charset val="128"/>
        <scheme val="minor"/>
      </rPr>
      <t>湖股份有限公司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</si>
  <si>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果酒(含酒精);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</si>
  <si>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屋造酒有限公司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</si>
  <si>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</si>
  <si>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之子</t>
    </r>
  </si>
  <si>
    <t>温焦焦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</si>
  <si>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果酒; 汽酒; 白酒; 清酒;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</si>
  <si>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艺诺</t>
    </r>
    <r>
      <rPr>
        <sz val="11"/>
        <color theme="1"/>
        <rFont val="ＭＳ Ｐゴシック"/>
        <family val="3"/>
        <charset val="128"/>
        <scheme val="minor"/>
      </rPr>
      <t xml:space="preserve"> EINO</t>
    </r>
  </si>
  <si>
    <r>
      <t>聂</t>
    </r>
    <r>
      <rPr>
        <sz val="11"/>
        <color theme="1"/>
        <rFont val="ＭＳ Ｐゴシック"/>
        <family val="3"/>
        <charset val="128"/>
        <scheme val="minor"/>
      </rPr>
      <t>君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</si>
  <si>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葡萄酒; 米酒; 威士忌; 伏特加酒;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</si>
  <si>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升朝阳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</si>
  <si>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</si>
  <si>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何以生徽</t>
  </si>
  <si>
    <r>
      <t>安徽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丘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媒科技有限公司</t>
    </r>
  </si>
  <si>
    <r>
      <t>蜂蜜酒;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梅酒; 威士忌; 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</si>
  <si>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道商五福</t>
  </si>
  <si>
    <r>
      <t>深圳市道商五福科技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</si>
  <si>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白酒; 威士忌; 清酒（日本米酒）; 高粱酒;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</si>
  <si>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昊峪葡</t>
  </si>
  <si>
    <t>张县伟</t>
  </si>
  <si>
    <r>
      <t xml:space="preserve">葡萄酒; 白酒; 黄酒; 烈酒;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甜酒; 白葡萄酒;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</si>
  <si>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梦</t>
    </r>
    <r>
      <rPr>
        <sz val="11"/>
        <color theme="1"/>
        <rFont val="ＭＳ Ｐゴシック"/>
        <family val="3"/>
        <charset val="134"/>
        <scheme val="minor"/>
      </rPr>
      <t>隐东</t>
    </r>
    <r>
      <rPr>
        <sz val="11"/>
        <color theme="1"/>
        <rFont val="ＭＳ Ｐゴシック"/>
        <family val="3"/>
        <charset val="129"/>
        <scheme val="minor"/>
      </rPr>
      <t>篱</t>
    </r>
  </si>
  <si>
    <r>
      <t>恩施州梦园康旅服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</si>
  <si>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清酒; 白酒; 葡萄酒; 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</si>
  <si>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开</t>
    </r>
    <r>
      <rPr>
        <sz val="11"/>
        <color theme="1"/>
        <rFont val="ＭＳ Ｐゴシック"/>
        <family val="3"/>
        <charset val="134"/>
        <scheme val="minor"/>
      </rPr>
      <t>炀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</si>
  <si>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州开</t>
    </r>
    <r>
      <rPr>
        <sz val="11"/>
        <color theme="1"/>
        <rFont val="ＭＳ Ｐゴシック"/>
        <family val="3"/>
        <charset val="134"/>
        <scheme val="minor"/>
      </rPr>
      <t>炀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</si>
  <si>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白干酒（中国白酒）; 威士忌; 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</t>
    </r>
  </si>
  <si>
    <t>基葡</t>
  </si>
  <si>
    <t>魏俊君</t>
  </si>
  <si>
    <r>
      <t>威士忌; 葡萄酒;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米酒;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</t>
    </r>
  </si>
  <si>
    <r>
      <t>强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</si>
  <si>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锐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</si>
  <si>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</t>
    </r>
  </si>
  <si>
    <r>
      <t>那</t>
    </r>
    <r>
      <rPr>
        <sz val="11"/>
        <color theme="1"/>
        <rFont val="ＭＳ Ｐゴシック"/>
        <family val="3"/>
        <charset val="134"/>
        <scheme val="minor"/>
      </rPr>
      <t>贰</t>
    </r>
    <r>
      <rPr>
        <sz val="11"/>
        <color theme="1"/>
        <rFont val="ＭＳ Ｐゴシック"/>
        <family val="3"/>
        <charset val="128"/>
        <scheme val="minor"/>
      </rPr>
      <t>年</t>
    </r>
  </si>
  <si>
    <r>
      <t>成都市和信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融酒店管理咨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</si>
  <si>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果酒（含酒精）; 青稞酒; 白干酒（中国白酒）;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</si>
  <si>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厚道</t>
    </r>
    <r>
      <rPr>
        <sz val="11"/>
        <color theme="1"/>
        <rFont val="ＭＳ Ｐゴシック"/>
        <family val="3"/>
        <charset val="134"/>
        <scheme val="minor"/>
      </rPr>
      <t>论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</si>
  <si>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>芝罘区阳桂合日用百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</si>
  <si>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葡萄酒; 白酒; 果酒（含酒精）; 米酒;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</si>
  <si>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标</t>
    </r>
    <r>
      <rPr>
        <sz val="11"/>
        <color theme="1"/>
        <rFont val="ＭＳ Ｐゴシック"/>
        <family val="3"/>
        <charset val="128"/>
        <scheme val="minor"/>
      </rPr>
      <t>葡</t>
    </r>
  </si>
  <si>
    <r>
      <t>北京臻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</si>
  <si>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朗姆酒; 果酒（含酒精）; 葡萄酒; 威士忌; 米酒; 伏特加酒; 餐后酒（利口酒和烈酒）</t>
    </r>
  </si>
  <si>
    <t>蘑米</t>
  </si>
  <si>
    <t>慕恩（广州）生物科技有限公司</t>
  </si>
  <si>
    <r>
      <t>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甜果酒</t>
    </r>
  </si>
  <si>
    <t>潭口窖</t>
  </si>
  <si>
    <r>
      <t>余玉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（******************）</t>
    </r>
  </si>
  <si>
    <r>
      <t>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</si>
  <si>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和盛昌</t>
  </si>
  <si>
    <t>丁政</t>
  </si>
  <si>
    <r>
      <t xml:space="preserve">烈酒;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白酒; 黄酒; 葡萄酒; 白干酒（中国白酒）</t>
    </r>
  </si>
  <si>
    <r>
      <t>让</t>
    </r>
    <r>
      <rPr>
        <sz val="11"/>
        <color theme="1"/>
        <rFont val="ＭＳ Ｐゴシック"/>
        <family val="3"/>
        <charset val="128"/>
        <scheme val="minor"/>
      </rPr>
      <t>梨</t>
    </r>
  </si>
  <si>
    <r>
      <t>砀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梨酒酒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</si>
  <si>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梨酒; 白酒; 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佐餐酒;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</t>
    </r>
  </si>
  <si>
    <t>COFFEEMUSE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</si>
  <si>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东硕</t>
    </r>
    <r>
      <rPr>
        <sz val="11"/>
        <color theme="1"/>
        <rFont val="ＭＳ Ｐゴシック"/>
        <family val="3"/>
        <charset val="128"/>
        <scheme val="minor"/>
      </rPr>
      <t>柏网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</si>
  <si>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咖啡利口酒;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</si>
  <si>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</si>
  <si>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徐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</si>
  <si>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 xml:space="preserve">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梅酒</t>
    </r>
  </si>
  <si>
    <r>
      <t>朝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米</t>
    </r>
    <r>
      <rPr>
        <sz val="11"/>
        <color theme="1"/>
        <rFont val="ＭＳ Ｐゴシック"/>
        <family val="3"/>
        <charset val="134"/>
        <scheme val="minor"/>
      </rPr>
      <t>酿</t>
    </r>
  </si>
  <si>
    <t>姜富双</t>
  </si>
  <si>
    <r>
      <t>清酒; 葡萄酒;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白酒; 威士忌;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</si>
  <si>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庄文旅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</si>
  <si>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</si>
  <si>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</si>
  <si>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WHISKEY PLANET</t>
  </si>
  <si>
    <r>
      <t>威世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洋酒（青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</si>
  <si>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麦芽威士忌;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朗姆酒; 白酒; 梅酒;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混合威士忌酒; 威士忌</t>
    </r>
  </si>
  <si>
    <t>尖小二老白干</t>
  </si>
  <si>
    <r>
      <t>南充叉叉商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</si>
  <si>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白干酒（中国白酒）; 威士忌;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烈性干酒;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</si>
  <si>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五粮万</t>
  </si>
  <si>
    <r>
      <t>四川省宜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五粮液集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</si>
  <si>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</si>
  <si>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六敦</t>
  </si>
  <si>
    <r>
      <t>湖北直典文化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</si>
  <si>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</si>
  <si>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餐餐湘</t>
  </si>
  <si>
    <r>
      <t>广州市</t>
    </r>
    <r>
      <rPr>
        <sz val="11"/>
        <color theme="1"/>
        <rFont val="ＭＳ Ｐゴシック"/>
        <family val="3"/>
        <charset val="134"/>
        <scheme val="minor"/>
      </rPr>
      <t>汤</t>
    </r>
    <r>
      <rPr>
        <sz val="11"/>
        <color theme="1"/>
        <rFont val="ＭＳ Ｐゴシック"/>
        <family val="3"/>
        <charset val="128"/>
        <scheme val="minor"/>
      </rPr>
      <t>九九餐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</si>
  <si>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白酒; 黄酒; 米酒; 开胃酒</t>
    </r>
  </si>
  <si>
    <t>白珍珠</t>
  </si>
  <si>
    <r>
      <t>莎</t>
    </r>
    <r>
      <rPr>
        <sz val="11"/>
        <color theme="1"/>
        <rFont val="ＭＳ Ｐゴシック"/>
        <family val="3"/>
        <charset val="134"/>
        <scheme val="minor"/>
      </rPr>
      <t>车县</t>
    </r>
    <r>
      <rPr>
        <sz val="11"/>
        <color theme="1"/>
        <rFont val="ＭＳ Ｐゴシック"/>
        <family val="3"/>
        <charset val="128"/>
        <scheme val="minor"/>
      </rPr>
      <t>白珍珠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</si>
  <si>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果酒</t>
    </r>
  </si>
  <si>
    <r>
      <t>小小木</t>
    </r>
    <r>
      <rPr>
        <sz val="11"/>
        <color theme="1"/>
        <rFont val="ＭＳ Ｐゴシック"/>
        <family val="3"/>
        <charset val="134"/>
        <scheme val="minor"/>
      </rPr>
      <t>鸽</t>
    </r>
  </si>
  <si>
    <r>
      <t>李儒</t>
    </r>
    <r>
      <rPr>
        <sz val="11"/>
        <color theme="1"/>
        <rFont val="ＭＳ Ｐゴシック"/>
        <family val="3"/>
        <charset val="134"/>
        <scheme val="minor"/>
      </rPr>
      <t>岗</t>
    </r>
  </si>
  <si>
    <r>
      <t>薄荷酒;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果酒（含酒精）; 白酒; 黄酒</t>
    </r>
  </si>
  <si>
    <t>贵贡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</si>
  <si>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州大利医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保健品有限公司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</si>
  <si>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食用酒精;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</t>
    </r>
  </si>
  <si>
    <r>
      <t>佬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昌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</si>
  <si>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清市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斌米酒厂（普通合伙）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</si>
  <si>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果酒（含酒精）; 葡萄酒; 黄酒;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</si>
  <si>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山洞黔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</si>
  <si>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州山洞黔酒酒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</si>
  <si>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黄酒; 露酒; 果酒; 高粱酒;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</si>
  <si>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茯功</t>
  </si>
  <si>
    <r>
      <t>马丽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</si>
  <si>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>苦味酒; 开胃酒;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</si>
  <si>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水古冲</t>
  </si>
  <si>
    <r>
      <t>桂林市加洲八珍餐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</si>
  <si>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伏特加酒; 白酒; 威士忌; 青稞酒; 蒸煮提取物（利口酒和烈酒）;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</si>
  <si>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栖屋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</si>
  <si>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栖屋（厦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）文化科技有限公司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</si>
  <si>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</si>
  <si>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魔狸猫</t>
  </si>
  <si>
    <r>
      <t>上海众智金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信息管理有限公司广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分公司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</si>
  <si>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果酒; 米酒; 青稞酒; 甜酒; 餐后酒（利口酒和烈酒）; 葡萄酒; 威士忌</t>
    </r>
  </si>
  <si>
    <t>介如古藏</t>
  </si>
  <si>
    <r>
      <t>上海介如藏社文化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</si>
  <si>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米酒;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白酒; 清酒;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</si>
  <si>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稳</t>
    </r>
    <r>
      <rPr>
        <sz val="11"/>
        <color theme="1"/>
        <rFont val="ＭＳ Ｐゴシック"/>
        <family val="3"/>
        <charset val="128"/>
        <scheme val="minor"/>
      </rPr>
      <t>酒坊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</si>
  <si>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柯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和道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</si>
  <si>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t>米酒; 果酒（含酒精）; 白酒; 黄酒</t>
  </si>
  <si>
    <r>
      <t>安</t>
    </r>
    <r>
      <rPr>
        <sz val="11"/>
        <color theme="1"/>
        <rFont val="ＭＳ Ｐゴシック"/>
        <family val="3"/>
        <charset val="134"/>
        <scheme val="minor"/>
      </rPr>
      <t>稳</t>
    </r>
  </si>
  <si>
    <t>米酒; 白酒; 黄酒; 果酒（含酒精）</t>
  </si>
  <si>
    <r>
      <t>观</t>
    </r>
    <r>
      <rPr>
        <sz val="11"/>
        <color theme="1"/>
        <rFont val="ＭＳ Ｐゴシック"/>
        <family val="3"/>
        <charset val="128"/>
        <scheme val="minor"/>
      </rPr>
      <t>父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</si>
  <si>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东纳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保科技有限公司</t>
    </r>
  </si>
  <si>
    <r>
      <t xml:space="preserve">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青稞酒; 餐后酒（利口酒和烈酒）;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</si>
  <si>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回唇</t>
  </si>
  <si>
    <r>
      <t>盛永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</si>
  <si>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果酒（含酒精）; 苹果酒;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</si>
  <si>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壶</t>
    </r>
    <r>
      <rPr>
        <sz val="11"/>
        <color theme="1"/>
        <rFont val="ＭＳ Ｐゴシック"/>
        <family val="3"/>
        <charset val="128"/>
        <scheme val="minor"/>
      </rPr>
      <t>楼梦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</si>
  <si>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洋</t>
    </r>
  </si>
  <si>
    <r>
      <t xml:space="preserve">清酒（日本米酒）; 黄酒;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开胃酒; 果酒（含酒精）</t>
    </r>
  </si>
  <si>
    <t>沱福永和</t>
  </si>
  <si>
    <r>
      <t>舍得酒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</si>
  <si>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食用酒精; 白酒; 蒸煮提取物（利口酒和烈酒）; 葡萄酒</t>
    </r>
  </si>
  <si>
    <r>
      <t>沱福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</si>
  <si>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蒸煮提取物（利口酒和烈酒）; 利口酒;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</si>
  <si>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r>
      <t>晓</t>
    </r>
    <r>
      <rPr>
        <sz val="11"/>
        <color theme="1"/>
        <rFont val="ＭＳ Ｐゴシック"/>
        <family val="3"/>
        <charset val="128"/>
        <scheme val="minor"/>
      </rPr>
      <t>露泉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</si>
  <si>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东晓</t>
    </r>
    <r>
      <rPr>
        <sz val="11"/>
        <color theme="1"/>
        <rFont val="ＭＳ Ｐゴシック"/>
        <family val="3"/>
        <charset val="128"/>
        <scheme val="minor"/>
      </rPr>
      <t>露泉酒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</si>
  <si>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食用酒精;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</si>
  <si>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尖礼小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 xml:space="preserve"> 尖女</t>
    </r>
  </si>
  <si>
    <r>
      <t>湛江一</t>
    </r>
    <r>
      <rPr>
        <sz val="11"/>
        <color theme="1"/>
        <rFont val="ＭＳ Ｐゴシック"/>
        <family val="3"/>
        <charset val="134"/>
        <scheme val="minor"/>
      </rPr>
      <t>觅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</si>
  <si>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葡萄酒; 米酒; 汽酒; 黄酒;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苹果酒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</si>
  <si>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房</t>
    </r>
  </si>
  <si>
    <r>
      <t>开胃酒; 烈酒; 威士忌; 果酒（含酒精）; 葡萄酒;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</si>
  <si>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世彤 ETHTON</t>
    </r>
  </si>
  <si>
    <r>
      <t>沈阳嘉圣永情国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</si>
  <si>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</si>
  <si>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顺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</si>
  <si>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宾临门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</si>
  <si>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露酒;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米酒; 高粱酒; 青梅酒; 果酒（含酒精）</t>
    </r>
  </si>
  <si>
    <t>林叫售</t>
  </si>
  <si>
    <t>阿拉丁科技（福建）有限公司</t>
  </si>
  <si>
    <r>
      <t>白酒;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威士忌</t>
    </r>
  </si>
  <si>
    <t>承禧</t>
  </si>
  <si>
    <r>
      <t>许</t>
    </r>
    <r>
      <rPr>
        <sz val="11"/>
        <color theme="1"/>
        <rFont val="ＭＳ Ｐゴシック"/>
        <family val="3"/>
        <charset val="128"/>
        <scheme val="minor"/>
      </rPr>
      <t>智勇</t>
    </r>
  </si>
  <si>
    <r>
      <t xml:space="preserve">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葡萄酒</t>
    </r>
  </si>
  <si>
    <r>
      <t>湛江市城市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</si>
  <si>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</si>
  <si>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逍遥谷·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酒田园</t>
    </r>
  </si>
  <si>
    <t>徐升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</si>
  <si>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薄荷酒; 开胃酒; 白酒; 青稞酒;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</t>
    </r>
  </si>
  <si>
    <t>知路</t>
  </si>
  <si>
    <r>
      <t>南京中道文化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</si>
  <si>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苹果酒;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</si>
  <si>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御穗坊</t>
  </si>
  <si>
    <t>沈嘉利</t>
  </si>
  <si>
    <r>
      <t xml:space="preserve">白干酒（中国白酒）; 清酒; 米酒;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</t>
    </r>
  </si>
  <si>
    <t>保翎</t>
  </si>
  <si>
    <r>
      <t>宁波宝翎文化科技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</si>
  <si>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烈酒; 黄酒; 葡萄酒; 白葡萄酒; 清酒;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</si>
  <si>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泰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疆</t>
    </r>
  </si>
  <si>
    <t>河南盈养之家科技有限公司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</si>
  <si>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烈酒; 葡萄酒; 威士忌</t>
    </r>
  </si>
  <si>
    <t>郝卓霖******************</t>
  </si>
  <si>
    <r>
      <t>苦味酒;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开胃酒; 米酒; 葡萄酒</t>
    </r>
  </si>
  <si>
    <r>
      <t>忆难</t>
    </r>
    <r>
      <rPr>
        <sz val="11"/>
        <color theme="1"/>
        <rFont val="ＭＳ Ｐゴシック"/>
        <family val="3"/>
        <charset val="128"/>
        <scheme val="minor"/>
      </rPr>
      <t>瓶</t>
    </r>
  </si>
  <si>
    <r>
      <t>陈华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</si>
  <si>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威士忌; 清酒; 黄酒; 高粱酒; 葡萄酒; 米酒; 汽酒</t>
    </r>
  </si>
  <si>
    <t>心悦</t>
  </si>
  <si>
    <r>
      <t>郭</t>
    </r>
    <r>
      <rPr>
        <sz val="11"/>
        <color theme="1"/>
        <rFont val="ＭＳ Ｐゴシック"/>
        <family val="3"/>
        <charset val="134"/>
        <scheme val="minor"/>
      </rPr>
      <t>锋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</si>
  <si>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米酒; 果酒; 葡萄酒; 伏特加酒;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</si>
  <si>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百吉</t>
    </r>
    <r>
      <rPr>
        <sz val="11"/>
        <color theme="1"/>
        <rFont val="ＭＳ Ｐゴシック"/>
        <family val="3"/>
        <charset val="134"/>
        <scheme val="minor"/>
      </rPr>
      <t>纳</t>
    </r>
  </si>
  <si>
    <r>
      <t>内蒙古百吉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奶酒股份有限公司</t>
    </r>
  </si>
  <si>
    <r>
      <t>果酒（含酒精）; 白酒; 含酒精蛋奶酒;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含奶油利口酒;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奶油利口酒</t>
    </r>
  </si>
  <si>
    <t>光照皇酒</t>
  </si>
  <si>
    <r>
      <t>河南国韵光照酒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</si>
  <si>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米酒; 果酒; 白酒; 黄酒; 葡萄酒</t>
    </r>
  </si>
  <si>
    <r>
      <t>昆竹梅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</si>
  <si>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昆竹酒厂有限公司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</si>
  <si>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</si>
  <si>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醇</t>
    </r>
    <r>
      <rPr>
        <sz val="11"/>
        <color theme="1"/>
        <rFont val="ＭＳ Ｐゴシック"/>
        <family val="3"/>
        <charset val="134"/>
        <scheme val="minor"/>
      </rPr>
      <t>节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</si>
  <si>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晓爱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</si>
  <si>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甜果酒;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青稞酒</t>
    </r>
  </si>
  <si>
    <t>DOMAINE YITONG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</si>
  <si>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红桥</t>
    </r>
    <r>
      <rPr>
        <sz val="11"/>
        <color theme="1"/>
        <rFont val="ＭＳ Ｐゴシック"/>
        <family val="3"/>
        <charset val="128"/>
        <scheme val="minor"/>
      </rPr>
      <t>画廊有限公司</t>
    </r>
  </si>
  <si>
    <r>
      <t>米酒; 葡萄酒; 伏特加酒; 威士忌;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青稞酒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</si>
  <si>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正四品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</si>
  <si>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市燕雨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</si>
  <si>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果酒; 白干酒（中国白酒）; 开胃酒;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含酒精蛋奶酒; 食用酒精; 甘蔗汁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朗姆酒</t>
    </r>
  </si>
  <si>
    <r>
      <t>毕酿</t>
    </r>
    <r>
      <rPr>
        <sz val="11"/>
        <color theme="1"/>
        <rFont val="ＭＳ Ｐゴシック"/>
        <family val="3"/>
        <charset val="128"/>
        <scheme val="minor"/>
      </rPr>
      <t>祺香</t>
    </r>
  </si>
  <si>
    <r>
      <t>毕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文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</si>
  <si>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伏特加酒;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</si>
  <si>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州云康科技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</si>
  <si>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食用酒精;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</si>
  <si>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官固台</t>
  </si>
  <si>
    <r>
      <t>广源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</si>
  <si>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黄酒;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葡萄酒</t>
    </r>
  </si>
  <si>
    <r>
      <t>归</t>
    </r>
    <r>
      <rPr>
        <sz val="11"/>
        <color theme="1"/>
        <rFont val="ＭＳ Ｐゴシック"/>
        <family val="3"/>
        <charset val="128"/>
        <scheme val="minor"/>
      </rPr>
      <t>墟秘蜜</t>
    </r>
  </si>
  <si>
    <r>
      <t>归</t>
    </r>
    <r>
      <rPr>
        <sz val="11"/>
        <color theme="1"/>
        <rFont val="ＭＳ Ｐゴシック"/>
        <family val="3"/>
        <charset val="128"/>
        <scheme val="minor"/>
      </rPr>
      <t>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（舒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</si>
  <si>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汽酒; 果酒（含酒精）; 蜂蜜酒;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</si>
  <si>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拉恢</t>
  </si>
  <si>
    <t>廖勇</t>
  </si>
  <si>
    <r>
      <t>白酒; 黄酒;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梨酒;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</si>
  <si>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甄亭</t>
    </r>
  </si>
  <si>
    <r>
      <t>浙江金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味海食品股份有限公司</t>
    </r>
  </si>
  <si>
    <t>葡萄酒; 果酒（含酒精）</t>
  </si>
  <si>
    <t>DCLS DC GORE 德承楼上</t>
  </si>
  <si>
    <r>
      <t>陈财</t>
    </r>
    <r>
      <rPr>
        <sz val="11"/>
        <color theme="1"/>
        <rFont val="ＭＳ Ｐゴシック"/>
        <family val="3"/>
        <charset val="128"/>
        <scheme val="minor"/>
      </rPr>
      <t>洪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</si>
  <si>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果酒; 蜂蜜酒;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食用酒精</t>
    </r>
  </si>
  <si>
    <r>
      <t>山和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江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</si>
  <si>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化市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城区山禾商行</t>
    </r>
  </si>
  <si>
    <r>
      <t>威士忌;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果酒（含酒精）</t>
    </r>
  </si>
  <si>
    <t>POMELOZZINI</t>
  </si>
  <si>
    <r>
      <t>瑞士</t>
    </r>
    <r>
      <rPr>
        <sz val="11"/>
        <color theme="1"/>
        <rFont val="ＭＳ Ｐゴシック"/>
        <family val="3"/>
        <charset val="134"/>
        <scheme val="minor"/>
      </rPr>
      <t>谐</t>
    </r>
    <r>
      <rPr>
        <sz val="11"/>
        <color theme="1"/>
        <rFont val="ＭＳ Ｐゴシック"/>
        <family val="3"/>
        <charset val="128"/>
        <scheme val="minor"/>
      </rPr>
      <t>儿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本有限公司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</si>
  <si>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果酒（含酒精）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</si>
  <si>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众生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方科技有限公司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</si>
  <si>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露酒;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蝮蛇酒</t>
    </r>
  </si>
  <si>
    <r>
      <t>鸭</t>
    </r>
    <r>
      <rPr>
        <sz val="11"/>
        <color theme="1"/>
        <rFont val="ＭＳ Ｐゴシック"/>
        <family val="3"/>
        <charset val="128"/>
        <scheme val="minor"/>
      </rPr>
      <t>溪窖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</si>
  <si>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鸭</t>
    </r>
    <r>
      <rPr>
        <sz val="11"/>
        <color theme="1"/>
        <rFont val="ＭＳ Ｐゴシック"/>
        <family val="3"/>
        <charset val="128"/>
        <scheme val="minor"/>
      </rPr>
      <t>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</si>
  <si>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苹果酒; 白酒</t>
    </r>
  </si>
  <si>
    <t>MAYGAUER</t>
  </si>
  <si>
    <t>斐高（杭州）酒庄有限公司</t>
  </si>
  <si>
    <r>
      <t>威士忌; 米酒; 伏特加酒;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</t>
    </r>
  </si>
  <si>
    <r>
      <t>闻</t>
    </r>
    <r>
      <rPr>
        <sz val="11"/>
        <color theme="1"/>
        <rFont val="ＭＳ Ｐゴシック"/>
        <family val="3"/>
        <charset val="128"/>
        <scheme val="minor"/>
      </rPr>
      <t>品匠台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</si>
  <si>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州匠台酒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</si>
  <si>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</si>
  <si>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北京三生万医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</si>
  <si>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</si>
  <si>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r>
      <t>晋香大槐</t>
    </r>
    <r>
      <rPr>
        <sz val="11"/>
        <color theme="1"/>
        <rFont val="ＭＳ Ｐゴシック"/>
        <family val="3"/>
        <charset val="134"/>
        <scheme val="minor"/>
      </rPr>
      <t>树</t>
    </r>
  </si>
  <si>
    <t>王林静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</si>
  <si>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</si>
  <si>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HYNAUT</t>
  </si>
  <si>
    <r>
      <t>海氏海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</si>
  <si>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汽酒; 食用酒精;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</si>
  <si>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州大地酒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</si>
  <si>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薄荷酒;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苦味酒; 葡萄酒; 果酒（含酒精）</t>
    </r>
  </si>
  <si>
    <t>青王瓷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</si>
  <si>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西秦森酒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</si>
  <si>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阿夸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特酒;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卡沙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酒; 含酒精的潘趣酒;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烈性干酒; 五加皮酒（中国混合烈酒）</t>
    </r>
  </si>
  <si>
    <r>
      <t>庸城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</si>
  <si>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家界岩</t>
    </r>
    <r>
      <rPr>
        <sz val="11"/>
        <color theme="1"/>
        <rFont val="ＭＳ Ｐゴシック"/>
        <family val="3"/>
        <charset val="134"/>
        <scheme val="minor"/>
      </rPr>
      <t>语间</t>
    </r>
    <r>
      <rPr>
        <sz val="11"/>
        <color theme="1"/>
        <rFont val="ＭＳ Ｐゴシック"/>
        <family val="3"/>
        <charset val="128"/>
        <scheme val="minor"/>
      </rPr>
      <t>酒店管理有限公司</t>
    </r>
  </si>
  <si>
    <r>
      <t xml:space="preserve">汽酒;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</si>
  <si>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吾啦</t>
  </si>
  <si>
    <r>
      <t>四川好土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土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</si>
  <si>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</si>
  <si>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美高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</si>
  <si>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伏特加酒;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果酒（含酒精）; 葡萄酒</t>
    </r>
  </si>
  <si>
    <r>
      <t>云水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粮</t>
    </r>
  </si>
  <si>
    <r>
      <t>云水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粱(云南)酒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</si>
  <si>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甜酒; 高粱酒; 青稞酒; 果酒; 白酒; 米酒</t>
    </r>
  </si>
  <si>
    <r>
      <t>汾酒</t>
    </r>
    <r>
      <rPr>
        <sz val="11"/>
        <color theme="1"/>
        <rFont val="ＭＳ Ｐゴシック"/>
        <family val="3"/>
        <charset val="134"/>
        <scheme val="minor"/>
      </rPr>
      <t>红</t>
    </r>
  </si>
  <si>
    <t>山西杏花村汾酒厂股份有限公司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</si>
  <si>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</si>
  <si>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土知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</si>
  <si>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深圳市知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</si>
  <si>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白酒; 黄酒;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</si>
  <si>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火知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</si>
  <si>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黄酒</t>
    </r>
  </si>
  <si>
    <r>
      <t>夏知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</si>
  <si>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清酒（日本米酒）;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</si>
  <si>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乐库</t>
  </si>
  <si>
    <r>
      <t>王运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</si>
  <si>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清酒; 露酒; 白酒; 苦味酒; 汽酒; 青稞酒; 果酒; 黄酒; 葡萄酒</t>
    </r>
  </si>
  <si>
    <r>
      <t>水知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</si>
  <si>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清酒（日本米酒）; 葡萄酒; 黄酒;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</si>
  <si>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沈阳工学院 SIT 1999 SHENYANG INSTITUTE OF TECHNOLOGY</t>
  </si>
  <si>
    <t>沈阳工学院</t>
  </si>
  <si>
    <r>
      <t xml:space="preserve">白酒; 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青梅酒</t>
    </r>
  </si>
  <si>
    <r>
      <t>镇龙</t>
    </r>
    <r>
      <rPr>
        <sz val="11"/>
        <color theme="1"/>
        <rFont val="ＭＳ Ｐゴシック"/>
        <family val="3"/>
        <charset val="128"/>
        <scheme val="minor"/>
      </rPr>
      <t>吟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</si>
  <si>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行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</si>
  <si>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威士忌; 黄酒; 葡萄酒;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</si>
  <si>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t>引望</t>
  </si>
  <si>
    <r>
      <t>成都市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地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</si>
  <si>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烈酒; 白干酒（中国白酒）; 葡萄酒; 白酒; 米酒; 果酒（含酒精）; 开胃酒;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</t>
    </r>
  </si>
  <si>
    <r>
      <t>导</t>
    </r>
    <r>
      <rPr>
        <sz val="11"/>
        <color theme="1"/>
        <rFont val="ＭＳ Ｐゴシック"/>
        <family val="3"/>
        <charset val="128"/>
        <scheme val="minor"/>
      </rPr>
      <t>火索 DAOVERSAL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</si>
  <si>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轻态</t>
    </r>
    <r>
      <rPr>
        <sz val="11"/>
        <color theme="1"/>
        <rFont val="ＭＳ Ｐゴシック"/>
        <family val="3"/>
        <charset val="128"/>
        <scheme val="minor"/>
      </rPr>
      <t>广告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</si>
  <si>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薄荷酒; 威士忌; 苦味酒;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</si>
  <si>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馀庆</t>
    </r>
    <r>
      <rPr>
        <sz val="11"/>
        <color theme="1"/>
        <rFont val="ＭＳ Ｐゴシック"/>
        <family val="3"/>
        <charset val="128"/>
        <scheme val="minor"/>
      </rPr>
      <t>老</t>
    </r>
  </si>
  <si>
    <t>李德洪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</si>
  <si>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白酒; 果酒（含酒精）; 葡萄酒; 米酒; 食用酒精</t>
    </r>
  </si>
  <si>
    <t>界宝</t>
  </si>
  <si>
    <r>
      <t>上海界宝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</si>
  <si>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</si>
  <si>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t>SIMONSIG STELLENBOSCH MALAN 12 50</t>
  </si>
  <si>
    <t>西蒙舍庄园私人有限公司</t>
  </si>
  <si>
    <t>五五福源</t>
  </si>
  <si>
    <r>
      <t>五五福源（北京）文化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</si>
  <si>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葡萄酒; 朗姆酒;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</si>
  <si>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江西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创农业发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</si>
  <si>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白干酒（中国白酒）;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甘蔗制烈酒; 苦艾酒;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黄酒; 草莓酒;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</si>
  <si>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德威士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</si>
  <si>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千嬉供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</si>
  <si>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伏特加酒; 果酒</t>
    </r>
  </si>
  <si>
    <t>ROOSTER ROJO</t>
  </si>
  <si>
    <r>
      <t>安珀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</si>
  <si>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</si>
  <si>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第E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</si>
  <si>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雪芹</t>
    </r>
  </si>
  <si>
    <t>开胃酒; 果酒; 汽酒; 清酒; 黄酒; 白酒; 米酒; 葡萄酒; 食用酒精; 甜酒</t>
  </si>
  <si>
    <r>
      <t>热</t>
    </r>
    <r>
      <rPr>
        <sz val="11"/>
        <color theme="1"/>
        <rFont val="ＭＳ Ｐゴシック"/>
        <family val="3"/>
        <charset val="128"/>
        <scheme val="minor"/>
      </rPr>
      <t>小黄</t>
    </r>
  </si>
  <si>
    <r>
      <t>浙江澎湃酒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</si>
  <si>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甘蔗制烈酒;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</si>
  <si>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悟</t>
    </r>
    <r>
      <rPr>
        <sz val="11"/>
        <color theme="1"/>
        <rFont val="ＭＳ Ｐゴシック"/>
        <family val="3"/>
        <charset val="134"/>
        <scheme val="minor"/>
      </rPr>
      <t>齐鲁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</si>
  <si>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姣娣</t>
    </r>
  </si>
  <si>
    <r>
      <t xml:space="preserve">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</si>
  <si>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敦本堂</t>
  </si>
  <si>
    <t>吴娜</t>
  </si>
  <si>
    <r>
      <t>白酒; 葡萄酒;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汽酒; 黄酒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</si>
  <si>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播美</t>
    </r>
  </si>
  <si>
    <r>
      <t>广州圣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良品健康科技有限公司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</si>
  <si>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含酒精的气泡水; 苹果酒; 威士忌; 果酒（含酒精）; 黄酒; 白酒</t>
    </r>
  </si>
  <si>
    <t>NANSHAN</t>
  </si>
  <si>
    <r>
      <t>南山集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</si>
  <si>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伏特加酒; 白酒; 汽酒; 青稞酒;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</si>
  <si>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立品</t>
  </si>
  <si>
    <r>
      <t>河南秀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</si>
  <si>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果酒; 食用酒精;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</si>
  <si>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r>
      <t>陇东</t>
    </r>
    <r>
      <rPr>
        <sz val="11"/>
        <color theme="1"/>
        <rFont val="ＭＳ Ｐゴシック"/>
        <family val="3"/>
        <charset val="128"/>
        <scheme val="minor"/>
      </rPr>
      <t>情</t>
    </r>
    <r>
      <rPr>
        <sz val="11"/>
        <color theme="1"/>
        <rFont val="ＭＳ Ｐゴシック"/>
        <family val="3"/>
        <charset val="134"/>
        <scheme val="minor"/>
      </rPr>
      <t>浓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</si>
  <si>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梦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</si>
  <si>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</si>
  <si>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叶敏</t>
  </si>
  <si>
    <r>
      <t xml:space="preserve">黄酒; 蜂蜜酒; 开胃酒;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葡萄酒; 白酒</t>
    </r>
  </si>
  <si>
    <t>SATSUMA TEMBU</t>
  </si>
  <si>
    <r>
      <t>易</t>
    </r>
    <r>
      <rPr>
        <sz val="11"/>
        <color theme="1"/>
        <rFont val="ＭＳ Ｐゴシック"/>
        <family val="3"/>
        <charset val="134"/>
        <scheme val="minor"/>
      </rPr>
      <t>纳购</t>
    </r>
    <r>
      <rPr>
        <sz val="11"/>
        <color theme="1"/>
        <rFont val="ＭＳ Ｐゴシック"/>
        <family val="3"/>
        <charset val="128"/>
        <scheme val="minor"/>
      </rPr>
      <t>控股株式会社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</si>
  <si>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</si>
  <si>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之</t>
    </r>
  </si>
  <si>
    <t>朋礼加</t>
  </si>
  <si>
    <r>
      <t xml:space="preserve">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白酒; 烈酒; 露酒; 高粱酒; 黄酒</t>
    </r>
  </si>
  <si>
    <r>
      <t>西施</t>
    </r>
    <r>
      <rPr>
        <sz val="11"/>
        <color theme="1"/>
        <rFont val="ＭＳ Ｐゴシック"/>
        <family val="3"/>
        <charset val="134"/>
        <scheme val="minor"/>
      </rPr>
      <t>汤记</t>
    </r>
  </si>
  <si>
    <r>
      <t>诸</t>
    </r>
    <r>
      <rPr>
        <sz val="11"/>
        <color theme="1"/>
        <rFont val="ＭＳ Ｐゴシック"/>
        <family val="3"/>
        <charset val="129"/>
        <scheme val="minor"/>
      </rPr>
      <t>暨</t>
    </r>
    <r>
      <rPr>
        <sz val="11"/>
        <color theme="1"/>
        <rFont val="ＭＳ Ｐゴシック"/>
        <family val="3"/>
        <charset val="128"/>
        <scheme val="minor"/>
      </rPr>
      <t>市承允涂料有限公司</t>
    </r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</si>
  <si>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米酒; 黄酒; 蜂蜜酒; 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</si>
  <si>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薯是薯非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</si>
  <si>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驴</t>
    </r>
    <r>
      <rPr>
        <sz val="11"/>
        <color theme="1"/>
        <rFont val="ＭＳ Ｐゴシック"/>
        <family val="3"/>
        <charset val="128"/>
        <scheme val="minor"/>
      </rPr>
      <t>道奇食品有限公司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</si>
  <si>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高粱酒;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黄酒; 葡萄酒</t>
    </r>
  </si>
  <si>
    <r>
      <t>淮河大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</si>
  <si>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盱眙酒行家商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</si>
  <si>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米酒;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</t>
    </r>
  </si>
  <si>
    <t>蚧牌</t>
  </si>
  <si>
    <r>
      <t>广西花米蜂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</si>
  <si>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黄酒</t>
    </r>
  </si>
  <si>
    <t>路平安</t>
  </si>
  <si>
    <r>
      <t>淄博路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</si>
  <si>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食用酒精;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</si>
  <si>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浏</t>
    </r>
    <r>
      <rPr>
        <sz val="11"/>
        <color theme="1"/>
        <rFont val="ＭＳ Ｐゴシック"/>
        <family val="3"/>
        <charset val="128"/>
        <scheme val="minor"/>
      </rPr>
      <t>阳河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</si>
  <si>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浏</t>
    </r>
    <r>
      <rPr>
        <sz val="11"/>
        <color theme="1"/>
        <rFont val="ＭＳ Ｐゴシック"/>
        <family val="3"/>
        <charset val="128"/>
        <scheme val="minor"/>
      </rPr>
      <t>阳河酒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</si>
  <si>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米酒; 威士忌; 青稞酒;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</si>
  <si>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常</t>
    </r>
    <r>
      <rPr>
        <sz val="11"/>
        <color theme="1"/>
        <rFont val="ＭＳ Ｐゴシック"/>
        <family val="3"/>
        <charset val="134"/>
        <scheme val="minor"/>
      </rPr>
      <t>势</t>
    </r>
    <r>
      <rPr>
        <sz val="11"/>
        <color theme="1"/>
        <rFont val="ＭＳ Ｐゴシック"/>
        <family val="3"/>
        <charset val="128"/>
        <scheme val="minor"/>
      </rPr>
      <t>常行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</si>
  <si>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洪</t>
    </r>
    <r>
      <rPr>
        <sz val="11"/>
        <color theme="1"/>
        <rFont val="ＭＳ Ｐゴシック"/>
        <family val="3"/>
        <charset val="134"/>
        <scheme val="minor"/>
      </rPr>
      <t>兴伟业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</si>
  <si>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梅酒; 米酒; 高粱酒;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</si>
  <si>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金土坊六必酒</t>
    </r>
    <r>
      <rPr>
        <sz val="11"/>
        <color theme="1"/>
        <rFont val="ＭＳ Ｐゴシック"/>
        <family val="3"/>
        <charset val="134"/>
        <scheme val="minor"/>
      </rPr>
      <t>经</t>
    </r>
  </si>
  <si>
    <r>
      <t>马坚</t>
    </r>
    <r>
      <rPr>
        <sz val="11"/>
        <color theme="1"/>
        <rFont val="ＭＳ Ｐゴシック"/>
        <family val="3"/>
        <charset val="128"/>
        <scheme val="minor"/>
      </rPr>
      <t>国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</si>
  <si>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露酒; 黄酒; 开胃酒; 威士忌</t>
    </r>
  </si>
  <si>
    <t>津酒</t>
  </si>
  <si>
    <r>
      <t>天津津酒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</si>
  <si>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</t>
    </r>
  </si>
  <si>
    <t>津酒 年份珍藏</t>
  </si>
  <si>
    <r>
      <t xml:space="preserve">古 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狼</t>
    </r>
  </si>
  <si>
    <r>
      <t>杨锡</t>
    </r>
    <r>
      <rPr>
        <sz val="11"/>
        <color theme="1"/>
        <rFont val="ＭＳ Ｐゴシック"/>
        <family val="3"/>
        <charset val="128"/>
        <scheme val="minor"/>
      </rPr>
      <t>柏</t>
    </r>
  </si>
  <si>
    <r>
      <t>果酒（含酒精）; 葡萄酒; 米酒; 朗姆酒;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白酒; 清酒; 甘蔗制烈酒;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</si>
  <si>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</si>
  <si>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清酒; 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</si>
  <si>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ANNELIESE</t>
  </si>
  <si>
    <r>
      <t>南京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岩百</t>
    </r>
    <r>
      <rPr>
        <sz val="11"/>
        <color theme="1"/>
        <rFont val="ＭＳ Ｐゴシック"/>
        <family val="3"/>
        <charset val="134"/>
        <scheme val="minor"/>
      </rPr>
      <t>货贸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</si>
  <si>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柑香酒;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杜松子酒; 威士忌; 伏特加酒; 利口酒;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</t>
    </r>
  </si>
  <si>
    <t>LEEPOLO</t>
  </si>
  <si>
    <r>
      <t>福建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玖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</si>
  <si>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葡萄酒; 白干酒（中国白酒）; 白酒; 烈酒; 蜂蜜酒;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</si>
  <si>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土城黄金湾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</si>
  <si>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州宋窖酒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</si>
  <si>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薄荷酒;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柑香酒;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</si>
  <si>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HERBEL</t>
  </si>
  <si>
    <r>
      <t>安徽黑白服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</si>
  <si>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开胃酒;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</si>
  <si>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臣一品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</si>
  <si>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秀清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</si>
  <si>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葡萄酒;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</si>
  <si>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NUTUP</t>
  </si>
  <si>
    <r>
      <t>宁波广源聚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</si>
  <si>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烈酒; 汽酒;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食用酒精;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</si>
  <si>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稳</t>
    </r>
    <r>
      <rPr>
        <sz val="11"/>
        <color theme="1"/>
        <rFont val="ＭＳ Ｐゴシック"/>
        <family val="3"/>
        <charset val="128"/>
        <scheme val="minor"/>
      </rPr>
      <t>女儿</t>
    </r>
  </si>
  <si>
    <t>米酒; 白酒; 黄酒</t>
  </si>
  <si>
    <r>
      <t>绍</t>
    </r>
    <r>
      <rPr>
        <sz val="11"/>
        <color theme="1"/>
        <rFont val="ＭＳ Ｐゴシック"/>
        <family val="3"/>
        <charset val="128"/>
        <scheme val="minor"/>
      </rPr>
      <t>三</t>
    </r>
    <r>
      <rPr>
        <sz val="11"/>
        <color theme="1"/>
        <rFont val="ＭＳ Ｐゴシック"/>
        <family val="3"/>
        <charset val="134"/>
        <scheme val="minor"/>
      </rPr>
      <t>乌</t>
    </r>
  </si>
  <si>
    <r>
      <t>南京好女儿酒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</si>
  <si>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汽酒;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</si>
  <si>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元炁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宗</t>
    </r>
  </si>
  <si>
    <r>
      <t>北京袖里乾坤策划咨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</si>
  <si>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五加皮酒（中国混合烈酒）;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开胃酒; 米酒; 果酒; 露酒; 白酒;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</si>
  <si>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江吾家有喜</t>
    </r>
  </si>
  <si>
    <r>
      <t>桂林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</si>
  <si>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汽酒; 黄酒; 白酒; 清酒; 高粱酒; 果酒; 烈酒;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</si>
  <si>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常州市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合大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</si>
  <si>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</si>
  <si>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CALLEJON DE LAS BRUJAS</t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</si>
  <si>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烈酒</t>
    </r>
  </si>
  <si>
    <r>
      <t>后刘生</t>
    </r>
    <r>
      <rPr>
        <sz val="11"/>
        <color theme="1"/>
        <rFont val="ＭＳ Ｐゴシック"/>
        <family val="3"/>
        <charset val="134"/>
        <scheme val="minor"/>
      </rPr>
      <t>产队</t>
    </r>
    <r>
      <rPr>
        <sz val="11"/>
        <color theme="1"/>
        <rFont val="ＭＳ Ｐゴシック"/>
        <family val="3"/>
        <charset val="128"/>
        <scheme val="minor"/>
      </rPr>
      <t xml:space="preserve"> HOULIUSHEANGCHANDUI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</si>
  <si>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玖珂石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石材有限公司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</si>
  <si>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</si>
  <si>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青城赤兔</t>
  </si>
  <si>
    <t>李春梅</t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</si>
  <si>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</t>
    </r>
  </si>
  <si>
    <t>稌醴</t>
  </si>
  <si>
    <r>
      <t>海</t>
    </r>
    <r>
      <rPr>
        <sz val="11"/>
        <color theme="1"/>
        <rFont val="ＭＳ Ｐゴシック"/>
        <family val="3"/>
        <charset val="134"/>
        <scheme val="minor"/>
      </rPr>
      <t>盐</t>
    </r>
    <r>
      <rPr>
        <sz val="11"/>
        <color theme="1"/>
        <rFont val="ＭＳ Ｐゴシック"/>
        <family val="3"/>
        <charset val="128"/>
        <scheme val="minor"/>
      </rPr>
      <t>果然生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</si>
  <si>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白酒;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甜酒</t>
    </r>
  </si>
  <si>
    <t>千科口粮酒</t>
  </si>
  <si>
    <r>
      <t>赵</t>
    </r>
    <r>
      <rPr>
        <sz val="11"/>
        <color theme="1"/>
        <rFont val="ＭＳ Ｐゴシック"/>
        <family val="3"/>
        <charset val="128"/>
        <scheme val="minor"/>
      </rPr>
      <t>春梅</t>
    </r>
  </si>
  <si>
    <r>
      <t>米酒; 利口酒; 黄酒;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清酒;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</si>
  <si>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全食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</si>
  <si>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欣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盟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</si>
  <si>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白干酒（中国白酒）; 米酒; 黄酒; 白酒; 高粱酒; 清酒（日本米酒）</t>
    </r>
  </si>
  <si>
    <r>
      <t>祖樽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</si>
  <si>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柔和酒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</si>
  <si>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葡萄酒; 梨酒; 青稞酒; 黄酒; 利口酒; 米酒; 白酒; 清酒（日本米酒）</t>
    </r>
  </si>
  <si>
    <t>AAAEIA OINOE AIKEP</t>
  </si>
  <si>
    <r>
      <t>乐尔</t>
    </r>
    <r>
      <rPr>
        <sz val="11"/>
        <color theme="1"/>
        <rFont val="ＭＳ Ｐゴシック"/>
        <family val="3"/>
        <charset val="128"/>
        <scheme val="minor"/>
      </rPr>
      <t>悠馨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奥米恰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伊有限公司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</si>
  <si>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加烈葡萄酒;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不起泡葡萄酒;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佐餐酒; 甜果酒</t>
    </r>
  </si>
  <si>
    <r>
      <t>亳口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亳醴</t>
    </r>
  </si>
  <si>
    <t>李振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</si>
  <si>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米酒; 葡萄酒</t>
    </r>
  </si>
  <si>
    <t>菊人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</si>
  <si>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菊人服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</si>
  <si>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清酒</t>
    </r>
  </si>
  <si>
    <r>
      <t>金波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酥</t>
    </r>
  </si>
  <si>
    <r>
      <t>壹酒（北京）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</si>
  <si>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</si>
  <si>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大 DH 大口喝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</si>
  <si>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金谷雨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</si>
  <si>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</t>
    </r>
  </si>
  <si>
    <t>易美思</t>
  </si>
  <si>
    <r>
      <t>安徽永</t>
    </r>
    <r>
      <rPr>
        <sz val="11"/>
        <color theme="1"/>
        <rFont val="ＭＳ Ｐゴシック"/>
        <family val="3"/>
        <charset val="134"/>
        <scheme val="minor"/>
      </rPr>
      <t>汇电</t>
    </r>
    <r>
      <rPr>
        <sz val="11"/>
        <color theme="1"/>
        <rFont val="ＭＳ Ｐゴシック"/>
        <family val="3"/>
        <charset val="128"/>
        <scheme val="minor"/>
      </rPr>
      <t>力科技集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</si>
  <si>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</si>
  <si>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t>GIN SUL</t>
  </si>
  <si>
    <r>
      <t>阿斯木阿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托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烈酒制造厂股份有限公司</t>
    </r>
  </si>
  <si>
    <r>
      <t>嗨</t>
    </r>
    <r>
      <rPr>
        <sz val="11"/>
        <color theme="1"/>
        <rFont val="ＭＳ Ｐゴシック"/>
        <family val="3"/>
        <charset val="134"/>
        <scheme val="minor"/>
      </rPr>
      <t>饮坛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</si>
  <si>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翔醉酒品牌管理有限公司</t>
    </r>
  </si>
  <si>
    <r>
      <t xml:space="preserve">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米酒;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</si>
  <si>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魁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 xml:space="preserve"> 彩陶黄金叶</t>
    </r>
  </si>
  <si>
    <r>
      <t>德州悟德酒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</si>
  <si>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食用酒精</t>
    </r>
  </si>
  <si>
    <r>
      <t>围</t>
    </r>
    <r>
      <rPr>
        <sz val="11"/>
        <color theme="1"/>
        <rFont val="ＭＳ Ｐゴシック"/>
        <family val="3"/>
        <charset val="128"/>
        <scheme val="minor"/>
      </rPr>
      <t>村人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</si>
  <si>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联线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</si>
  <si>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米酒; 威士忌; 汽酒; 清酒（日本米酒）;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</si>
  <si>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沙湘姑娘餐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</si>
  <si>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薄荷酒;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</si>
  <si>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耳兔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</si>
  <si>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文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</si>
  <si>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葡萄酒; 白酒;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</si>
  <si>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罐哥将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</si>
  <si>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罐哥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</si>
  <si>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</si>
  <si>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榧母</t>
  </si>
  <si>
    <r>
      <t>宣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</si>
  <si>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白酒; 清酒（日本米酒）;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</si>
  <si>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RAYO VIVO</t>
  </si>
  <si>
    <r>
      <t>北京雷莎国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</si>
  <si>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威士忌; 朗姆酒; 伏特加酒;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</si>
  <si>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LA ROUTE DE CHARME SISLEY</t>
  </si>
  <si>
    <r>
      <t>省利哆（厦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</si>
  <si>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开胃酒; 餐后酒（利口酒和烈酒）;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</si>
  <si>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昌衡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</si>
  <si>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衡昌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</si>
  <si>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白酒; 果酒; 白干酒（中国白酒）;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</si>
  <si>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衡昌酒坊</t>
  </si>
  <si>
    <r>
      <t>贡</t>
    </r>
    <r>
      <rPr>
        <sz val="11"/>
        <color theme="1"/>
        <rFont val="ＭＳ Ｐゴシック"/>
        <family val="3"/>
        <charset val="128"/>
        <scheme val="minor"/>
      </rPr>
      <t>喜礼</t>
    </r>
  </si>
  <si>
    <r>
      <t>彭水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阳</t>
    </r>
    <r>
      <rPr>
        <sz val="11"/>
        <color theme="1"/>
        <rFont val="ＭＳ Ｐゴシック"/>
        <family val="3"/>
        <charset val="134"/>
        <scheme val="minor"/>
      </rPr>
      <t>桥农业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</si>
  <si>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葡萄酒;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白干酒（中国白酒）; 甜果酒; 高粱酒; 食用酒精</t>
    </r>
  </si>
  <si>
    <r>
      <t>朝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 xml:space="preserve"> 酒</t>
    </r>
  </si>
  <si>
    <r>
      <t>浙江荷</t>
    </r>
    <r>
      <rPr>
        <sz val="11"/>
        <color theme="1"/>
        <rFont val="ＭＳ Ｐゴシック"/>
        <family val="3"/>
        <charset val="134"/>
        <scheme val="minor"/>
      </rPr>
      <t>颂农业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</si>
  <si>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</si>
  <si>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ZTION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</si>
  <si>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市慕格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</si>
  <si>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</si>
  <si>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TASSONI</t>
  </si>
  <si>
    <r>
      <t>塞德拉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塔索尼</t>
    </r>
    <r>
      <rPr>
        <sz val="11"/>
        <color theme="1"/>
        <rFont val="ＭＳ Ｐゴシック"/>
        <family val="3"/>
        <charset val="134"/>
        <scheme val="minor"/>
      </rPr>
      <t>萨罗</t>
    </r>
    <r>
      <rPr>
        <sz val="11"/>
        <color theme="1"/>
        <rFont val="ＭＳ Ｐゴシック"/>
        <family val="3"/>
        <charset val="128"/>
        <scheme val="minor"/>
      </rPr>
      <t>股份公司</t>
    </r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</si>
  <si>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苦味酒;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</si>
  <si>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亖水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</si>
  <si>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市越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非</t>
    </r>
    <r>
      <rPr>
        <sz val="11"/>
        <color theme="1"/>
        <rFont val="ＭＳ Ｐゴシック"/>
        <family val="3"/>
        <charset val="134"/>
        <scheme val="minor"/>
      </rPr>
      <t>遗</t>
    </r>
    <r>
      <rPr>
        <sz val="11"/>
        <color theme="1"/>
        <rFont val="ＭＳ Ｐゴシック"/>
        <family val="3"/>
        <charset val="128"/>
        <scheme val="minor"/>
      </rPr>
      <t>文化有限公司</t>
    </r>
  </si>
  <si>
    <r>
      <t xml:space="preserve">高粱酒;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</si>
  <si>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方星雅</t>
    </r>
  </si>
  <si>
    <r>
      <t>梁金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</si>
  <si>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</si>
  <si>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朴</t>
    </r>
    <r>
      <rPr>
        <sz val="11"/>
        <color theme="1"/>
        <rFont val="ＭＳ Ｐゴシック"/>
        <family val="3"/>
        <charset val="134"/>
        <scheme val="minor"/>
      </rPr>
      <t>实农</t>
    </r>
    <r>
      <rPr>
        <sz val="11"/>
        <color theme="1"/>
        <rFont val="ＭＳ Ｐゴシック"/>
        <family val="3"/>
        <charset val="128"/>
        <scheme val="minor"/>
      </rPr>
      <t>情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</si>
  <si>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名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</si>
  <si>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食用酒精; 威士忌</t>
    </r>
  </si>
  <si>
    <t>CHATEAU DE CURSOL</t>
  </si>
  <si>
    <r>
      <t>里永酒庄有限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</si>
  <si>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利口酒; 开胃酒;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酸酒（低等葡萄酒）;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</si>
  <si>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男以离开</t>
  </si>
  <si>
    <r>
      <t>林之尚沃（天津）国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</si>
  <si>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</si>
  <si>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太湖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</si>
  <si>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湖州老恒和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</si>
  <si>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</si>
  <si>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舒适酒</t>
  </si>
  <si>
    <r>
      <t>刘小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</si>
  <si>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果酒; 梅酒; 烈酒;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蒸煮提取物（利口酒和烈酒）; 食用酒精; 烈性干酒</t>
    </r>
  </si>
  <si>
    <t>石家河</t>
  </si>
  <si>
    <r>
      <t>天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市石家河国投文化旅游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</si>
  <si>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黄酒; 白酒; 蜂蜜酒;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</si>
  <si>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禧</t>
    </r>
    <r>
      <rPr>
        <sz val="11"/>
        <color theme="1"/>
        <rFont val="ＭＳ Ｐゴシック"/>
        <family val="3"/>
        <charset val="134"/>
        <scheme val="minor"/>
      </rPr>
      <t>净</t>
    </r>
    <r>
      <rPr>
        <sz val="11"/>
        <color theme="1"/>
        <rFont val="ＭＳ Ｐゴシック"/>
        <family val="3"/>
        <charset val="128"/>
        <scheme val="minor"/>
      </rPr>
      <t>笙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</si>
  <si>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湖北李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珍中医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</si>
  <si>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</si>
  <si>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号青</t>
  </si>
  <si>
    <t>李丕喜</t>
  </si>
  <si>
    <r>
      <t>黄酒;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</si>
  <si>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生恣</t>
    </r>
    <r>
      <rPr>
        <sz val="11"/>
        <color theme="1"/>
        <rFont val="ＭＳ Ｐゴシック"/>
        <family val="3"/>
        <charset val="134"/>
        <scheme val="minor"/>
      </rPr>
      <t>唤</t>
    </r>
    <r>
      <rPr>
        <sz val="11"/>
        <color theme="1"/>
        <rFont val="ＭＳ Ｐゴシック"/>
        <family val="3"/>
        <charset val="128"/>
        <scheme val="minor"/>
      </rPr>
      <t>妍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</si>
  <si>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</si>
  <si>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山西海星未来科技有限公司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</si>
  <si>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梨酒; 白酒; 葡萄酒;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</si>
  <si>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皇小九 四百年的</t>
    </r>
    <r>
      <rPr>
        <sz val="11"/>
        <color theme="1"/>
        <rFont val="ＭＳ Ｐゴシック"/>
        <family val="3"/>
        <charset val="134"/>
        <scheme val="minor"/>
      </rPr>
      <t>记忆</t>
    </r>
  </si>
  <si>
    <r>
      <t>天津天宝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</si>
  <si>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果酒（含酒精）;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</si>
  <si>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新盈培源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</si>
  <si>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</si>
  <si>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翠德堡</t>
  </si>
  <si>
    <r>
      <t>缔锦</t>
    </r>
    <r>
      <rPr>
        <sz val="11"/>
        <color theme="1"/>
        <rFont val="ＭＳ Ｐゴシック"/>
        <family val="3"/>
        <charset val="128"/>
        <scheme val="minor"/>
      </rPr>
      <t>科技（宁波）有限公司</t>
    </r>
  </si>
  <si>
    <r>
      <t>果酒（含酒精）; 黄酒; 米酒;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混合威士忌酒; 清酒</t>
    </r>
  </si>
  <si>
    <t>面翡醉 MIFEIZUI</t>
  </si>
  <si>
    <t>稻本色</t>
  </si>
  <si>
    <r>
      <t>昆明云派酒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</si>
  <si>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</si>
  <si>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芝麻官五品</t>
  </si>
  <si>
    <r>
      <t>河南双</t>
    </r>
    <r>
      <rPr>
        <sz val="11"/>
        <color theme="1"/>
        <rFont val="ＭＳ Ｐゴシック"/>
        <family val="3"/>
        <charset val="134"/>
        <scheme val="minor"/>
      </rPr>
      <t>连壶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</si>
  <si>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</si>
  <si>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N-CROWN</t>
  </si>
  <si>
    <r>
      <t>郭</t>
    </r>
    <r>
      <rPr>
        <sz val="11"/>
        <color theme="1"/>
        <rFont val="ＭＳ Ｐゴシック"/>
        <family val="3"/>
        <charset val="134"/>
        <scheme val="minor"/>
      </rPr>
      <t>泽龙</t>
    </r>
  </si>
  <si>
    <r>
      <t>黄酒; 白酒; 开胃酒; 清酒（日本米酒）; 果酒（含酒精）;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</si>
  <si>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台 酒</t>
    </r>
    <r>
      <rPr>
        <sz val="11"/>
        <color theme="1"/>
        <rFont val="ＭＳ Ｐゴシック"/>
        <family val="3"/>
        <charset val="134"/>
        <scheme val="minor"/>
      </rPr>
      <t>宾</t>
    </r>
  </si>
  <si>
    <t>吴得勇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</si>
  <si>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青稞酒; 米酒; 果酒（含酒精）; 葡萄酒;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</si>
  <si>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月衡昇气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</si>
  <si>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</si>
  <si>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黄蓬本草</t>
  </si>
  <si>
    <t>湖北威城食品有限公司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</si>
  <si>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</si>
  <si>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LOTEFIYE 落特非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</si>
  <si>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>新疆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体健康管理有限公司</t>
    </r>
  </si>
  <si>
    <r>
      <t>果酒（含酒精）; 柑香酒; 葡萄酒; 蜂蜜酒; 梨酒;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酸酒（低等葡萄酒）;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</si>
  <si>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FUTURE PARK</t>
  </si>
  <si>
    <t>坤鼎控股有限公司</t>
  </si>
  <si>
    <r>
      <t>薄荷酒;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</si>
  <si>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LE ANTILOPI</t>
  </si>
  <si>
    <r>
      <t>广州大宏</t>
    </r>
    <r>
      <rPr>
        <sz val="11"/>
        <color theme="1"/>
        <rFont val="ＭＳ Ｐゴシック"/>
        <family val="3"/>
        <charset val="134"/>
        <scheme val="minor"/>
      </rPr>
      <t>图贸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</si>
  <si>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苦味酒; 开胃酒; 苹果酒; 白酒;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梨酒; 米酒; 葡萄酒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</si>
  <si>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尚九熙</t>
    </r>
  </si>
  <si>
    <r>
      <t>汪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</si>
  <si>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</si>
  <si>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露吉旺</t>
  </si>
  <si>
    <r>
      <t>新疆鑫瑞祥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林牧科技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</si>
  <si>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</si>
  <si>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粮砂坊酒</t>
  </si>
  <si>
    <r>
      <t>郑丽</t>
    </r>
    <r>
      <rPr>
        <sz val="11"/>
        <color theme="1"/>
        <rFont val="ＭＳ Ｐゴシック"/>
        <family val="3"/>
        <charset val="128"/>
        <scheme val="minor"/>
      </rPr>
      <t>娣</t>
    </r>
  </si>
  <si>
    <r>
      <t xml:space="preserve">清酒; 威士忌; 葡萄酒; 黄酒; 白酒; 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</si>
  <si>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呷</t>
    </r>
  </si>
  <si>
    <r>
      <t>五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区皓盈百</t>
    </r>
    <r>
      <rPr>
        <sz val="11"/>
        <color theme="1"/>
        <rFont val="ＭＳ Ｐゴシック"/>
        <family val="3"/>
        <charset val="134"/>
        <scheme val="minor"/>
      </rPr>
      <t>货经营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</si>
  <si>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 xml:space="preserve">米酒;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薄荷酒; 果酒（含酒精）; 葡萄酒; 烈酒</t>
    </r>
  </si>
  <si>
    <t>底片</t>
  </si>
  <si>
    <t>邹伟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</si>
  <si>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朗姆酒;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果酒; 利口酒</t>
    </r>
  </si>
  <si>
    <t>遵烈曲</t>
  </si>
  <si>
    <r>
      <t>王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蕊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</si>
  <si>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黄酒; 清酒（日本米酒）</t>
    </r>
  </si>
  <si>
    <t>湘呷</t>
  </si>
  <si>
    <r>
      <t xml:space="preserve">薄荷酒; 果酒（含酒精）;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米酒</t>
    </r>
  </si>
  <si>
    <r>
      <t>郭家朝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 xml:space="preserve"> 之宝御笔光</t>
    </r>
    <r>
      <rPr>
        <sz val="11"/>
        <color theme="1"/>
        <rFont val="ＭＳ Ｐゴシック"/>
        <family val="3"/>
        <charset val="134"/>
        <scheme val="minor"/>
      </rPr>
      <t>绪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</si>
  <si>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莹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</si>
  <si>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威士忌</t>
    </r>
  </si>
  <si>
    <t>庄遇台</t>
  </si>
  <si>
    <t>肖利琴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</si>
  <si>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葡萄酒; 白酒; 烈酒; 开胃酒;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</si>
  <si>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与米</t>
    </r>
    <r>
      <rPr>
        <sz val="11"/>
        <color theme="1"/>
        <rFont val="ＭＳ Ｐゴシック"/>
        <family val="3"/>
        <charset val="134"/>
        <scheme val="minor"/>
      </rPr>
      <t>说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</si>
  <si>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广州二狗吃喝文化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</si>
  <si>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果酒; 清酒（日本米酒）; 白干酒（中国白酒）; 日式甜米酒; 清酒; 青梅酒; 梅酒</t>
    </r>
  </si>
  <si>
    <t>TOMIKURA</t>
  </si>
  <si>
    <r>
      <t>华</t>
    </r>
    <r>
      <rPr>
        <sz val="11"/>
        <color theme="1"/>
        <rFont val="ＭＳ Ｐゴシック"/>
        <family val="3"/>
        <charset val="128"/>
        <scheme val="minor"/>
      </rPr>
      <t>富（厦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</si>
  <si>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伏特加酒; 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</si>
  <si>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LIESBETH</t>
  </si>
  <si>
    <r>
      <t>中德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</si>
  <si>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酸酒（低等葡萄酒）; 葡萄酒</t>
    </r>
  </si>
  <si>
    <r>
      <t>一</t>
    </r>
    <r>
      <rPr>
        <sz val="11"/>
        <color theme="1"/>
        <rFont val="ＭＳ Ｐゴシック"/>
        <family val="3"/>
        <charset val="134"/>
        <scheme val="minor"/>
      </rPr>
      <t>盏</t>
    </r>
    <r>
      <rPr>
        <sz val="11"/>
        <color theme="1"/>
        <rFont val="ＭＳ Ｐゴシック"/>
        <family val="3"/>
        <charset val="128"/>
        <scheme val="minor"/>
      </rPr>
      <t>白</t>
    </r>
  </si>
  <si>
    <t>陶陶然</t>
  </si>
  <si>
    <r>
      <t>薄荷酒; 威士忌; 白酒; 开胃酒; 葡萄酒;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</si>
  <si>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人加人</t>
  </si>
  <si>
    <r>
      <t>广西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海生物科技有限公司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</si>
  <si>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露酒; 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</t>
    </r>
  </si>
  <si>
    <t>洛神仙子</t>
  </si>
  <si>
    <t>路文才******************</t>
  </si>
  <si>
    <r>
      <t>薄荷酒; 果酒（含酒精）; 开胃酒; 葡萄酒;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米酒</t>
    </r>
  </si>
  <si>
    <r>
      <t>岳家</t>
    </r>
    <r>
      <rPr>
        <sz val="11"/>
        <color theme="1"/>
        <rFont val="ＭＳ Ｐゴシック"/>
        <family val="3"/>
        <charset val="134"/>
        <scheme val="minor"/>
      </rPr>
      <t>汘</t>
    </r>
    <r>
      <rPr>
        <sz val="11"/>
        <color theme="1"/>
        <rFont val="ＭＳ Ｐゴシック"/>
        <family val="3"/>
        <charset val="128"/>
        <scheme val="minor"/>
      </rPr>
      <t>金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</si>
  <si>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岛汘</t>
    </r>
    <r>
      <rPr>
        <sz val="11"/>
        <color theme="1"/>
        <rFont val="ＭＳ Ｐゴシック"/>
        <family val="3"/>
        <charset val="128"/>
        <scheme val="minor"/>
      </rPr>
      <t>金生物科技有限公司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</si>
  <si>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</si>
  <si>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超己春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</si>
  <si>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凤锦桥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</si>
  <si>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白干酒（中国白酒）; 高粱酒; 果酒;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露酒</t>
    </r>
  </si>
  <si>
    <t>李氏美</t>
  </si>
  <si>
    <t>李熠</t>
  </si>
  <si>
    <r>
      <t>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薄荷酒;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</t>
    </r>
  </si>
  <si>
    <t>YISHUMOU</t>
  </si>
  <si>
    <r>
      <t>北京礼物文化集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</si>
  <si>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清酒;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</t>
    </r>
  </si>
  <si>
    <r>
      <t>钊</t>
    </r>
    <r>
      <rPr>
        <sz val="11"/>
        <color theme="1"/>
        <rFont val="ＭＳ Ｐゴシック"/>
        <family val="3"/>
        <charset val="128"/>
        <scheme val="minor"/>
      </rPr>
      <t>公</t>
    </r>
  </si>
  <si>
    <r>
      <t>阜阳市吴氏至德</t>
    </r>
    <r>
      <rPr>
        <sz val="11"/>
        <color theme="1"/>
        <rFont val="ＭＳ Ｐゴシック"/>
        <family val="3"/>
        <charset val="134"/>
        <scheme val="minor"/>
      </rPr>
      <t>经济发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</si>
  <si>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</si>
  <si>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者醇</t>
    </r>
  </si>
  <si>
    <r>
      <t>绍兴长</t>
    </r>
    <r>
      <rPr>
        <sz val="11"/>
        <color theme="1"/>
        <rFont val="ＭＳ Ｐゴシック"/>
        <family val="3"/>
        <charset val="128"/>
        <scheme val="minor"/>
      </rPr>
      <t>者醇酒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</si>
  <si>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</si>
  <si>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香古沙</t>
    </r>
  </si>
  <si>
    <r>
      <t>肖子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</si>
  <si>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果酒（含酒精）;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</t>
    </r>
  </si>
  <si>
    <r>
      <t>燅</t>
    </r>
    <r>
      <rPr>
        <sz val="11"/>
        <color theme="1"/>
        <rFont val="ＭＳ Ｐゴシック"/>
        <family val="3"/>
        <charset val="128"/>
        <scheme val="minor"/>
      </rPr>
      <t>台好礼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</si>
  <si>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州京</t>
    </r>
    <r>
      <rPr>
        <sz val="11"/>
        <color theme="1"/>
        <rFont val="ＭＳ Ｐゴシック"/>
        <family val="3"/>
        <charset val="134"/>
        <scheme val="minor"/>
      </rPr>
      <t>谭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</si>
  <si>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</si>
  <si>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志</t>
  </si>
  <si>
    <r>
      <t>深圳市盛禾达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</si>
  <si>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</si>
  <si>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伏特加酒;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</t>
    </r>
  </si>
  <si>
    <t>善</t>
  </si>
  <si>
    <r>
      <t>陆</t>
    </r>
    <r>
      <rPr>
        <sz val="11"/>
        <color theme="1"/>
        <rFont val="ＭＳ Ｐゴシック"/>
        <family val="3"/>
        <charset val="128"/>
        <scheme val="minor"/>
      </rPr>
      <t>彩良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</si>
  <si>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苹果酒; 青稞酒;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</si>
  <si>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食除以酒</t>
  </si>
  <si>
    <r>
      <t>联</t>
    </r>
    <r>
      <rPr>
        <sz val="11"/>
        <color theme="1"/>
        <rFont val="ＭＳ Ｐゴシック"/>
        <family val="3"/>
        <charset val="128"/>
        <scheme val="minor"/>
      </rPr>
      <t>合宣(深圳)商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</si>
  <si>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烈酒;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</si>
  <si>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寅茂堂</t>
  </si>
  <si>
    <r>
      <t>倪志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</si>
  <si>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白酒; 伏特加酒</t>
    </r>
  </si>
  <si>
    <t>苢台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</si>
  <si>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</si>
  <si>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r>
      <t>超己 超越自己 成就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</si>
  <si>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 xml:space="preserve">白干酒（中国白酒）; 高粱酒;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露酒</t>
    </r>
  </si>
  <si>
    <r>
      <t>围</t>
    </r>
    <r>
      <rPr>
        <sz val="11"/>
        <color theme="1"/>
        <rFont val="ＭＳ Ｐゴシック"/>
        <family val="3"/>
        <charset val="128"/>
        <scheme val="minor"/>
      </rPr>
      <t>九段</t>
    </r>
  </si>
  <si>
    <t>姚明明</t>
  </si>
  <si>
    <r>
      <t xml:space="preserve">白酒; 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</si>
  <si>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甄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每刻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</si>
  <si>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丹</t>
    </r>
  </si>
  <si>
    <t>汽酒; 清酒; 甜酒; 白酒; 果酒; 葡萄酒; 食用酒精; 黄酒; 开胃酒; 米酒</t>
  </si>
  <si>
    <r>
      <t>晋</t>
    </r>
    <r>
      <rPr>
        <sz val="11"/>
        <color theme="1"/>
        <rFont val="ＭＳ Ｐゴシック"/>
        <family val="3"/>
        <charset val="134"/>
        <scheme val="minor"/>
      </rPr>
      <t>阶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</si>
  <si>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海英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</si>
  <si>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食用酒精; 米酒</t>
    </r>
  </si>
  <si>
    <t>超己醇</t>
  </si>
  <si>
    <r>
      <t>九</t>
    </r>
    <r>
      <rPr>
        <sz val="11"/>
        <color theme="1"/>
        <rFont val="ＭＳ Ｐゴシック"/>
        <family val="3"/>
        <charset val="134"/>
        <scheme val="minor"/>
      </rPr>
      <t>缋</t>
    </r>
    <r>
      <rPr>
        <sz val="11"/>
        <color theme="1"/>
        <rFont val="ＭＳ Ｐゴシック"/>
        <family val="3"/>
        <charset val="128"/>
        <scheme val="minor"/>
      </rPr>
      <t>流</t>
    </r>
  </si>
  <si>
    <r>
      <t>郭太</t>
    </r>
    <r>
      <rPr>
        <sz val="11"/>
        <color theme="1"/>
        <rFont val="ＭＳ Ｐゴシック"/>
        <family val="3"/>
        <charset val="134"/>
        <scheme val="minor"/>
      </rPr>
      <t>连</t>
    </r>
  </si>
  <si>
    <r>
      <t xml:space="preserve">葡萄酒; 米酒;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白干酒（中国白酒）; 烈酒; 甜酒</t>
    </r>
  </si>
  <si>
    <t>杵囍</t>
  </si>
  <si>
    <r>
      <t>孙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</si>
  <si>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蜂蜜酒;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</si>
  <si>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河恩源</t>
  </si>
  <si>
    <r>
      <t>罗</t>
    </r>
    <r>
      <rPr>
        <sz val="11"/>
        <color theme="1"/>
        <rFont val="ＭＳ Ｐゴシック"/>
        <family val="3"/>
        <charset val="128"/>
        <scheme val="minor"/>
      </rPr>
      <t>文星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</si>
  <si>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甜酒; 清酒; 高粱酒; 果酒; 烈酒; 白酒</t>
    </r>
  </si>
  <si>
    <r>
      <t>枫</t>
    </r>
    <r>
      <rPr>
        <sz val="11"/>
        <color theme="1"/>
        <rFont val="ＭＳ Ｐゴシック"/>
        <family val="3"/>
        <charset val="128"/>
        <scheme val="minor"/>
      </rPr>
      <t>榕窖</t>
    </r>
    <r>
      <rPr>
        <sz val="11"/>
        <color theme="1"/>
        <rFont val="ＭＳ Ｐゴシック"/>
        <family val="3"/>
        <charset val="134"/>
        <scheme val="minor"/>
      </rPr>
      <t>飞驰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</si>
  <si>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恒天酒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</si>
  <si>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餐后酒（利口酒和烈酒）; 米酒; 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</si>
  <si>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江北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</si>
  <si>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聊城市尚善社会工作服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</si>
  <si>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白酒; 米酒</t>
    </r>
  </si>
  <si>
    <t>蜀酒醉</t>
  </si>
  <si>
    <r>
      <t>罗继</t>
    </r>
    <r>
      <rPr>
        <sz val="11"/>
        <color theme="1"/>
        <rFont val="ＭＳ Ｐゴシック"/>
        <family val="3"/>
        <charset val="128"/>
        <scheme val="minor"/>
      </rPr>
      <t>斌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</si>
  <si>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食用酒精;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</si>
  <si>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家玖坊</t>
    </r>
  </si>
  <si>
    <r>
      <t>南京同仁堂健康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</si>
  <si>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朗姆酒; 苦味酒;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</si>
  <si>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WEINHAUS REH KENDERMANN</t>
  </si>
  <si>
    <t>莱茵肯德曼葡萄酒有限公司</t>
  </si>
  <si>
    <r>
      <t>蔡班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</si>
  <si>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粮谷酒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</si>
  <si>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高粱酒; 果酒; 烈酒; 白酒; 伏特加酒; 米酒; 薄荷酒; 葡萄酒; 黄酒; 利口酒</t>
  </si>
  <si>
    <t>TARKHUN</t>
  </si>
  <si>
    <t>格林克莱德威士忌有限公司</t>
  </si>
  <si>
    <r>
      <t>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混合威士忌酒;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开胃酒; 梨酒;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朗姆酒; 伏特加酒; 麦芽威士忌;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</si>
  <si>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女</t>
    </r>
    <r>
      <rPr>
        <sz val="11"/>
        <color theme="1"/>
        <rFont val="ＭＳ Ｐゴシック"/>
        <family val="3"/>
        <charset val="134"/>
        <scheme val="minor"/>
      </rPr>
      <t>矿长</t>
    </r>
  </si>
  <si>
    <r>
      <t>山西安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玉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煤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</si>
  <si>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白酒; 高粱酒; 果酒; 黄酒</t>
    </r>
  </si>
  <si>
    <r>
      <t>国</t>
    </r>
    <r>
      <rPr>
        <sz val="11"/>
        <color theme="1"/>
        <rFont val="ＭＳ Ｐゴシック"/>
        <family val="3"/>
        <charset val="134"/>
        <scheme val="minor"/>
      </rPr>
      <t>际岛</t>
    </r>
    <r>
      <rPr>
        <sz val="11"/>
        <color theme="1"/>
        <rFont val="ＭＳ Ｐゴシック"/>
        <family val="3"/>
        <charset val="128"/>
        <scheme val="minor"/>
      </rPr>
      <t>老爸</t>
    </r>
  </si>
  <si>
    <r>
      <t>海南</t>
    </r>
    <r>
      <rPr>
        <sz val="11"/>
        <color theme="1"/>
        <rFont val="ＭＳ Ｐゴシック"/>
        <family val="3"/>
        <charset val="134"/>
        <scheme val="minor"/>
      </rPr>
      <t>盘</t>
    </r>
    <r>
      <rPr>
        <sz val="11"/>
        <color theme="1"/>
        <rFont val="ＭＳ Ｐゴシック"/>
        <family val="3"/>
        <charset val="128"/>
        <scheme val="minor"/>
      </rPr>
      <t>古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人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</si>
  <si>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</si>
  <si>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四暖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</si>
  <si>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怡酒酒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</si>
  <si>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白酒; 烈酒;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高粱酒</t>
    </r>
  </si>
  <si>
    <r>
      <t>秦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</si>
  <si>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西恒邦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</si>
  <si>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州舜義酒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</si>
  <si>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混合威士忌酒;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烈酒;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</si>
  <si>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江西一路上去文旅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</si>
  <si>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</si>
  <si>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BAIRONGMING</t>
  </si>
  <si>
    <r>
      <t>河南甜酒</t>
    </r>
    <r>
      <rPr>
        <sz val="11"/>
        <color theme="1"/>
        <rFont val="ＭＳ Ｐゴシック"/>
        <family val="3"/>
        <charset val="134"/>
        <scheme val="minor"/>
      </rPr>
      <t>窝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</si>
  <si>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食用酒精; 米酒</t>
    </r>
  </si>
  <si>
    <t>美巡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</si>
  <si>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州大福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</si>
  <si>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薄荷酒; 果酒（含酒精）; 苦味酒;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茴香酒（利口酒）; 开胃酒; 茴芹酒（利口酒）</t>
    </r>
  </si>
  <si>
    <t>巴拉女神</t>
  </si>
  <si>
    <r>
      <t>甘</t>
    </r>
    <r>
      <rPr>
        <sz val="11"/>
        <color theme="1"/>
        <rFont val="ＭＳ Ｐゴシック"/>
        <family val="3"/>
        <charset val="134"/>
        <scheme val="minor"/>
      </rPr>
      <t>肃润泽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食品管理有限公司</t>
    </r>
  </si>
  <si>
    <r>
      <t>白酒; 葡萄酒; 清酒; 薄荷酒;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蜂蜜酒; 米酒; 高粱酒; 威士忌</t>
    </r>
  </si>
  <si>
    <t>醉空花</t>
  </si>
  <si>
    <t>朱保燕</t>
  </si>
  <si>
    <r>
      <t xml:space="preserve">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食用酒精;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</si>
  <si>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九州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爵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</si>
  <si>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邑科技有限公司</t>
    </r>
  </si>
  <si>
    <r>
      <t>苹果酒; 葡萄酒; 蜂蜜酒; 清酒（日本米酒）;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</si>
  <si>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SET CONCEPT 集合概念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</si>
  <si>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美度名迪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</si>
  <si>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含酒精的气泡水;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葡萄酒; 食用酒精</t>
    </r>
  </si>
  <si>
    <r>
      <t>陈盘</t>
    </r>
    <r>
      <rPr>
        <sz val="11"/>
        <color theme="1"/>
        <rFont val="ＭＳ Ｐゴシック"/>
        <family val="3"/>
        <charset val="128"/>
        <scheme val="minor"/>
      </rPr>
      <t>大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</si>
  <si>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白酒; 米酒; 利口酒; 伏特加酒; 黄酒</t>
    </r>
  </si>
  <si>
    <t>RAMON BILBAO</t>
  </si>
  <si>
    <r>
      <t>拉蒙·</t>
    </r>
    <r>
      <rPr>
        <sz val="11"/>
        <color theme="1"/>
        <rFont val="ＭＳ Ｐゴシック"/>
        <family val="3"/>
        <charset val="134"/>
        <scheme val="minor"/>
      </rPr>
      <t>毕尔</t>
    </r>
    <r>
      <rPr>
        <sz val="11"/>
        <color theme="1"/>
        <rFont val="ＭＳ Ｐゴシック"/>
        <family val="3"/>
        <charset val="128"/>
        <scheme val="minor"/>
      </rPr>
      <t>巴鄂酒庄公司</t>
    </r>
  </si>
  <si>
    <t>穿城</t>
  </si>
  <si>
    <r>
      <t>天津荣霞食品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</si>
  <si>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</si>
  <si>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笆</t>
    </r>
    <r>
      <rPr>
        <sz val="11"/>
        <color theme="1"/>
        <rFont val="ＭＳ Ｐゴシック"/>
        <family val="3"/>
        <charset val="134"/>
        <scheme val="minor"/>
      </rPr>
      <t>鸠</t>
    </r>
    <r>
      <rPr>
        <sz val="11"/>
        <color theme="1"/>
        <rFont val="ＭＳ Ｐゴシック"/>
        <family val="3"/>
        <charset val="128"/>
        <scheme val="minor"/>
      </rPr>
      <t>蔽</t>
    </r>
  </si>
  <si>
    <r>
      <t>佛山市粤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</si>
  <si>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食用酒精; 蒸煮提取物（利口酒和烈酒）; 清酒（日本米酒）</t>
    </r>
  </si>
  <si>
    <t>茂功</t>
  </si>
  <si>
    <r>
      <t>河北巨鑫酒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</si>
  <si>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伏特加酒; 清酒; 白酒</t>
    </r>
  </si>
  <si>
    <t>混元生</t>
  </si>
  <si>
    <r>
      <t>河南光波文化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</si>
  <si>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白酒;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高粱酒; 果酒;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</si>
  <si>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皇</t>
    </r>
    <r>
      <rPr>
        <sz val="11"/>
        <color theme="1"/>
        <rFont val="ＭＳ Ｐゴシック"/>
        <family val="3"/>
        <charset val="134"/>
        <scheme val="minor"/>
      </rPr>
      <t>顿</t>
    </r>
    <r>
      <rPr>
        <sz val="11"/>
        <color theme="1"/>
        <rFont val="ＭＳ Ｐゴシック"/>
        <family val="3"/>
        <charset val="128"/>
        <scheme val="minor"/>
      </rPr>
      <t>庄园 KIDUN MANOR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</si>
  <si>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伏特加酒; 米酒;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清酒</t>
    </r>
  </si>
  <si>
    <t>紫陶氿 彩陶氿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</si>
  <si>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州珍沙窖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</si>
  <si>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白酒; 果酒（含酒精）;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</si>
  <si>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西燕壮炙</t>
  </si>
  <si>
    <r>
      <t>广西万国酒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</si>
  <si>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利口酒; 黄酒</t>
    </r>
  </si>
  <si>
    <r>
      <t xml:space="preserve">SATINCASTLE 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丁堡</t>
    </r>
  </si>
  <si>
    <r>
      <t>伏特加酒; 清酒; 黄酒; 葡萄酒; 果酒（含酒精）; 威士忌;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</si>
  <si>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白茗匠</t>
  </si>
  <si>
    <t>何宏达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</si>
  <si>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米酒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</si>
  <si>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游</t>
    </r>
  </si>
  <si>
    <t>冯润龙</t>
  </si>
  <si>
    <r>
      <t xml:space="preserve">白酒; 黄酒; 开胃酒; 清酒（日本米酒）; 果酒（含酒精）;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</t>
    </r>
  </si>
  <si>
    <r>
      <t>和美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醇</t>
    </r>
  </si>
  <si>
    <r>
      <t>川府名匠（成都）文化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</si>
  <si>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青稞酒; 果酒（含酒精）; 葡萄酒; 茴香酒（利口酒）; 杜松子酒; 蜂蜜酒; 汽酒</t>
    </r>
  </si>
  <si>
    <t>勒拿庄园 LERRIOMANOR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</si>
  <si>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白酒; 黄酒; 果酒（含酒精）; 葡萄酒; 伏特加酒;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</si>
  <si>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樽溢五洲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</si>
  <si>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市臻玖至品酒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</si>
  <si>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甜酒; 白酒;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水果汽酒; 米酒; 葡萄酒; 黄酒</t>
    </r>
  </si>
  <si>
    <r>
      <t>湖北容阳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</si>
  <si>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</t>
    </r>
  </si>
  <si>
    <t>鸭财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</si>
  <si>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州天越生物制品有限公司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</si>
  <si>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烈酒; 黄酒; 高粱酒; 青稞酒; 米酒; 白干酒（中国白酒）; 苹果酒; 葡萄酒</t>
    </r>
  </si>
  <si>
    <t>北味得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</si>
  <si>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江自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区</t>
    </r>
    <r>
      <rPr>
        <sz val="11"/>
        <color theme="1"/>
        <rFont val="ＭＳ Ｐゴシック"/>
        <family val="3"/>
        <charset val="134"/>
        <scheme val="minor"/>
      </rPr>
      <t>绥</t>
    </r>
    <r>
      <rPr>
        <sz val="11"/>
        <color theme="1"/>
        <rFont val="ＭＳ Ｐゴシック"/>
        <family val="3"/>
        <charset val="128"/>
        <scheme val="minor"/>
      </rPr>
      <t>芬河片区世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嘉益商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</si>
  <si>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高粱酒</t>
    </r>
  </si>
  <si>
    <t>徼酒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</si>
  <si>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济沧</t>
    </r>
    <r>
      <rPr>
        <sz val="11"/>
        <color theme="1"/>
        <rFont val="ＭＳ Ｐゴシック"/>
        <family val="3"/>
        <charset val="128"/>
        <scheme val="minor"/>
      </rPr>
      <t>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</si>
  <si>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青稞酒;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</si>
  <si>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仁久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</si>
  <si>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</si>
  <si>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烈酒; 露酒; 高粱酒; 黄酒</t>
    </r>
  </si>
  <si>
    <t>丘名山</t>
  </si>
  <si>
    <r>
      <t>浙江斯普</t>
    </r>
    <r>
      <rPr>
        <sz val="11"/>
        <color theme="1"/>
        <rFont val="ＭＳ Ｐゴシック"/>
        <family val="3"/>
        <charset val="134"/>
        <scheme val="minor"/>
      </rPr>
      <t>锐</t>
    </r>
    <r>
      <rPr>
        <sz val="11"/>
        <color theme="1"/>
        <rFont val="ＭＳ Ｐゴシック"/>
        <family val="3"/>
        <charset val="128"/>
        <scheme val="minor"/>
      </rPr>
      <t>材料科技有限公司</t>
    </r>
  </si>
  <si>
    <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白酒; 果酒;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米酒; 甜酒</t>
    </r>
  </si>
  <si>
    <t>垙酒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</si>
  <si>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州行生堂医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科技研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</si>
  <si>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蜂蜜酒; 米酒</t>
    </r>
  </si>
  <si>
    <t>丘明山</t>
  </si>
  <si>
    <r>
      <t>蜂蜜酒; 米酒; 白酒; 甜酒;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果酒;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</si>
  <si>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七杜</t>
  </si>
  <si>
    <t>湖南拓美斯生物科技有限公司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</si>
  <si>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</si>
  <si>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浓</t>
    </r>
    <r>
      <rPr>
        <sz val="11"/>
        <color theme="1"/>
        <rFont val="ＭＳ Ｐゴシック"/>
        <family val="3"/>
        <charset val="128"/>
        <scheme val="minor"/>
      </rPr>
      <t>秘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</si>
  <si>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平云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</si>
  <si>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餐后酒（利口酒和烈酒）;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苹果酒</t>
    </r>
  </si>
  <si>
    <t>太檬</t>
  </si>
  <si>
    <r>
      <t>乐</t>
    </r>
    <r>
      <rPr>
        <sz val="11"/>
        <color theme="1"/>
        <rFont val="ＭＳ Ｐゴシック"/>
        <family val="3"/>
        <charset val="128"/>
        <scheme val="minor"/>
      </rPr>
      <t>清市小毛</t>
    </r>
    <r>
      <rPr>
        <sz val="11"/>
        <color theme="1"/>
        <rFont val="ＭＳ Ｐゴシック"/>
        <family val="3"/>
        <charset val="134"/>
        <scheme val="minor"/>
      </rPr>
      <t>驴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</si>
  <si>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甜酒; 白酒; 烈酒; 高粱酒; 果酒; 黄酒</t>
    </r>
  </si>
  <si>
    <t>了米</t>
  </si>
  <si>
    <t>二享科技（北京）有限公司</t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</si>
  <si>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</t>
    </r>
  </si>
  <si>
    <t>周家望族</t>
  </si>
  <si>
    <r>
      <t>安</t>
    </r>
    <r>
      <rPr>
        <sz val="11"/>
        <color theme="1"/>
        <rFont val="ＭＳ Ｐゴシック"/>
        <family val="3"/>
        <charset val="134"/>
        <scheme val="minor"/>
      </rPr>
      <t>济桥</t>
    </r>
    <r>
      <rPr>
        <sz val="11"/>
        <color theme="1"/>
        <rFont val="ＭＳ Ｐゴシック"/>
        <family val="3"/>
        <charset val="128"/>
        <scheme val="minor"/>
      </rPr>
      <t>老白干酒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</si>
  <si>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白酒; 甜果酒; 黄酒; 薄荷酒; 葡萄酒; 白干酒（中国白酒）; 清酒;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</si>
  <si>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蜀祖本草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</si>
  <si>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华酿</t>
    </r>
    <r>
      <rPr>
        <sz val="11"/>
        <color theme="1"/>
        <rFont val="ＭＳ Ｐゴシック"/>
        <family val="3"/>
        <charset val="128"/>
        <scheme val="minor"/>
      </rPr>
      <t>蜀窖酒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</si>
  <si>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</t>
    </r>
  </si>
  <si>
    <t>菓来香</t>
  </si>
  <si>
    <r>
      <t>天瓶（北京）酒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</si>
  <si>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米酒; 葡萄酒</t>
    </r>
  </si>
  <si>
    <r>
      <t>金礼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牌酎 金礼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牌氿 金礼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牌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</si>
  <si>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双喜集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</si>
  <si>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清酒; 烈酒; 果酒; 黄酒</t>
    </r>
  </si>
  <si>
    <t>KASTRA ELION VODKA PREMIUM SIPPING</t>
  </si>
  <si>
    <r>
      <t>赛</t>
    </r>
    <r>
      <rPr>
        <sz val="11"/>
        <color theme="1"/>
        <rFont val="ＭＳ Ｐゴシック"/>
        <family val="3"/>
        <charset val="128"/>
        <scheme val="minor"/>
      </rPr>
      <t>慕斯葡萄酒及烈酒有限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</si>
  <si>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t>伏特加酒</t>
  </si>
  <si>
    <t>御炙仙粮</t>
  </si>
  <si>
    <t>北京五谷堂食品有限公司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</si>
  <si>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</si>
  <si>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如意</t>
    </r>
  </si>
  <si>
    <t>娄少雨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</si>
  <si>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汽酒; 黄酒; 果酒; 葡萄酒; 白干酒（中国白酒）; 佐餐酒;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</si>
  <si>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HUANGLIANGMIJIU</t>
  </si>
  <si>
    <r>
      <t>什邡市新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</si>
  <si>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青稞酒;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</si>
  <si>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才酒气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</si>
  <si>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仁川炉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科技股份有限公司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</si>
  <si>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米酒</t>
    </r>
  </si>
  <si>
    <r>
      <t>罗兰狮</t>
    </r>
    <r>
      <rPr>
        <sz val="11"/>
        <color theme="1"/>
        <rFont val="ＭＳ Ｐゴシック"/>
        <family val="3"/>
        <charset val="128"/>
        <scheme val="minor"/>
      </rPr>
      <t>子</t>
    </r>
  </si>
  <si>
    <t>唐新玲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</si>
  <si>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佐餐酒; 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</t>
    </r>
  </si>
  <si>
    <r>
      <t>山西成兆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</si>
  <si>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清酒（日本米酒）; 米酒;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</si>
  <si>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ICE GROUND</t>
  </si>
  <si>
    <r>
      <t>加拿大雅生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</si>
  <si>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蒸煮提取物（利口酒和烈酒）; 蜂蜜酒; 清酒（日本米酒）</t>
    </r>
  </si>
  <si>
    <t>高黎神</t>
  </si>
  <si>
    <r>
      <t>云南杜</t>
    </r>
    <r>
      <rPr>
        <sz val="11"/>
        <color theme="1"/>
        <rFont val="ＭＳ Ｐゴシック"/>
        <family val="3"/>
        <charset val="134"/>
        <scheme val="minor"/>
      </rPr>
      <t>鹃</t>
    </r>
    <r>
      <rPr>
        <sz val="11"/>
        <color theme="1"/>
        <rFont val="ＭＳ Ｐゴシック"/>
        <family val="3"/>
        <charset val="128"/>
        <scheme val="minor"/>
      </rPr>
      <t>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</si>
  <si>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果酒（含酒精）; 葡萄酒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</si>
  <si>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楚</t>
    </r>
    <r>
      <rPr>
        <sz val="11"/>
        <color theme="1"/>
        <rFont val="ＭＳ Ｐゴシック"/>
        <family val="3"/>
        <charset val="134"/>
        <scheme val="minor"/>
      </rPr>
      <t>贡</t>
    </r>
  </si>
  <si>
    <t>王广超</t>
  </si>
  <si>
    <r>
      <t xml:space="preserve">白酒; 果酒; 清酒; 露酒;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</si>
  <si>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草地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</si>
  <si>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韵雅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艺术传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</si>
  <si>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白酒; 黄酒</t>
    </r>
  </si>
  <si>
    <r>
      <t>蜀祖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典</t>
    </r>
  </si>
  <si>
    <r>
      <t>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</si>
  <si>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酝鉴</t>
  </si>
  <si>
    <r>
      <t>四川雍懿庄酒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</si>
  <si>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</si>
  <si>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康</t>
  </si>
  <si>
    <r>
      <t>湖北康甲酒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</si>
  <si>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葡萄酒; 蒸煮提取物（利口酒和烈酒）; 食用酒精; 黄酒</t>
    </r>
  </si>
  <si>
    <t>大郝</t>
  </si>
  <si>
    <r>
      <t>周建</t>
    </r>
    <r>
      <rPr>
        <sz val="11"/>
        <color theme="1"/>
        <rFont val="ＭＳ Ｐゴシック"/>
        <family val="3"/>
        <charset val="134"/>
        <scheme val="minor"/>
      </rPr>
      <t>宽</t>
    </r>
  </si>
  <si>
    <r>
      <t>米酒;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白酒; 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</si>
  <si>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赢</t>
    </r>
    <r>
      <rPr>
        <sz val="11"/>
        <color theme="1"/>
        <rFont val="ＭＳ Ｐゴシック"/>
        <family val="3"/>
        <charset val="128"/>
        <scheme val="minor"/>
      </rPr>
      <t>始皇</t>
    </r>
  </si>
  <si>
    <t>吴正松</t>
  </si>
  <si>
    <r>
      <t xml:space="preserve">果酒（含酒精）; 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梨酒; 开胃酒; 白酒; 葡萄酒</t>
    </r>
  </si>
  <si>
    <r>
      <t>永</t>
    </r>
    <r>
      <rPr>
        <sz val="11"/>
        <color theme="1"/>
        <rFont val="ＭＳ Ｐゴシック"/>
        <family val="3"/>
        <charset val="134"/>
        <scheme val="minor"/>
      </rPr>
      <t>驰</t>
    </r>
    <r>
      <rPr>
        <sz val="11"/>
        <color theme="1"/>
        <rFont val="ＭＳ Ｐゴシック"/>
        <family val="3"/>
        <charset val="128"/>
        <scheme val="minor"/>
      </rPr>
      <t>江湖</t>
    </r>
  </si>
  <si>
    <r>
      <t>四平奎炎文化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</si>
  <si>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</si>
  <si>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PINGGUOJIU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</si>
  <si>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</si>
  <si>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仁</t>
    </r>
    <r>
      <rPr>
        <sz val="11"/>
        <color theme="1"/>
        <rFont val="ＭＳ Ｐゴシック"/>
        <family val="3"/>
        <charset val="134"/>
        <scheme val="minor"/>
      </rPr>
      <t>坝</t>
    </r>
    <r>
      <rPr>
        <sz val="11"/>
        <color theme="1"/>
        <rFont val="ＭＳ Ｐゴシック"/>
        <family val="3"/>
        <charset val="128"/>
        <scheme val="minor"/>
      </rPr>
      <t>名</t>
    </r>
  </si>
  <si>
    <r>
      <t>赫全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</si>
  <si>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米酒; 清酒; 青稞酒; 高粱酒;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</si>
  <si>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POERHAFE</t>
  </si>
  <si>
    <r>
      <t>云画羽信息科技（重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</si>
  <si>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黄酒; 米酒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</si>
  <si>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驴</t>
    </r>
    <r>
      <rPr>
        <sz val="11"/>
        <color theme="1"/>
        <rFont val="ＭＳ Ｐゴシック"/>
        <family val="3"/>
        <charset val="128"/>
        <scheme val="minor"/>
      </rPr>
      <t>奔跑 LITTLE DONKEY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</si>
  <si>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驴</t>
    </r>
    <r>
      <rPr>
        <sz val="11"/>
        <color theme="1"/>
        <rFont val="ＭＳ Ｐゴシック"/>
        <family val="3"/>
        <charset val="128"/>
        <scheme val="minor"/>
      </rPr>
      <t>奔跑（北京）供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</si>
  <si>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酸酒（低等葡萄酒）; 梨酒;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朗姆酒;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汽酒; 青稞酒; 黄酒; 食用酒精; ...</t>
    </r>
  </si>
  <si>
    <t>小白人</t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</si>
  <si>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筑水工程管理服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</si>
  <si>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青稞酒;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</si>
  <si>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与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同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</si>
  <si>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李国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</si>
  <si>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米酒;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</si>
  <si>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五</t>
    </r>
    <r>
      <rPr>
        <sz val="11"/>
        <color theme="1"/>
        <rFont val="ＭＳ Ｐゴシック"/>
        <family val="3"/>
        <charset val="134"/>
        <scheme val="minor"/>
      </rPr>
      <t>爷</t>
    </r>
    <r>
      <rPr>
        <sz val="11"/>
        <color theme="1"/>
        <rFont val="ＭＳ Ｐゴシック"/>
        <family val="3"/>
        <charset val="128"/>
        <scheme val="minor"/>
      </rPr>
      <t>道玄</t>
    </r>
  </si>
  <si>
    <t>山西百脉通健康科技有限公司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</si>
  <si>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米酒; 伏特加酒; 汽酒; 清酒（日本米酒）</t>
    </r>
  </si>
  <si>
    <r>
      <t>广州陌伶化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</si>
  <si>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黄酒; 米酒;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</si>
  <si>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酝</t>
    </r>
    <r>
      <rPr>
        <sz val="11"/>
        <color theme="1"/>
        <rFont val="ＭＳ Ｐゴシック"/>
        <family val="3"/>
        <charset val="128"/>
        <scheme val="minor"/>
      </rPr>
      <t>到</t>
    </r>
  </si>
  <si>
    <t>李克林</t>
  </si>
  <si>
    <r>
      <t>威士忌; 开胃酒; 果酒（含酒精）; 清酒（日本米酒）;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</si>
  <si>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t>麟州宴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</si>
  <si>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西神木酒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</si>
  <si>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利口酒; 餐后酒（利口酒和烈酒）;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</t>
    </r>
  </si>
  <si>
    <t>麟州泉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</si>
  <si>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</si>
  <si>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t>麟州金樽</t>
  </si>
  <si>
    <r>
      <t>同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基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</si>
  <si>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</si>
  <si>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青稞酒; 米酒; 食用酒精;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</si>
  <si>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戏话</t>
  </si>
  <si>
    <r>
      <t>庞</t>
    </r>
    <r>
      <rPr>
        <sz val="11"/>
        <color theme="1"/>
        <rFont val="ＭＳ Ｐゴシック"/>
        <family val="3"/>
        <charset val="128"/>
        <scheme val="minor"/>
      </rPr>
      <t>园</t>
    </r>
  </si>
  <si>
    <r>
      <t>开胃酒; 威士忌; 葡萄酒;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</si>
  <si>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麟州液</t>
  </si>
  <si>
    <t>SHIWUJIANG 15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</si>
  <si>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州中酒国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</si>
  <si>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</si>
  <si>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呼白王</t>
    </r>
  </si>
  <si>
    <r>
      <t>内蒙古世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呼白酒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</si>
  <si>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青稞酒; 白酒;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</si>
  <si>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乃者</t>
    </r>
  </si>
  <si>
    <r>
      <t>巴林左旗鑫潼酒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</si>
  <si>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果酒; 烈酒; 葡萄酒; 含酒精蛋奶酒;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</si>
  <si>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面董会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</si>
  <si>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尧</t>
    </r>
    <r>
      <rPr>
        <sz val="11"/>
        <color theme="1"/>
        <rFont val="ＭＳ Ｐゴシック"/>
        <family val="3"/>
        <charset val="128"/>
        <scheme val="minor"/>
      </rPr>
      <t>宁餐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</si>
  <si>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</t>
    </r>
  </si>
  <si>
    <t>云山雅</t>
  </si>
  <si>
    <r>
      <t>四川乾信智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</si>
  <si>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葡萄酒;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威士忌; 伏特加酒; 果酒</t>
    </r>
  </si>
  <si>
    <t>果燃神密</t>
  </si>
  <si>
    <t>张莹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</si>
  <si>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</t>
    </r>
  </si>
  <si>
    <t>炫泡</t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</si>
  <si>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红动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</si>
  <si>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威士忌;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朗姆酒</t>
    </r>
  </si>
  <si>
    <r>
      <t>乡</t>
    </r>
    <r>
      <rPr>
        <sz val="11"/>
        <color theme="1"/>
        <rFont val="ＭＳ Ｐゴシック"/>
        <family val="3"/>
        <charset val="128"/>
        <scheme val="minor"/>
      </rPr>
      <t>窖村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</si>
  <si>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区玉萍江商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</si>
  <si>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青梅酒;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露酒; 含奶油利口酒; 麦芽威士忌; 白酒; 果酒</t>
    </r>
  </si>
  <si>
    <t>德瑟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</si>
  <si>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市山元太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</si>
  <si>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日本梅子酒; 果酒; 烈酒; 黄酒; 白酒; 蒸煮提取物（利口酒和烈酒）; 露酒;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</si>
  <si>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南岳第一峰</t>
  </si>
  <si>
    <r>
      <t>衡阳</t>
    </r>
    <r>
      <rPr>
        <sz val="11"/>
        <color theme="1"/>
        <rFont val="ＭＳ Ｐゴシック"/>
        <family val="3"/>
        <charset val="134"/>
        <scheme val="minor"/>
      </rPr>
      <t>骏</t>
    </r>
    <r>
      <rPr>
        <sz val="11"/>
        <color theme="1"/>
        <rFont val="ＭＳ Ｐゴシック"/>
        <family val="3"/>
        <charset val="128"/>
        <scheme val="minor"/>
      </rPr>
      <t>恒商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</si>
  <si>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威士忌</t>
    </r>
  </si>
  <si>
    <t>十一道</t>
  </si>
  <si>
    <r>
      <t>十一道企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（深圳）有限公司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</si>
  <si>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青稞酒;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</si>
  <si>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塞上麟州</t>
  </si>
  <si>
    <t>麟州情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</si>
  <si>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开胃酒; 葡萄酒</t>
    </r>
  </si>
  <si>
    <r>
      <t>麟州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</si>
  <si>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圣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日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</si>
  <si>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</si>
  <si>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</si>
  <si>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山行</t>
    </r>
  </si>
  <si>
    <t>花开天下（成都）科技有限公司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</si>
  <si>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</si>
  <si>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t>小吊同学</t>
  </si>
  <si>
    <r>
      <t>安徽</t>
    </r>
    <r>
      <rPr>
        <sz val="11"/>
        <color theme="1"/>
        <rFont val="ＭＳ Ｐゴシック"/>
        <family val="3"/>
        <charset val="134"/>
        <scheme val="minor"/>
      </rPr>
      <t>飞选电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</si>
  <si>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果酒（含酒精）;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</si>
  <si>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FABRICA LA ROJENA JOSE CUERVO</t>
  </si>
  <si>
    <r>
      <t>特奎拉尤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屋有限公司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</si>
  <si>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</si>
  <si>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慈熹康隆</t>
  </si>
  <si>
    <t>洛阳慈熹康隆生物科技有限公司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</si>
  <si>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</si>
  <si>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现</t>
    </r>
    <r>
      <rPr>
        <sz val="11"/>
        <color theme="1"/>
        <rFont val="ＭＳ Ｐゴシック"/>
        <family val="3"/>
        <charset val="128"/>
        <scheme val="minor"/>
      </rPr>
      <t>山佳园</t>
    </r>
  </si>
  <si>
    <r>
      <t>安康尚文德元文化旅游开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</si>
  <si>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薄荷酒; 果酒（含酒精）; 利口酒; 白酒; 威士忌; 葡萄酒; 含酒精的气泡水;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</si>
  <si>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寨峪古村</t>
  </si>
  <si>
    <r>
      <t>泉州昌盛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</si>
  <si>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朗姆酒;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</si>
  <si>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行商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管理（北京）合伙企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</si>
  <si>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 xml:space="preserve">薄荷酒;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</t>
    </r>
  </si>
  <si>
    <r>
      <t>与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同行</t>
    </r>
  </si>
  <si>
    <r>
      <t>维维</t>
    </r>
    <r>
      <rPr>
        <sz val="11"/>
        <color theme="1"/>
        <rFont val="ＭＳ Ｐゴシック"/>
        <family val="3"/>
        <charset val="128"/>
        <scheme val="minor"/>
      </rPr>
      <t>五谷食品（徐州）有限公司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</si>
  <si>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伏特加酒; 含酒精的气泡水;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</si>
  <si>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泉能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</si>
  <si>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白酒; 葡萄酒;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</si>
  <si>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冷冰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</si>
  <si>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苏润</t>
    </r>
    <r>
      <rPr>
        <sz val="11"/>
        <color theme="1"/>
        <rFont val="ＭＳ Ｐゴシック"/>
        <family val="3"/>
        <charset val="128"/>
        <scheme val="minor"/>
      </rPr>
      <t>秋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</si>
  <si>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威士忌</t>
    </r>
  </si>
  <si>
    <r>
      <t>澧井晋韵唐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</si>
  <si>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晋韵唐汾（山西）酒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</si>
  <si>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利口酒;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</si>
  <si>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文峰塔</t>
  </si>
  <si>
    <t>汾阳市北川酒厂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</si>
  <si>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烈酒; 高粱酒; 果酒（含酒精）; 烈性干酒; 白酒</t>
    </r>
  </si>
  <si>
    <t>囍品竹</t>
  </si>
  <si>
    <r>
      <t>孙</t>
    </r>
    <r>
      <rPr>
        <sz val="11"/>
        <color theme="1"/>
        <rFont val="ＭＳ Ｐゴシック"/>
        <family val="3"/>
        <charset val="128"/>
        <scheme val="minor"/>
      </rPr>
      <t>海恒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</si>
  <si>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白酒</t>
    </r>
  </si>
  <si>
    <r>
      <t>现</t>
    </r>
    <r>
      <rPr>
        <sz val="11"/>
        <color theme="1"/>
        <rFont val="ＭＳ Ｐゴシック"/>
        <family val="3"/>
        <charset val="128"/>
        <scheme val="minor"/>
      </rPr>
      <t>山佳源</t>
    </r>
  </si>
  <si>
    <r>
      <t>帝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呈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</si>
  <si>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葡萄酒;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</si>
  <si>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璀杏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典</t>
    </r>
  </si>
  <si>
    <r>
      <t>黛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吉奥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格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</si>
  <si>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</si>
  <si>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宽鉴</t>
  </si>
  <si>
    <t>胡德</t>
  </si>
  <si>
    <r>
      <t>餐后酒（利口酒和烈酒）;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露酒; 苹果酒;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</si>
  <si>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帝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帝</t>
    </r>
  </si>
  <si>
    <t>卓素婷</t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</si>
  <si>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葡萄酒</t>
    </r>
  </si>
  <si>
    <r>
      <t>伊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小</t>
    </r>
  </si>
  <si>
    <r>
      <t>纪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</si>
  <si>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</si>
  <si>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略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</si>
  <si>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璐</t>
    </r>
    <r>
      <rPr>
        <sz val="11"/>
        <color theme="1"/>
        <rFont val="ＭＳ Ｐゴシック"/>
        <family val="3"/>
        <charset val="134"/>
        <scheme val="minor"/>
      </rPr>
      <t>颖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</si>
  <si>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</si>
  <si>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BAIFOURD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</si>
  <si>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晟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帝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</si>
  <si>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威士忌; 米酒;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</si>
  <si>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DINGZHIJIUSHUI.COM</t>
  </si>
  <si>
    <r>
      <t>四川地方印象文化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</si>
  <si>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佐餐酒;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</si>
  <si>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GLORY MAGIC</t>
  </si>
  <si>
    <r>
      <t>宁波</t>
    </r>
    <r>
      <rPr>
        <sz val="11"/>
        <color theme="1"/>
        <rFont val="ＭＳ Ｐゴシック"/>
        <family val="3"/>
        <charset val="134"/>
        <scheme val="minor"/>
      </rPr>
      <t>陆</t>
    </r>
    <r>
      <rPr>
        <sz val="11"/>
        <color theme="1"/>
        <rFont val="ＭＳ Ｐゴシック"/>
        <family val="3"/>
        <charset val="128"/>
        <scheme val="minor"/>
      </rPr>
      <t>尊国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</si>
  <si>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</t>
    </r>
  </si>
  <si>
    <t>滇美人</t>
  </si>
  <si>
    <r>
      <t>吴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</si>
  <si>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威士忌; 清酒（日本米酒）; 果酒（含酒精）; 蜂蜜酒;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</t>
    </r>
  </si>
  <si>
    <r>
      <t>运河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醇</t>
    </r>
  </si>
  <si>
    <r>
      <t>徐州松小白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</si>
  <si>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</si>
  <si>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徵炉家</t>
  </si>
  <si>
    <r>
      <t>亳州市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抬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</si>
  <si>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</si>
  <si>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皇酒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</si>
  <si>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保定市迪池商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</si>
  <si>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利口酒; 伏特加酒; 清酒; 食用酒精; 葡萄酒</t>
    </r>
  </si>
  <si>
    <r>
      <t>莲</t>
    </r>
    <r>
      <rPr>
        <sz val="11"/>
        <color theme="1"/>
        <rFont val="ＭＳ Ｐゴシック"/>
        <family val="3"/>
        <charset val="128"/>
        <scheme val="minor"/>
      </rPr>
      <t>塘回</t>
    </r>
    <r>
      <rPr>
        <sz val="11"/>
        <color theme="1"/>
        <rFont val="ＭＳ Ｐゴシック"/>
        <family val="3"/>
        <charset val="134"/>
        <scheme val="minor"/>
      </rPr>
      <t>忆</t>
    </r>
  </si>
  <si>
    <t>李武</t>
  </si>
  <si>
    <r>
      <t xml:space="preserve">白酒; 高粱酒;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</si>
  <si>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春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匠台</t>
    </r>
  </si>
  <si>
    <r>
      <t>镇</t>
    </r>
    <r>
      <rPr>
        <sz val="11"/>
        <color theme="1"/>
        <rFont val="ＭＳ Ｐゴシック"/>
        <family val="3"/>
        <charset val="128"/>
        <scheme val="minor"/>
      </rPr>
      <t>江易可装网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</si>
  <si>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甜酒;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</si>
  <si>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媛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媛</t>
    </r>
  </si>
  <si>
    <r>
      <t>云南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益成文化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</si>
  <si>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t>果酒</t>
  </si>
  <si>
    <r>
      <t>吕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</si>
  <si>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吕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烧锅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</si>
  <si>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</si>
  <si>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陶山新滴溜</t>
  </si>
  <si>
    <r>
      <t>张</t>
    </r>
    <r>
      <rPr>
        <sz val="11"/>
        <color theme="1"/>
        <rFont val="ＭＳ Ｐゴシック"/>
        <family val="3"/>
        <charset val="128"/>
        <scheme val="minor"/>
      </rPr>
      <t>占民</t>
    </r>
  </si>
  <si>
    <r>
      <t xml:space="preserve">果酒（含酒精）; 葡萄酒; 黄酒;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</si>
  <si>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醴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典藏</t>
    </r>
  </si>
  <si>
    <r>
      <t>广州正得投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</si>
  <si>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清酒（日本米酒）; 混合威士忌酒; 清酒; 青梅酒; 伏特加酒; 麦芽威士忌; 米酒; 水果汽酒;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</si>
  <si>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新概念科技系</t>
    </r>
    <r>
      <rPr>
        <sz val="11"/>
        <color theme="1"/>
        <rFont val="ＭＳ Ｐゴシック"/>
        <family val="3"/>
        <charset val="134"/>
        <scheme val="minor"/>
      </rPr>
      <t>统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</si>
  <si>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果酒（含酒精）; 葡萄酒; 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</si>
  <si>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见龙</t>
    </r>
    <r>
      <rPr>
        <sz val="11"/>
        <color theme="1"/>
        <rFont val="ＭＳ Ｐゴシック"/>
        <family val="3"/>
        <charset val="128"/>
        <scheme val="minor"/>
      </rPr>
      <t>在黔健康科技有限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</si>
  <si>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果酒; 青稞酒; 开胃酒</t>
    </r>
  </si>
  <si>
    <r>
      <t>醴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奉酒</t>
    </r>
  </si>
  <si>
    <r>
      <t xml:space="preserve">清酒; 清酒（日本米酒）; 伏特加酒;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麦芽威士忌; 青梅酒; 混合威士忌酒;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水果汽酒</t>
    </r>
  </si>
  <si>
    <t>丹鹿圣宝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</si>
  <si>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骏</t>
    </r>
    <r>
      <rPr>
        <sz val="11"/>
        <color theme="1"/>
        <rFont val="ＭＳ Ｐゴシック"/>
        <family val="3"/>
        <charset val="128"/>
        <scheme val="minor"/>
      </rPr>
      <t>牛耀羊商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</si>
  <si>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葡萄酒</t>
    </r>
  </si>
  <si>
    <t>效先古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</si>
  <si>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效先酒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</si>
  <si>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果酒; 梅酒; 白干酒（中国白酒）; 白酒;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</si>
  <si>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LAISANQU</t>
  </si>
  <si>
    <r>
      <t>什邡市三木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</si>
  <si>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高粱酒; 白酒;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</si>
  <si>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t>福鹿有道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</si>
  <si>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</si>
  <si>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宣@紫喜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</si>
  <si>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海南崇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</si>
  <si>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葡萄酒</t>
    </r>
  </si>
  <si>
    <r>
      <t>醴</t>
    </r>
    <r>
      <rPr>
        <sz val="11"/>
        <color theme="1"/>
        <rFont val="ＭＳ Ｐゴシック"/>
        <family val="3"/>
        <charset val="134"/>
        <scheme val="minor"/>
      </rPr>
      <t>门问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</si>
  <si>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混合威士忌酒;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麦芽威士忌; 清酒; 米酒; 清酒（日本米酒）; 水果汽酒; 青梅酒; 伏特加酒</t>
    </r>
  </si>
  <si>
    <r>
      <t>PHEIPER 斐珀</t>
    </r>
    <r>
      <rPr>
        <sz val="11"/>
        <color theme="1"/>
        <rFont val="ＭＳ Ｐゴシック"/>
        <family val="3"/>
        <charset val="134"/>
        <scheme val="minor"/>
      </rPr>
      <t>纳</t>
    </r>
  </si>
  <si>
    <r>
      <t>婓</t>
    </r>
    <r>
      <rPr>
        <sz val="11"/>
        <color theme="1"/>
        <rFont val="ＭＳ Ｐゴシック"/>
        <family val="3"/>
        <charset val="128"/>
        <scheme val="minor"/>
      </rPr>
      <t>高（杭州）酒庄有限公司</t>
    </r>
  </si>
  <si>
    <r>
      <t>黄酒; 清酒; 白酒;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</si>
  <si>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思吾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</si>
  <si>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州正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</si>
  <si>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威士忌; 米酒; 黄酒; 苹果酒; 伏特加酒;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</si>
  <si>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紫韵幽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</si>
  <si>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紫恒科技有限公司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</si>
  <si>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白酒;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</si>
  <si>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大唐</t>
    </r>
    <r>
      <rPr>
        <sz val="11"/>
        <color theme="1"/>
        <rFont val="ＭＳ Ｐゴシック"/>
        <family val="3"/>
        <charset val="134"/>
        <scheme val="minor"/>
      </rPr>
      <t>战</t>
    </r>
  </si>
  <si>
    <r>
      <t>韦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础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</si>
  <si>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葡萄酒; 米酒;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</si>
  <si>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t>夺勋</t>
  </si>
  <si>
    <r>
      <t>清酒; 米酒;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露酒; 葡萄酒;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</t>
    </r>
  </si>
  <si>
    <t>天点心意</t>
  </si>
  <si>
    <r>
      <t>湖南天鑫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服企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</si>
  <si>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利口酒; 米酒; 食用酒精;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</si>
  <si>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坡之眼</t>
    </r>
  </si>
  <si>
    <r>
      <t>眉山市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尚广告有限公司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</si>
  <si>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</si>
  <si>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密庄窑藏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</si>
  <si>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州市吴家酒酒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</si>
  <si>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蒸煮提取物（利口酒和烈酒）;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</si>
  <si>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r>
      <t>元源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馨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</si>
  <si>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范</t>
    </r>
  </si>
  <si>
    <r>
      <t xml:space="preserve">薄荷酒;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朗姆酒; 白酒</t>
    </r>
  </si>
  <si>
    <t>吴窖古酒</t>
  </si>
  <si>
    <r>
      <t>果酒（含酒精）; 葡萄酒; 清酒（日本米酒）; 黄酒;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</si>
  <si>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H02ORE CH24CHEUR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</si>
  <si>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唤</t>
    </r>
    <r>
      <rPr>
        <sz val="11"/>
        <color theme="1"/>
        <rFont val="ＭＳ Ｐゴシック"/>
        <family val="3"/>
        <charset val="128"/>
        <scheme val="minor"/>
      </rPr>
      <t>趣广告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</si>
  <si>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黄酒;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</si>
  <si>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r>
      <t>颂</t>
    </r>
    <r>
      <rPr>
        <sz val="11"/>
        <color theme="1"/>
        <rFont val="ＭＳ Ｐゴシック"/>
        <family val="3"/>
        <charset val="128"/>
        <scheme val="minor"/>
      </rPr>
      <t>多一点</t>
    </r>
  </si>
  <si>
    <t>刘洪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</si>
  <si>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蒸煮提取物（利口酒和烈酒）;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</si>
  <si>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五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金花合悦</t>
    </r>
  </si>
  <si>
    <t>郭富林</t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</si>
  <si>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白酒;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</si>
  <si>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多一点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</si>
  <si>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</si>
  <si>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r>
      <t>南裕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元窖</t>
    </r>
  </si>
  <si>
    <r>
      <t>北京隆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号方庄酒厂有限公司</t>
    </r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</si>
  <si>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朗姆酒; 果酒（含酒精）</t>
    </r>
  </si>
  <si>
    <t>毅笙</t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</si>
  <si>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毅笙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</si>
  <si>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</si>
  <si>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福佑疆</t>
  </si>
  <si>
    <r>
      <t>四川省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竹五福酒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</si>
  <si>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</si>
  <si>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崃凤</t>
    </r>
    <r>
      <rPr>
        <sz val="11"/>
        <color theme="1"/>
        <rFont val="ＭＳ Ｐゴシック"/>
        <family val="3"/>
        <charset val="128"/>
        <scheme val="minor"/>
      </rPr>
      <t>朱家庄</t>
    </r>
  </si>
  <si>
    <r>
      <t>四川省</t>
    </r>
    <r>
      <rPr>
        <sz val="11"/>
        <color theme="1"/>
        <rFont val="ＭＳ Ｐゴシック"/>
        <family val="3"/>
        <charset val="134"/>
        <scheme val="minor"/>
      </rPr>
      <t>崃凤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</si>
  <si>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</si>
  <si>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南裕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明窖</t>
    </r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</si>
  <si>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果酒（含酒精）;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</si>
  <si>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鲜汇邻</t>
  </si>
  <si>
    <t>刘娣娣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</si>
  <si>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清酒（日本米酒）</t>
    </r>
  </si>
  <si>
    <t>醺知味 TIPSY KNOWLEDGE OF TASTE</t>
  </si>
  <si>
    <r>
      <t>张</t>
    </r>
    <r>
      <rPr>
        <sz val="11"/>
        <color theme="1"/>
        <rFont val="ＭＳ Ｐゴシック"/>
        <family val="3"/>
        <charset val="128"/>
        <scheme val="minor"/>
      </rPr>
      <t>敏</t>
    </r>
  </si>
  <si>
    <r>
      <t xml:space="preserve">食用酒精; 黄酒; 白酒;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苦味酒</t>
    </r>
  </si>
  <si>
    <t>WOERFENG ESTATE</t>
  </si>
  <si>
    <r>
      <t>宁夏沃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丰葡萄酒有限公司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</si>
  <si>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葡萄酒;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</si>
  <si>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江楠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拍</t>
    </r>
  </si>
  <si>
    <r>
      <t>广州江楠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品科技有限公司</t>
    </r>
  </si>
  <si>
    <r>
      <t>果酒（含酒精）; 青稞酒;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</t>
    </r>
  </si>
  <si>
    <t>遵夜</t>
  </si>
  <si>
    <t>冷江</t>
  </si>
  <si>
    <r>
      <t>米酒; 食用酒精;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</si>
  <si>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趣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北</t>
    </r>
  </si>
  <si>
    <r>
      <t>伦</t>
    </r>
    <r>
      <rPr>
        <sz val="11"/>
        <color theme="1"/>
        <rFont val="ＭＳ Ｐゴシック"/>
        <family val="3"/>
        <charset val="128"/>
        <scheme val="minor"/>
      </rPr>
      <t>南企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</si>
  <si>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</si>
  <si>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德星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聚</t>
    </r>
  </si>
  <si>
    <r>
      <t>李真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</si>
  <si>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黄酒;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</si>
  <si>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t>COVENANT</t>
  </si>
  <si>
    <r>
      <t>烟台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裕葡萄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</si>
  <si>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>开胃酒; 葡萄酒; 汽酒; 果酒（含酒精）;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</si>
  <si>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尚</t>
    </r>
    <r>
      <rPr>
        <sz val="11"/>
        <color theme="1"/>
        <rFont val="ＭＳ Ｐゴシック"/>
        <family val="3"/>
        <charset val="134"/>
        <scheme val="minor"/>
      </rPr>
      <t>签</t>
    </r>
  </si>
  <si>
    <r>
      <t>吉林市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野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</si>
  <si>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利口酒; 蜂蜜酒;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食用酒精; 梨酒; 果酒（含酒精）</t>
    </r>
  </si>
  <si>
    <t>古昌宝圣洞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</si>
  <si>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梵涎香食品科技有限公司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</si>
  <si>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果酒; 利口酒; 青稞酒; 高粱酒</t>
    </r>
  </si>
  <si>
    <t>霖天</t>
  </si>
  <si>
    <r>
      <t>图们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威友邦化工有限公司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</si>
  <si>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甜果酒;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水果汽酒;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</si>
  <si>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一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嵩山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</si>
  <si>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州市崧山壹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</si>
  <si>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葡萄酒</t>
    </r>
  </si>
  <si>
    <r>
      <t>米</t>
    </r>
    <r>
      <rPr>
        <sz val="11"/>
        <color theme="1"/>
        <rFont val="ＭＳ Ｐゴシック"/>
        <family val="3"/>
        <charset val="134"/>
        <scheme val="minor"/>
      </rPr>
      <t>乐纯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</si>
  <si>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</si>
  <si>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果酒; 威士忌; 干型苹果酒; 清酒; 烈酒;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</si>
  <si>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CROWHURST RESERVE</t>
  </si>
  <si>
    <r>
      <t>开胃酒;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餐后酒（利口酒和烈酒）;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</si>
  <si>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拓璞康</t>
  </si>
  <si>
    <r>
      <t>拓璞康生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科技南通有限公司</t>
    </r>
  </si>
  <si>
    <r>
      <t>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</si>
  <si>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吴窖窖</t>
    </r>
    <r>
      <rPr>
        <sz val="11"/>
        <color theme="1"/>
        <rFont val="ＭＳ Ｐゴシック"/>
        <family val="3"/>
        <charset val="134"/>
        <scheme val="minor"/>
      </rPr>
      <t>龄</t>
    </r>
  </si>
  <si>
    <r>
      <t>黄酒; 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</si>
  <si>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t>魅力梵高 THE CHARM OF VANGOGH</t>
  </si>
  <si>
    <r>
      <t>梵高（厦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）品牌管理有限公司</t>
    </r>
  </si>
  <si>
    <r>
      <t>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</si>
  <si>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姚一手</t>
  </si>
  <si>
    <t>姚小荣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</si>
  <si>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</t>
    </r>
  </si>
  <si>
    <t>濯川</t>
  </si>
  <si>
    <r>
      <t>濯川（上海）</t>
    </r>
    <r>
      <rPr>
        <sz val="11"/>
        <color theme="1"/>
        <rFont val="ＭＳ Ｐゴシック"/>
        <family val="3"/>
        <charset val="134"/>
        <scheme val="minor"/>
      </rPr>
      <t>艺术设计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</si>
  <si>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含酒精的气泡水; 威士忌; 利口酒;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梅酒; 清酒（日本米酒）; 葡萄酒</t>
    </r>
  </si>
  <si>
    <t>稷道</t>
  </si>
  <si>
    <r>
      <t>稷道酒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</si>
  <si>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</t>
    </r>
  </si>
  <si>
    <r>
      <t>沃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丰酒庄</t>
    </r>
  </si>
  <si>
    <r>
      <t>开胃酒;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利口酒</t>
    </r>
  </si>
  <si>
    <r>
      <t>大河岸万密</t>
    </r>
    <r>
      <rPr>
        <sz val="11"/>
        <color theme="1"/>
        <rFont val="ＭＳ Ｐゴシック"/>
        <family val="3"/>
        <charset val="134"/>
        <scheme val="minor"/>
      </rPr>
      <t>斋</t>
    </r>
  </si>
  <si>
    <t>北京大河岸万全圣方生物科技有限公司</t>
  </si>
  <si>
    <r>
      <t>烈酒; 葡萄酒; 果酒; 开胃酒; 蜂蜜酒; 食用酒精;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</si>
  <si>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智慧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方晏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</si>
  <si>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利口酒; 蒸煮提取物（利口酒和烈酒）</t>
    </r>
  </si>
  <si>
    <t>HUI HUI XIONG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</si>
  <si>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蚂蚁</t>
    </r>
    <r>
      <rPr>
        <sz val="11"/>
        <color theme="1"/>
        <rFont val="ＭＳ Ｐゴシック"/>
        <family val="3"/>
        <charset val="128"/>
        <scheme val="minor"/>
      </rPr>
      <t>合众商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</si>
  <si>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威士忌</t>
    </r>
  </si>
  <si>
    <t>得意城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</si>
  <si>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</si>
  <si>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蒸煮提取物（利口酒和烈酒）; 利口酒;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</si>
  <si>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r>
      <t>礼韵</t>
    </r>
    <r>
      <rPr>
        <sz val="11"/>
        <color theme="1"/>
        <rFont val="ＭＳ Ｐゴシック"/>
        <family val="3"/>
        <charset val="134"/>
        <scheme val="minor"/>
      </rPr>
      <t>乡缘</t>
    </r>
  </si>
  <si>
    <t>刘静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</si>
  <si>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果酒</t>
    </r>
  </si>
  <si>
    <r>
      <t>漷</t>
    </r>
    <r>
      <rPr>
        <sz val="11"/>
        <color theme="1"/>
        <rFont val="ＭＳ Ｐゴシック"/>
        <family val="3"/>
        <charset val="128"/>
        <scheme val="minor"/>
      </rPr>
      <t>州酒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勒</t>
    </r>
  </si>
  <si>
    <r>
      <t>北京</t>
    </r>
    <r>
      <rPr>
        <sz val="11"/>
        <color theme="1"/>
        <rFont val="ＭＳ Ｐゴシック"/>
        <family val="3"/>
        <charset val="129"/>
        <scheme val="minor"/>
      </rPr>
      <t>漷</t>
    </r>
    <r>
      <rPr>
        <sz val="11"/>
        <color theme="1"/>
        <rFont val="ＭＳ Ｐゴシック"/>
        <family val="3"/>
        <charset val="128"/>
        <scheme val="minor"/>
      </rPr>
      <t>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</si>
  <si>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</si>
  <si>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t>姚大桶</t>
  </si>
  <si>
    <r>
      <t>正元合谷（北京）健康科技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</si>
  <si>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白干酒（中国白酒）; 葡萄酒;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甜酒;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蜂蜜酒; 白葡萄酒; 开胃酒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</si>
  <si>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大桶</t>
    </r>
  </si>
  <si>
    <r>
      <t>白酒; 葡萄酒; 果酒;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蜂蜜酒; 白干酒（中国白酒）;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甜酒; 白葡萄酒</t>
    </r>
  </si>
  <si>
    <t>海泉母窖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</si>
  <si>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宁海泉酒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</si>
  <si>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果酒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</si>
  <si>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天匠大年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</si>
  <si>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州裕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古老酒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</si>
  <si>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</si>
  <si>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尼雕善道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</si>
  <si>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州尼雕善道网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</si>
  <si>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蒸煮提取物（利口酒和烈酒）; 白酒; 白干酒（中国白酒）; 高粱酒; 烈酒</t>
    </r>
  </si>
  <si>
    <t>FOUR ALLS</t>
  </si>
  <si>
    <r>
      <t>佛雷斯特格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</si>
  <si>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利口酒;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杜松子酒</t>
    </r>
  </si>
  <si>
    <t>甄三十</t>
  </si>
  <si>
    <r>
      <t>陈</t>
    </r>
    <r>
      <rPr>
        <sz val="11"/>
        <color theme="1"/>
        <rFont val="ＭＳ Ｐゴシック"/>
        <family val="3"/>
        <charset val="128"/>
        <scheme val="minor"/>
      </rPr>
      <t>奕仰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</si>
  <si>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</si>
  <si>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珍藏</t>
    </r>
    <r>
      <rPr>
        <sz val="11"/>
        <color theme="1"/>
        <rFont val="ＭＳ Ｐゴシック"/>
        <family val="3"/>
        <charset val="134"/>
        <scheme val="minor"/>
      </rPr>
      <t>级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</si>
  <si>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葡萄酒;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</si>
  <si>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豪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装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</si>
  <si>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清酒; 黄酒; 葡萄酒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</si>
  <si>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姓一枝花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</si>
  <si>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可翔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</si>
  <si>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青稞酒; 黄酒; 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</si>
  <si>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海泉至尊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</si>
  <si>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米酒;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</si>
  <si>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PURO LA CASA WORLD茄剪成橱</t>
  </si>
  <si>
    <r>
      <t>张</t>
    </r>
    <r>
      <rPr>
        <sz val="11"/>
        <color theme="1"/>
        <rFont val="ＭＳ Ｐゴシック"/>
        <family val="3"/>
        <charset val="128"/>
        <scheme val="minor"/>
      </rPr>
      <t>昶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</si>
  <si>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朗姆酒;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</si>
  <si>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蓥</t>
    </r>
    <r>
      <rPr>
        <sz val="11"/>
        <color theme="1"/>
        <rFont val="ＭＳ Ｐゴシック"/>
        <family val="3"/>
        <charset val="128"/>
        <scheme val="minor"/>
      </rPr>
      <t>十八</t>
    </r>
  </si>
  <si>
    <r>
      <t>北京中</t>
    </r>
    <r>
      <rPr>
        <sz val="11"/>
        <color theme="1"/>
        <rFont val="ＭＳ Ｐゴシック"/>
        <family val="3"/>
        <charset val="134"/>
        <scheme val="minor"/>
      </rPr>
      <t>视锦</t>
    </r>
    <r>
      <rPr>
        <sz val="11"/>
        <color theme="1"/>
        <rFont val="ＭＳ Ｐゴシック"/>
        <family val="3"/>
        <charset val="128"/>
        <scheme val="minor"/>
      </rPr>
      <t>亮国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</si>
  <si>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威士忌;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</si>
  <si>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嵬</t>
  </si>
  <si>
    <r>
      <t>山麓天</t>
    </r>
    <r>
      <rPr>
        <sz val="11"/>
        <color theme="1"/>
        <rFont val="ＭＳ Ｐゴシック"/>
        <family val="3"/>
        <charset val="134"/>
        <scheme val="minor"/>
      </rPr>
      <t>赋</t>
    </r>
    <r>
      <rPr>
        <sz val="11"/>
        <color theme="1"/>
        <rFont val="ＭＳ Ｐゴシック"/>
        <family val="3"/>
        <charset val="128"/>
        <scheme val="minor"/>
      </rPr>
      <t>（宁夏）酒庄有限公司</t>
    </r>
  </si>
  <si>
    <r>
      <t>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食用酒精;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</si>
  <si>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CTM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</si>
  <si>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</si>
  <si>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蒸煮提取物（利口酒和烈酒）;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利口酒</t>
    </r>
  </si>
  <si>
    <t>LACAT</t>
  </si>
  <si>
    <r>
      <t>星群品牌美国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运有限公司</t>
    </r>
  </si>
  <si>
    <r>
      <t>咱大</t>
    </r>
    <r>
      <rPr>
        <sz val="11"/>
        <color theme="1"/>
        <rFont val="ＭＳ Ｐゴシック"/>
        <family val="3"/>
        <charset val="134"/>
        <scheme val="minor"/>
      </rPr>
      <t>队</t>
    </r>
  </si>
  <si>
    <t>洛阳市豆豆食品有限公司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</si>
  <si>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白酒; 白干酒（中国白酒）;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</t>
    </r>
  </si>
  <si>
    <t>海藏虎</t>
  </si>
  <si>
    <t>王涛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</si>
  <si>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伏特加酒;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</si>
  <si>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尚大桶</t>
  </si>
  <si>
    <r>
      <t>甜酒; 蜂蜜酒;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白干酒（中国白酒）;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葡萄酒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</si>
  <si>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亭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露</t>
    </r>
  </si>
  <si>
    <r>
      <t>泉州市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露苑茶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</si>
  <si>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</si>
  <si>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轻润</t>
    </r>
    <r>
      <rPr>
        <sz val="11"/>
        <color theme="1"/>
        <rFont val="ＭＳ Ｐゴシック"/>
        <family val="3"/>
        <charset val="128"/>
        <scheme val="minor"/>
      </rPr>
      <t>清</t>
    </r>
  </si>
  <si>
    <r>
      <t>苦味酒; 薄荷酒;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朗姆酒;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</si>
  <si>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忠厚乾隆</t>
  </si>
  <si>
    <r>
      <t>浙江忠厚乳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</si>
  <si>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</t>
    </r>
  </si>
  <si>
    <r>
      <t>铭</t>
    </r>
    <r>
      <rPr>
        <sz val="11"/>
        <color theme="1"/>
        <rFont val="ＭＳ Ｐゴシック"/>
        <family val="3"/>
        <charset val="128"/>
        <scheme val="minor"/>
      </rPr>
      <t>江</t>
    </r>
  </si>
  <si>
    <r>
      <t>魏建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</si>
  <si>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果酒; 米酒; 伏特加酒;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白酒; 清酒;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</si>
  <si>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十</t>
    </r>
    <r>
      <rPr>
        <sz val="11"/>
        <color theme="1"/>
        <rFont val="ＭＳ Ｐゴシック"/>
        <family val="3"/>
        <charset val="134"/>
        <scheme val="minor"/>
      </rPr>
      <t>亩</t>
    </r>
    <r>
      <rPr>
        <sz val="11"/>
        <color theme="1"/>
        <rFont val="ＭＳ Ｐゴシック"/>
        <family val="3"/>
        <charset val="128"/>
        <scheme val="minor"/>
      </rPr>
      <t>粮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 xml:space="preserve"> 酒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</si>
  <si>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</si>
  <si>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米酒; 高粱酒</t>
    </r>
  </si>
  <si>
    <t>拽汽</t>
  </si>
  <si>
    <r>
      <t>黄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群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</si>
  <si>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</t>
    </r>
  </si>
  <si>
    <t>三春雨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</si>
  <si>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</si>
  <si>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威士忌; 葡萄酒; 青稞酒; 清酒（日本米酒）; 白酒</t>
    </r>
  </si>
  <si>
    <r>
      <t>铭</t>
    </r>
    <r>
      <rPr>
        <sz val="11"/>
        <color theme="1"/>
        <rFont val="ＭＳ Ｐゴシック"/>
        <family val="3"/>
        <charset val="128"/>
        <scheme val="minor"/>
      </rPr>
      <t>江宴</t>
    </r>
  </si>
  <si>
    <r>
      <t>清酒;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伏特加酒;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果酒; 黄酒</t>
    </r>
  </si>
  <si>
    <t>瓦丁格•家常 ROYALWATTINGRE</t>
  </si>
  <si>
    <r>
      <t>成都市瓦丁格酒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</si>
  <si>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汽酒; 白酒; 果酒</t>
    </r>
  </si>
  <si>
    <t>杏王令</t>
  </si>
  <si>
    <r>
      <t>汾阳启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</si>
  <si>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果酒（含酒精）; 清酒（日本米酒）; 清酒; 黄酒; 米酒; 蜂蜜酒</t>
    </r>
  </si>
  <si>
    <r>
      <t>酒听不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</si>
  <si>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>珠海嘉意堂企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</si>
  <si>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t>果酒（含酒精）; 利口酒; 苹果酒; 汽酒; 葡萄酒; 白酒; 餐后酒（利口酒和烈酒）; 米酒; 甜果酒; 开胃酒</t>
  </si>
  <si>
    <r>
      <t>小</t>
    </r>
    <r>
      <rPr>
        <sz val="11"/>
        <color theme="1"/>
        <rFont val="ＭＳ Ｐゴシック"/>
        <family val="3"/>
        <charset val="134"/>
        <scheme val="minor"/>
      </rPr>
      <t>俩</t>
    </r>
    <r>
      <rPr>
        <sz val="11"/>
        <color theme="1"/>
        <rFont val="ＭＳ Ｐゴシック"/>
        <family val="3"/>
        <charset val="128"/>
        <scheme val="minor"/>
      </rPr>
      <t>口</t>
    </r>
  </si>
  <si>
    <r>
      <t>清酒;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米酒; 果酒; 葡萄酒; 威士忌; 伏特加酒; 黄酒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</si>
  <si>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和御福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</si>
  <si>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州大前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</si>
  <si>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清酒;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果酒（含酒精）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</si>
  <si>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难</t>
    </r>
    <r>
      <rPr>
        <sz val="11"/>
        <color theme="1"/>
        <rFont val="ＭＳ Ｐゴシック"/>
        <family val="3"/>
        <charset val="128"/>
        <scheme val="minor"/>
      </rPr>
      <t>德</t>
    </r>
  </si>
  <si>
    <r>
      <t>王群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</si>
  <si>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</si>
  <si>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铭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</si>
  <si>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伏特加酒; 清酒; 威士忌; 米酒</t>
    </r>
  </si>
  <si>
    <r>
      <t>故</t>
    </r>
    <r>
      <rPr>
        <sz val="11"/>
        <color theme="1"/>
        <rFont val="ＭＳ Ｐゴシック"/>
        <family val="3"/>
        <charset val="134"/>
        <scheme val="minor"/>
      </rPr>
      <t>乡风华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</si>
  <si>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葡萄酒; 黄酒; 果酒（含酒精）; 青稞酒;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</t>
    </r>
  </si>
  <si>
    <r>
      <t>滨</t>
    </r>
    <r>
      <rPr>
        <sz val="11"/>
        <color theme="1"/>
        <rFont val="ＭＳ Ｐゴシック"/>
        <family val="3"/>
        <charset val="128"/>
        <scheme val="minor"/>
      </rPr>
      <t>州市沾化区供</t>
    </r>
    <r>
      <rPr>
        <sz val="11"/>
        <color theme="1"/>
        <rFont val="ＭＳ Ｐゴシック"/>
        <family val="3"/>
        <charset val="134"/>
        <scheme val="minor"/>
      </rPr>
      <t>销农业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</si>
  <si>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米酒; 佐餐酒;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果酒（含酒精）; 苦味酒;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</si>
  <si>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将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袍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</si>
  <si>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在田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</si>
  <si>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葡萄酒; 米酒; 白酒; 果酒; 黄酒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</si>
  <si>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金</t>
    </r>
  </si>
  <si>
    <r>
      <t>北京金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茶叶有限公司</t>
    </r>
  </si>
  <si>
    <r>
      <t>果酒;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含酒精蛋奶酒; 开胃酒</t>
    </r>
  </si>
  <si>
    <r>
      <t>水尚</t>
    </r>
    <r>
      <rPr>
        <sz val="11"/>
        <color theme="1"/>
        <rFont val="ＭＳ Ｐゴシック"/>
        <family val="3"/>
        <charset val="134"/>
        <scheme val="minor"/>
      </rPr>
      <t>潇</t>
    </r>
  </si>
  <si>
    <t>湖南屹峰朗月品牌管理有限公司</t>
  </si>
  <si>
    <r>
      <t>甜酒; 白干酒（中国白酒）; 果酒（含酒精）;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</si>
  <si>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等好</t>
  </si>
  <si>
    <r>
      <t>刘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文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</si>
  <si>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葡萄酒; 清酒（日本米酒）</t>
    </r>
  </si>
  <si>
    <t>福禄富</t>
  </si>
  <si>
    <r>
      <t>北京福运泉有限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</si>
  <si>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汽酒; 开胃酒; 葡萄酒; 食用酒精;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</si>
  <si>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帝王</t>
    </r>
    <r>
      <rPr>
        <sz val="11"/>
        <color theme="1"/>
        <rFont val="ＭＳ Ｐゴシック"/>
        <family val="3"/>
        <charset val="134"/>
        <scheme val="minor"/>
      </rPr>
      <t>谢</t>
    </r>
  </si>
  <si>
    <r>
      <t>南京大糖之</t>
    </r>
    <r>
      <rPr>
        <sz val="11"/>
        <color theme="1"/>
        <rFont val="ＭＳ Ｐゴシック"/>
        <family val="3"/>
        <charset val="134"/>
        <scheme val="minor"/>
      </rPr>
      <t>稳</t>
    </r>
    <r>
      <rPr>
        <sz val="11"/>
        <color theme="1"/>
        <rFont val="ＭＳ Ｐゴシック"/>
        <family val="3"/>
        <charset val="128"/>
        <scheme val="minor"/>
      </rPr>
      <t>健康管理咨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</si>
  <si>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薄荷酒; 食用酒精</t>
    </r>
  </si>
  <si>
    <r>
      <t>色皮口</t>
    </r>
    <r>
      <rPr>
        <sz val="11"/>
        <color theme="1"/>
        <rFont val="ＭＳ Ｐゴシック"/>
        <family val="3"/>
        <charset val="134"/>
        <scheme val="minor"/>
      </rPr>
      <t>统帅</t>
    </r>
  </si>
  <si>
    <r>
      <t>新疆山粮糜子酒有限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</si>
  <si>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</t>
    </r>
  </si>
  <si>
    <r>
      <t>北京仁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教育科技有限公司</t>
    </r>
  </si>
  <si>
    <r>
      <t xml:space="preserve">烈酒; 食用酒精;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白酒; 果酒（含酒精）</t>
    </r>
  </si>
  <si>
    <t>利思平安</t>
  </si>
  <si>
    <t>宁夏利思葡萄酒庄有限公司</t>
  </si>
  <si>
    <r>
      <t>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</si>
  <si>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京百尊</t>
  </si>
  <si>
    <r>
      <t>李</t>
    </r>
    <r>
      <rPr>
        <sz val="11"/>
        <color theme="1"/>
        <rFont val="ＭＳ Ｐゴシック"/>
        <family val="3"/>
        <charset val="134"/>
        <scheme val="minor"/>
      </rPr>
      <t>拥军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</si>
  <si>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葡萄酒; 黄酒; 米酒</t>
    </r>
  </si>
  <si>
    <r>
      <t>尨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</si>
  <si>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</si>
  <si>
    <t>BILLY WALKER</t>
  </si>
  <si>
    <r>
      <t>格</t>
    </r>
    <r>
      <rPr>
        <sz val="11"/>
        <color theme="1"/>
        <rFont val="ＭＳ Ｐゴシック"/>
        <family val="3"/>
        <charset val="134"/>
        <scheme val="minor"/>
      </rPr>
      <t>兰纳</t>
    </r>
    <r>
      <rPr>
        <sz val="11"/>
        <color theme="1"/>
        <rFont val="ＭＳ Ｐゴシック"/>
        <family val="3"/>
        <charset val="128"/>
        <scheme val="minor"/>
      </rPr>
      <t>里奇蒸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酒厂有限公司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</si>
  <si>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混合威士忌酒; 朗姆酒; 利口酒; 杜松子酒; 麦芽威士忌;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</si>
  <si>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疆密疆窖坊</t>
  </si>
  <si>
    <t>田中玉</t>
  </si>
  <si>
    <r>
      <t xml:space="preserve">果酒（含酒精）; 梨酒; 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米酒; 白酒</t>
    </r>
  </si>
  <si>
    <r>
      <t>疆密</t>
    </r>
    <r>
      <rPr>
        <sz val="11"/>
        <color theme="1"/>
        <rFont val="ＭＳ Ｐゴシック"/>
        <family val="3"/>
        <charset val="134"/>
        <scheme val="minor"/>
      </rPr>
      <t>蕰</t>
    </r>
    <r>
      <rPr>
        <sz val="11"/>
        <color theme="1"/>
        <rFont val="ＭＳ Ｐゴシック"/>
        <family val="3"/>
        <charset val="128"/>
        <scheme val="minor"/>
      </rPr>
      <t>河</t>
    </r>
  </si>
  <si>
    <r>
      <t xml:space="preserve">米酒;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葡萄酒; 蜂蜜酒; 白酒</t>
    </r>
  </si>
  <si>
    <r>
      <t>疆密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烤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</si>
  <si>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蜂蜜酒; 梨酒;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食用酒精</t>
    </r>
  </si>
  <si>
    <r>
      <t>巨峰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淳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</si>
  <si>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永</t>
    </r>
  </si>
  <si>
    <r>
      <t>清酒（日本米酒）;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米酒</t>
    </r>
  </si>
  <si>
    <t>煮酒夫</t>
  </si>
  <si>
    <r>
      <t xml:space="preserve">黄酒; 葡萄酒; 利口酒; 青稞酒; 米酒;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</t>
    </r>
  </si>
  <si>
    <t>求耀</t>
  </si>
  <si>
    <r>
      <t>王明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</si>
  <si>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开胃酒; 葡萄酒; 清酒;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果酒; 青稞酒; 烈酒; 白酒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</si>
  <si>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</si>
  <si>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四川智如酒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</si>
  <si>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白干酒（中国白酒）;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</t>
    </r>
  </si>
  <si>
    <r>
      <t>疆密二牧</t>
    </r>
    <r>
      <rPr>
        <sz val="11"/>
        <color theme="1"/>
        <rFont val="ＭＳ Ｐゴシック"/>
        <family val="3"/>
        <charset val="134"/>
        <scheme val="minor"/>
      </rPr>
      <t>场</t>
    </r>
  </si>
  <si>
    <r>
      <t>蜂蜜酒;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白酒;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</t>
    </r>
  </si>
  <si>
    <t>DENIS MOUNIE FOV</t>
  </si>
  <si>
    <r>
      <t>酩悦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尼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太区）公司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</si>
  <si>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餐后酒（利口酒和烈酒）;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开胃酒; 利口酒</t>
    </r>
  </si>
  <si>
    <t>繁花阿宝</t>
  </si>
  <si>
    <r>
      <t>泽东</t>
    </r>
    <r>
      <rPr>
        <sz val="11"/>
        <color theme="1"/>
        <rFont val="ＭＳ Ｐゴシック"/>
        <family val="3"/>
        <charset val="128"/>
        <scheme val="minor"/>
      </rPr>
      <t>事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所有限公司</t>
    </r>
  </si>
  <si>
    <r>
      <t xml:space="preserve">米酒; 含酒精的气泡水;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梨酒;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</si>
  <si>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大花</t>
  </si>
  <si>
    <r>
      <t>内蒙古云湃商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</si>
  <si>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</si>
  <si>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INTLFENWE</t>
  </si>
  <si>
    <t>京港航空有限公司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</si>
  <si>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汽酒; 白干酒（中国白酒）;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</si>
  <si>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澧厚乾隆</t>
  </si>
  <si>
    <r>
      <t xml:space="preserve">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</si>
  <si>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商山在水一方</t>
  </si>
  <si>
    <r>
      <t>陈</t>
    </r>
    <r>
      <rPr>
        <sz val="11"/>
        <color theme="1"/>
        <rFont val="ＭＳ Ｐゴシック"/>
        <family val="3"/>
        <charset val="128"/>
        <scheme val="minor"/>
      </rPr>
      <t>元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</si>
  <si>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威士忌;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葡萄酒; 黄酒; 果酒（含酒精）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</si>
  <si>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和御尊</t>
    </r>
  </si>
  <si>
    <r>
      <t>烈酒;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威士忌; 果酒（含酒精）;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</si>
  <si>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襄思</t>
  </si>
  <si>
    <r>
      <t>郭德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</si>
  <si>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米酒; 黄酒; 甜酒; 威士忌; 果酒;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开胃酒</t>
    </r>
  </si>
  <si>
    <t>ZDET</t>
  </si>
  <si>
    <r>
      <t>大江科技集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</si>
  <si>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开胃酒;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葡萄酒</t>
    </r>
  </si>
  <si>
    <r>
      <t>汣</t>
    </r>
    <r>
      <rPr>
        <sz val="11"/>
        <color theme="1"/>
        <rFont val="ＭＳ Ｐゴシック"/>
        <family val="3"/>
        <charset val="128"/>
        <scheme val="minor"/>
      </rPr>
      <t>洞主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</si>
  <si>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中林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</si>
  <si>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露酒;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葡萄酒; 青稞酒; 高粱酒; 米酒</t>
    </r>
  </si>
  <si>
    <t>皆聚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</si>
  <si>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市杰豪酒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</si>
  <si>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果酒; 烈酒; 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高粱酒; 白酒; 葡萄酒; 露酒</t>
    </r>
  </si>
  <si>
    <t>RUCCAAPOWER</t>
  </si>
  <si>
    <r>
      <t>李昌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</si>
  <si>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黄酒; 白酒; 食用酒精; 杜松子酒; 蒸煮提取物（利口酒和烈酒）;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利口酒</t>
    </r>
  </si>
  <si>
    <t>宋梁王</t>
  </si>
  <si>
    <r>
      <t>林雪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</si>
  <si>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白酒; 葡萄酒;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</si>
  <si>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树</t>
    </r>
    <r>
      <rPr>
        <sz val="11"/>
        <color theme="1"/>
        <rFont val="ＭＳ Ｐゴシック"/>
        <family val="3"/>
        <charset val="128"/>
        <scheme val="minor"/>
      </rPr>
      <t>上有只熊</t>
    </r>
  </si>
  <si>
    <r>
      <t>中湘寰宇科技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展（深圳）有限公司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</si>
  <si>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</si>
  <si>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俏悟空</t>
  </si>
  <si>
    <r>
      <t>佰梦酒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（福建）有限公司</t>
    </r>
  </si>
  <si>
    <r>
      <t xml:space="preserve">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</si>
  <si>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杏春 酒</t>
    </r>
  </si>
  <si>
    <t>姜兆斌</t>
  </si>
  <si>
    <r>
      <t>清酒（日本米酒）;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白干酒（中国白酒）;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</si>
  <si>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故事酒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</si>
  <si>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白酒; 利口酒; 开胃酒; 伏特加酒; 高粱酒; 烈酒; 白葡萄酒; 果酒（含酒精）; 威士忌; 朗姆酒</t>
  </si>
  <si>
    <t>黔渊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</si>
  <si>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酝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</si>
  <si>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苹果酒;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</si>
  <si>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珍念 珍念酒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</si>
  <si>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河北珍念酒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</si>
  <si>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梨酒;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白酒; 果酒（含酒精）; 蜂蜜酒;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</si>
  <si>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汣</t>
    </r>
    <r>
      <rPr>
        <sz val="11"/>
        <color theme="1"/>
        <rFont val="ＭＳ Ｐゴシック"/>
        <family val="3"/>
        <charset val="128"/>
        <scheme val="minor"/>
      </rPr>
      <t>庄主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</si>
  <si>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高粱酒;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露酒; 黄酒</t>
    </r>
  </si>
  <si>
    <t>清叮狗</t>
  </si>
  <si>
    <t>安徽高康食品有限公司</t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</si>
  <si>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白酒; 米酒</t>
    </r>
  </si>
  <si>
    <t>己仁堂</t>
  </si>
  <si>
    <r>
      <t>浙江世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星河科技有限公司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</si>
  <si>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薄荷酒;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含酒精的气泡水; 米酒; 黄酒;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</si>
  <si>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GLARSIUS</t>
  </si>
  <si>
    <r>
      <t>马</t>
    </r>
    <r>
      <rPr>
        <sz val="11"/>
        <color theme="1"/>
        <rFont val="ＭＳ Ｐゴシック"/>
        <family val="3"/>
        <charset val="128"/>
        <scheme val="minor"/>
      </rPr>
      <t>祖生物科技（福建）有限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</si>
  <si>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伏特加酒;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</t>
    </r>
  </si>
  <si>
    <t>SAINT DES LARRASSES</t>
  </si>
  <si>
    <t>王忠平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</si>
  <si>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苹果酒; 利口酒;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</si>
  <si>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t>LOUE FRED</t>
  </si>
  <si>
    <r>
      <t>西咸新区</t>
    </r>
    <r>
      <rPr>
        <sz val="11"/>
        <color theme="1"/>
        <rFont val="ＭＳ Ｐゴシック"/>
        <family val="3"/>
        <charset val="134"/>
        <scheme val="minor"/>
      </rPr>
      <t>沣东</t>
    </r>
    <r>
      <rPr>
        <sz val="11"/>
        <color theme="1"/>
        <rFont val="ＭＳ Ｐゴシック"/>
        <family val="3"/>
        <charset val="128"/>
        <scheme val="minor"/>
      </rPr>
      <t>新城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天宏百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</si>
  <si>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朗姆酒; 葡萄酒; 杜松子酒;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</si>
  <si>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众程臻</t>
    </r>
    <r>
      <rPr>
        <sz val="11"/>
        <color theme="1"/>
        <rFont val="ＭＳ Ｐゴシック"/>
        <family val="3"/>
        <charset val="134"/>
        <scheme val="minor"/>
      </rPr>
      <t>选</t>
    </r>
  </si>
  <si>
    <t>安徽众程生活科技有限公司</t>
  </si>
  <si>
    <r>
      <t xml:space="preserve">开胃酒; 蜂蜜酒; 白酒; 果酒; 烈酒; 高粱酒; 米酒;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</si>
  <si>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百峰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</si>
  <si>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鞍山市博望区丹阳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百峰村股份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</si>
  <si>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白酒; 食用酒精; 葡萄酒</t>
    </r>
  </si>
  <si>
    <t>可汗皇爵</t>
  </si>
  <si>
    <t>林源</t>
  </si>
  <si>
    <r>
      <t>葡萄酒;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</si>
  <si>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邵湘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</si>
  <si>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州杜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</si>
  <si>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苹果酒</t>
    </r>
  </si>
  <si>
    <r>
      <t>灵奇</t>
    </r>
    <r>
      <rPr>
        <sz val="11"/>
        <color theme="1"/>
        <rFont val="ＭＳ Ｐゴシック"/>
        <family val="3"/>
        <charset val="134"/>
        <scheme val="minor"/>
      </rPr>
      <t>龙</t>
    </r>
  </si>
  <si>
    <t>安徽三寿高新科技股份公司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</si>
  <si>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米酒; 葡萄酒;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</si>
  <si>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华财</t>
    </r>
    <r>
      <rPr>
        <sz val="11"/>
        <color theme="1"/>
        <rFont val="ＭＳ Ｐゴシック"/>
        <family val="3"/>
        <charset val="128"/>
        <scheme val="minor"/>
      </rPr>
      <t>到</t>
    </r>
  </si>
  <si>
    <r>
      <t>安徽天道正和文化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</si>
  <si>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米酒</t>
    </r>
  </si>
  <si>
    <t>点音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</si>
  <si>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战</t>
    </r>
    <r>
      <rPr>
        <sz val="11"/>
        <color theme="1"/>
        <rFont val="ＭＳ Ｐゴシック"/>
        <family val="3"/>
        <charset val="128"/>
        <scheme val="minor"/>
      </rPr>
      <t>音科技有限公司</t>
    </r>
  </si>
  <si>
    <r>
      <t>苦味酒; 薄荷酒; 开胃酒; 苹果酒;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柑香酒; 餐后酒（利口酒和烈酒）</t>
    </r>
  </si>
  <si>
    <r>
      <t>蜀人原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</si>
  <si>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雷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</si>
  <si>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黄酒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</si>
  <si>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礻</t>
    </r>
  </si>
  <si>
    <r>
      <t>福建省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遁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</si>
  <si>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</si>
  <si>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t>益生炮炮搞扎酒</t>
  </si>
  <si>
    <r>
      <t>张华</t>
    </r>
    <r>
      <rPr>
        <sz val="11"/>
        <color theme="1"/>
        <rFont val="ＭＳ Ｐゴシック"/>
        <family val="3"/>
        <charset val="128"/>
        <scheme val="minor"/>
      </rPr>
      <t>良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</si>
  <si>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果酒（含酒精）; 甜果酒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</si>
  <si>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景春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</si>
  <si>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东润</t>
    </r>
    <r>
      <rPr>
        <sz val="11"/>
        <color theme="1"/>
        <rFont val="ＭＳ Ｐゴシック"/>
        <family val="3"/>
        <charset val="128"/>
        <scheme val="minor"/>
      </rPr>
      <t>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</si>
  <si>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</si>
  <si>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阜洲</t>
  </si>
  <si>
    <r>
      <t>孟</t>
    </r>
    <r>
      <rPr>
        <sz val="11"/>
        <color theme="1"/>
        <rFont val="ＭＳ Ｐゴシック"/>
        <family val="3"/>
        <charset val="134"/>
        <scheme val="minor"/>
      </rPr>
      <t>庆贺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</si>
  <si>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烈酒; 果酒（含酒精）; 白酒; 五加皮酒（中国混合烈酒）;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</si>
  <si>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仙桂峰</t>
  </si>
  <si>
    <r>
      <t>聂</t>
    </r>
    <r>
      <rPr>
        <sz val="11"/>
        <color theme="1"/>
        <rFont val="ＭＳ Ｐゴシック"/>
        <family val="3"/>
        <charset val="128"/>
        <scheme val="minor"/>
      </rPr>
      <t>印根******************</t>
    </r>
  </si>
  <si>
    <r>
      <t>食用酒精;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黄酒; 烈酒;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</si>
  <si>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婺之美</t>
  </si>
  <si>
    <r>
      <t>成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火</t>
    </r>
    <r>
      <rPr>
        <sz val="11"/>
        <color theme="1"/>
        <rFont val="ＭＳ Ｐゴシック"/>
        <family val="3"/>
        <charset val="134"/>
        <scheme val="minor"/>
      </rPr>
      <t>鲤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（成都）有限公司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</si>
  <si>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烈性干酒;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</si>
  <si>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冘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</si>
  <si>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香液酒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</si>
  <si>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甜酒;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白酒; 甘蔗制烈酒; 汽酒; 烈酒; 高粱酒</t>
    </r>
  </si>
  <si>
    <r>
      <t>宏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湖</t>
    </r>
  </si>
  <si>
    <t>李良英</t>
  </si>
  <si>
    <r>
      <t xml:space="preserve">葡萄酒; 果酒; 米酒; 烈酒;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</si>
  <si>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r>
      <t>公格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九</t>
    </r>
    <r>
      <rPr>
        <sz val="11"/>
        <color theme="1"/>
        <rFont val="ＭＳ Ｐゴシック"/>
        <family val="3"/>
        <charset val="134"/>
        <scheme val="minor"/>
      </rPr>
      <t>别</t>
    </r>
    <r>
      <rPr>
        <sz val="11"/>
        <color theme="1"/>
        <rFont val="ＭＳ Ｐゴシック"/>
        <family val="3"/>
        <charset val="128"/>
        <scheme val="minor"/>
      </rPr>
      <t>峰</t>
    </r>
  </si>
  <si>
    <t>刘晨</t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</si>
  <si>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</si>
  <si>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充王醉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</si>
  <si>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象品牌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</si>
  <si>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 xml:space="preserve">米酒; 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</si>
  <si>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麒麟状元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</si>
  <si>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</si>
  <si>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t>怒小咖</t>
  </si>
  <si>
    <r>
      <t>怒江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作高科香料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</si>
  <si>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苦味酒; 开胃酒; 葡萄酒; 利口酒; 茴芹酒（利口酒）; 果酒（含酒精）;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杜松子酒; 薄荷酒; 蜂蜜酒</t>
    </r>
  </si>
  <si>
    <r>
      <t>庞诗</t>
    </r>
    <r>
      <rPr>
        <sz val="11"/>
        <color theme="1"/>
        <rFont val="ＭＳ Ｐゴシック"/>
        <family val="3"/>
        <charset val="128"/>
        <scheme val="minor"/>
      </rPr>
      <t>曼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</si>
  <si>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威士忌;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</si>
  <si>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竹叶 GRAND BAMBOO</t>
    </r>
  </si>
  <si>
    <r>
      <t>安吉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峰</t>
    </r>
    <r>
      <rPr>
        <sz val="11"/>
        <color theme="1"/>
        <rFont val="ＭＳ Ｐゴシック"/>
        <family val="3"/>
        <charset val="134"/>
        <scheme val="minor"/>
      </rPr>
      <t>纺织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</si>
  <si>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黄酒; 米酒</t>
    </r>
  </si>
  <si>
    <r>
      <t>降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</si>
  <si>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白酒; 开胃酒; 葡萄酒</t>
    </r>
  </si>
  <si>
    <t>二毛醇</t>
  </si>
  <si>
    <r>
      <t>资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县鸿</t>
    </r>
    <r>
      <rPr>
        <sz val="11"/>
        <color theme="1"/>
        <rFont val="ＭＳ Ｐゴシック"/>
        <family val="3"/>
        <charset val="128"/>
        <scheme val="minor"/>
      </rPr>
      <t>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</si>
  <si>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</si>
  <si>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窖方台</t>
  </si>
  <si>
    <r>
      <t>上海酒悦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</si>
  <si>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</si>
  <si>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通元灵</t>
  </si>
  <si>
    <t>朱正才</t>
  </si>
  <si>
    <r>
      <t>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甜酒;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</si>
  <si>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创</t>
    </r>
    <r>
      <rPr>
        <sz val="11"/>
        <color theme="1"/>
        <rFont val="ＭＳ Ｐゴシック"/>
        <family val="3"/>
        <charset val="128"/>
        <scheme val="minor"/>
      </rPr>
      <t>始柒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</si>
  <si>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尘</t>
    </r>
    <r>
      <rPr>
        <sz val="11"/>
        <color theme="1"/>
        <rFont val="ＭＳ Ｐゴシック"/>
        <family val="3"/>
        <charset val="128"/>
        <scheme val="minor"/>
      </rPr>
      <t>世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</si>
  <si>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</si>
  <si>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永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半山</t>
    </r>
  </si>
  <si>
    <r>
      <t>安徽古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</si>
  <si>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</si>
  <si>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千</t>
    </r>
    <r>
      <rPr>
        <sz val="11"/>
        <color theme="1"/>
        <rFont val="ＭＳ Ｐゴシック"/>
        <family val="3"/>
        <charset val="134"/>
        <scheme val="minor"/>
      </rPr>
      <t>岛约</t>
    </r>
  </si>
  <si>
    <r>
      <t>杭州千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湖林深源酒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</si>
  <si>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</si>
  <si>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化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</si>
  <si>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 xml:space="preserve">清酒（日本米酒）;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</si>
  <si>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府楼猴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</si>
  <si>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柏熹酒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</si>
  <si>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伏特加酒;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</si>
  <si>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获</t>
    </r>
    <r>
      <rPr>
        <sz val="11"/>
        <color theme="1"/>
        <rFont val="ＭＳ Ｐゴシック"/>
        <family val="3"/>
        <charset val="128"/>
        <scheme val="minor"/>
      </rPr>
      <t>酒庄</t>
    </r>
  </si>
  <si>
    <t>胡文碧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</si>
  <si>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</si>
  <si>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幸福口袋 HAPPINESS POCKET</t>
  </si>
  <si>
    <r>
      <t>谢</t>
    </r>
    <r>
      <rPr>
        <sz val="11"/>
        <color theme="1"/>
        <rFont val="ＭＳ Ｐゴシック"/>
        <family val="3"/>
        <charset val="128"/>
        <scheme val="minor"/>
      </rPr>
      <t>梓旭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</si>
  <si>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果酒（含酒精）</t>
    </r>
  </si>
  <si>
    <t>父子同心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</si>
  <si>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州父子同心酒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</si>
  <si>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白酒;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</t>
    </r>
  </si>
  <si>
    <r>
      <t>璞芝</t>
    </r>
    <r>
      <rPr>
        <sz val="11"/>
        <color theme="1"/>
        <rFont val="ＭＳ Ｐゴシック"/>
        <family val="3"/>
        <charset val="134"/>
        <scheme val="minor"/>
      </rPr>
      <t>岛</t>
    </r>
  </si>
  <si>
    <t>海南一品源科技有限公司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</si>
  <si>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</si>
  <si>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历</t>
    </r>
    <r>
      <rPr>
        <sz val="11"/>
        <color theme="1"/>
        <rFont val="ＭＳ Ｐゴシック"/>
        <family val="3"/>
        <charset val="128"/>
        <scheme val="minor"/>
      </rPr>
      <t>史佬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</si>
  <si>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市民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</si>
  <si>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果酒（含酒精）; 威士忌; 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</si>
  <si>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t>胖福来</t>
  </si>
  <si>
    <r>
      <t>天津宝辛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</si>
  <si>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果酒（含酒精）</t>
    </r>
  </si>
  <si>
    <t>福百医</t>
  </si>
  <si>
    <r>
      <t>中奕佳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</si>
  <si>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蝮蛇酒;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</si>
  <si>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r>
      <t>红动</t>
    </r>
    <r>
      <rPr>
        <sz val="11"/>
        <color theme="1"/>
        <rFont val="ＭＳ Ｐゴシック"/>
        <family val="3"/>
        <charset val="128"/>
        <scheme val="minor"/>
      </rPr>
      <t>酒造</t>
    </r>
  </si>
  <si>
    <r>
      <t>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朗姆酒;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白酒</t>
    </r>
  </si>
  <si>
    <t>JOY VOYAGE</t>
  </si>
  <si>
    <r>
      <t>中粮名庄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</si>
  <si>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</si>
  <si>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粮金</t>
    </r>
    <r>
      <rPr>
        <sz val="11"/>
        <color theme="1"/>
        <rFont val="ＭＳ Ｐゴシック"/>
        <family val="3"/>
        <charset val="129"/>
        <scheme val="minor"/>
      </rPr>
      <t>优</t>
    </r>
  </si>
  <si>
    <t>李金豹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</si>
  <si>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高粱酒; 米酒; 食用酒精;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利口酒;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</si>
  <si>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腊酒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</si>
  <si>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呈御品牌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展(</t>
    </r>
    <r>
      <rPr>
        <sz val="11"/>
        <color theme="1"/>
        <rFont val="ＭＳ Ｐゴシック"/>
        <family val="3"/>
        <charset val="134"/>
        <scheme val="minor"/>
      </rPr>
      <t>盐</t>
    </r>
    <r>
      <rPr>
        <sz val="11"/>
        <color theme="1"/>
        <rFont val="ＭＳ Ｐゴシック"/>
        <family val="3"/>
        <charset val="128"/>
        <scheme val="minor"/>
      </rPr>
      <t>城)有限公司</t>
    </r>
  </si>
  <si>
    <r>
      <t>葡萄酒; 烈酒;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</t>
    </r>
  </si>
  <si>
    <r>
      <t>郭窑小</t>
    </r>
    <r>
      <rPr>
        <sz val="11"/>
        <color theme="1"/>
        <rFont val="ＭＳ Ｐゴシック"/>
        <family val="3"/>
        <charset val="134"/>
        <scheme val="minor"/>
      </rPr>
      <t>镇</t>
    </r>
  </si>
  <si>
    <r>
      <t>商城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赤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</si>
  <si>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</si>
  <si>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BA MAO SHAN</t>
  </si>
  <si>
    <r>
      <t>雪苑酒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（湖北）有限公司</t>
    </r>
  </si>
  <si>
    <r>
      <t>果酒（含酒精）; 白酒;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</si>
  <si>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品太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</si>
  <si>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商洛商山瑶科技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</si>
  <si>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葡萄酒; 果酒（含酒精）;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</si>
  <si>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别录</t>
  </si>
  <si>
    <r>
      <t>北京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利祥健科技服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</si>
  <si>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葡萄酒;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</si>
  <si>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JMELUN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</si>
  <si>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门罗</t>
    </r>
    <r>
      <rPr>
        <sz val="11"/>
        <color theme="1"/>
        <rFont val="ＭＳ Ｐゴシック"/>
        <family val="3"/>
        <charset val="128"/>
        <scheme val="minor"/>
      </rPr>
      <t>柏斯集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</si>
  <si>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</t>
    </r>
  </si>
  <si>
    <t>精圣酒庄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</si>
  <si>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州精圣酒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</si>
  <si>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食用酒精</t>
    </r>
  </si>
  <si>
    <r>
      <t>霸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鼎醇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</si>
  <si>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卫卫</t>
    </r>
  </si>
  <si>
    <r>
      <t xml:space="preserve">米酒; 白酒; 果酒（含酒精）; 杜松子酒; 蜂蜜酒; 汽酒; 黄酒;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</si>
  <si>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赤河旋律</t>
  </si>
  <si>
    <r>
      <t>陈</t>
    </r>
    <r>
      <rPr>
        <sz val="11"/>
        <color theme="1"/>
        <rFont val="ＭＳ Ｐゴシック"/>
        <family val="3"/>
        <charset val="128"/>
        <scheme val="minor"/>
      </rPr>
      <t>浪群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</si>
  <si>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</si>
  <si>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冂泉</t>
  </si>
  <si>
    <t>曹智祥******************</t>
  </si>
  <si>
    <r>
      <t>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蜂蜜酒; 白酒; 黄酒; 青稞酒; 薄荷酒; 果酒（含酒精）; 米酒</t>
    </r>
  </si>
  <si>
    <t>仁者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</si>
  <si>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</si>
  <si>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苹果酒; 露酒; 米酒;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</si>
  <si>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天珠九脉</t>
  </si>
  <si>
    <r>
      <t>海南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草科技集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</si>
  <si>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青稞酒;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伏特加酒</t>
    </r>
  </si>
  <si>
    <r>
      <t>皮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特 PEROT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</si>
  <si>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尊荣文化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</si>
  <si>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青稞酒; 威士忌; 果酒（含酒精）;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</si>
  <si>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龙凤</t>
    </r>
    <r>
      <rPr>
        <sz val="11"/>
        <color theme="1"/>
        <rFont val="ＭＳ Ｐゴシック"/>
        <family val="3"/>
        <charset val="128"/>
        <scheme val="minor"/>
      </rPr>
      <t>来</t>
    </r>
    <r>
      <rPr>
        <sz val="11"/>
        <color theme="1"/>
        <rFont val="ＭＳ Ｐゴシック"/>
        <family val="3"/>
        <charset val="134"/>
        <scheme val="minor"/>
      </rPr>
      <t>仪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</si>
  <si>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</si>
  <si>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露酒; 餐后酒（利口酒和烈酒）; 白酒; 葡萄酒</t>
    </r>
  </si>
  <si>
    <r>
      <t>贺澜</t>
    </r>
    <r>
      <rPr>
        <sz val="11"/>
        <color theme="1"/>
        <rFont val="ＭＳ Ｐゴシック"/>
        <family val="3"/>
        <charset val="128"/>
        <scheme val="minor"/>
      </rPr>
      <t>塞外秘境</t>
    </r>
  </si>
  <si>
    <r>
      <t>塞外秘境（宁夏）酒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</si>
  <si>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果酒; 白葡萄酒;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</si>
  <si>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叁</t>
    </r>
    <r>
      <rPr>
        <sz val="11"/>
        <color theme="1"/>
        <rFont val="ＭＳ Ｐゴシック"/>
        <family val="3"/>
        <charset val="128"/>
        <scheme val="minor"/>
      </rPr>
      <t>天两地</t>
    </r>
  </si>
  <si>
    <r>
      <t>成都壹壹</t>
    </r>
    <r>
      <rPr>
        <sz val="11"/>
        <color theme="1"/>
        <rFont val="ＭＳ Ｐゴシック"/>
        <family val="3"/>
        <charset val="134"/>
        <scheme val="minor"/>
      </rPr>
      <t>贰陆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</si>
  <si>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</si>
  <si>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冠山歌 CROWNSHINESONG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</si>
  <si>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青稞酒</t>
    </r>
  </si>
  <si>
    <t>冬工</t>
  </si>
  <si>
    <r>
      <t>麻姑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</si>
  <si>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果酒（含酒精）; 葡萄酒; 蜂蜜酒; 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柑香酒</t>
    </r>
  </si>
  <si>
    <t>周旋</t>
  </si>
  <si>
    <r>
      <t>成都壹席酒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</si>
  <si>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咖啡利口酒;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</si>
  <si>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拉蒙塔尼明悦星空</t>
  </si>
  <si>
    <r>
      <t>南京广存禄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</si>
  <si>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</si>
  <si>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梅且好</t>
    </r>
  </si>
  <si>
    <t>浙江吾梅食品有限公司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</si>
  <si>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米酒; 果酒（含酒精）; 黄酒; 伏特加酒;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</si>
  <si>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擎玄</t>
  </si>
  <si>
    <t>浙江玄运通制冷科技有限公司</t>
  </si>
  <si>
    <r>
      <t xml:space="preserve">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米酒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</si>
  <si>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灯</t>
    </r>
  </si>
  <si>
    <r>
      <t>涿州山恩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</si>
  <si>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白酒; 黄酒</t>
    </r>
  </si>
  <si>
    <t>光良数据瓶</t>
  </si>
  <si>
    <r>
      <t>四川光良酒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</si>
  <si>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葡萄酒; 苹果酒; 米酒; 白酒; 青稞酒; 黄酒; 果酒（含酒精）</t>
    </r>
  </si>
  <si>
    <t>锦绣鹤鸣</t>
  </si>
  <si>
    <r>
      <t>龙</t>
    </r>
    <r>
      <rPr>
        <sz val="11"/>
        <color theme="1"/>
        <rFont val="ＭＳ Ｐゴシック"/>
        <family val="3"/>
        <charset val="128"/>
        <scheme val="minor"/>
      </rPr>
      <t>口市玉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中心（个体工商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</si>
  <si>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青稞酒</t>
    </r>
  </si>
  <si>
    <t>粮小宴</t>
  </si>
  <si>
    <r>
      <t>吉林省小香郡酒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</si>
  <si>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白酒; 黄酒;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</si>
  <si>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桐容酒庄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</si>
  <si>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州酒友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</si>
  <si>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苦味酒;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</t>
    </r>
  </si>
  <si>
    <r>
      <t>锦绣</t>
    </r>
    <r>
      <rPr>
        <sz val="11"/>
        <color theme="1"/>
        <rFont val="ＭＳ Ｐゴシック"/>
        <family val="3"/>
        <charset val="128"/>
        <scheme val="minor"/>
      </rPr>
      <t>之莱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</si>
  <si>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</si>
  <si>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r>
      <t>博瑞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</si>
  <si>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健</t>
    </r>
  </si>
  <si>
    <r>
      <t xml:space="preserve">白酒;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开胃酒</t>
    </r>
  </si>
  <si>
    <t>京典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</si>
  <si>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</si>
  <si>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开胃酒;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</si>
  <si>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FLYING TANGO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</si>
  <si>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</t>
    </r>
  </si>
  <si>
    <r>
      <t>鲍</t>
    </r>
    <r>
      <rPr>
        <sz val="11"/>
        <color theme="1"/>
        <rFont val="ＭＳ Ｐゴシック"/>
        <family val="3"/>
        <charset val="128"/>
        <scheme val="minor"/>
      </rPr>
      <t>丰</t>
    </r>
  </si>
  <si>
    <r>
      <t>李洪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</si>
  <si>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 xml:space="preserve">果酒（含酒精）; 白酒; 开胃酒; 伏特加酒; 苹果酒; 米酒; 黄酒; 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</si>
  <si>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京都</t>
    </r>
    <r>
      <rPr>
        <sz val="11"/>
        <color theme="1"/>
        <rFont val="ＭＳ Ｐゴシック"/>
        <family val="3"/>
        <charset val="134"/>
        <scheme val="minor"/>
      </rPr>
      <t>龙玺</t>
    </r>
  </si>
  <si>
    <r>
      <t>北京金晟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</si>
  <si>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威士忌; 伏特加酒; 清酒（日本米酒）;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白酒</t>
    </r>
  </si>
  <si>
    <r>
      <t>家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</si>
  <si>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欧阳双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</si>
  <si>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清酒; 青稞酒; 米酒; 烈酒; 黄酒; 葡萄酒; 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</si>
  <si>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石</t>
    </r>
    <r>
      <rPr>
        <sz val="11"/>
        <color theme="1"/>
        <rFont val="ＭＳ Ｐゴシック"/>
        <family val="3"/>
        <charset val="129"/>
        <scheme val="minor"/>
      </rPr>
      <t>墎</t>
    </r>
    <r>
      <rPr>
        <sz val="11"/>
        <color theme="1"/>
        <rFont val="ＭＳ Ｐゴシック"/>
        <family val="3"/>
        <charset val="128"/>
        <scheme val="minor"/>
      </rPr>
      <t>酒</t>
    </r>
  </si>
  <si>
    <t>田明越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</si>
  <si>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开胃酒;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</t>
    </r>
  </si>
  <si>
    <t>夏橙白</t>
  </si>
  <si>
    <t>柳州市橘之宝保健食品科技有限公司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</si>
  <si>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烈性干酒;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威士忌; 烈酒; 白酒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</si>
  <si>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仁商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</si>
  <si>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甜酒; 烈酒;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米酒; 白酒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</si>
  <si>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恩情</t>
    </r>
  </si>
  <si>
    <t>湖南启泰生物科技有限公司</t>
  </si>
  <si>
    <r>
      <t>白酒; 米酒; 果酒; 烈酒;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高粱酒</t>
    </r>
  </si>
  <si>
    <r>
      <t>铸</t>
    </r>
    <r>
      <rPr>
        <sz val="11"/>
        <color theme="1"/>
        <rFont val="ＭＳ Ｐゴシック"/>
        <family val="3"/>
        <charset val="128"/>
        <scheme val="minor"/>
      </rPr>
      <t>酒巡天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</si>
  <si>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东骏</t>
    </r>
    <r>
      <rPr>
        <sz val="11"/>
        <color theme="1"/>
        <rFont val="ＭＳ Ｐゴシック"/>
        <family val="3"/>
        <charset val="128"/>
        <scheme val="minor"/>
      </rPr>
      <t>德物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</si>
  <si>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</si>
  <si>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三娘醉</t>
  </si>
  <si>
    <t>范增秀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</si>
  <si>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含酒精蛋奶酒; 白酒; 高粱酒; 葡萄酒;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</si>
  <si>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欧巴</t>
    </r>
  </si>
  <si>
    <r>
      <t xml:space="preserve">米酒; 清酒; 烈酒;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果酒; 白酒;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</si>
  <si>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湖熊猫小</t>
    </r>
    <r>
      <rPr>
        <sz val="11"/>
        <color theme="1"/>
        <rFont val="ＭＳ Ｐゴシック"/>
        <family val="3"/>
        <charset val="134"/>
        <scheme val="minor"/>
      </rPr>
      <t>镇</t>
    </r>
  </si>
  <si>
    <r>
      <t>北京新湖</t>
    </r>
    <r>
      <rPr>
        <sz val="11"/>
        <color theme="1"/>
        <rFont val="ＭＳ Ｐゴシック"/>
        <family val="3"/>
        <charset val="134"/>
        <scheme val="minor"/>
      </rPr>
      <t>伟业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</si>
  <si>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</si>
  <si>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汉团圆</t>
    </r>
  </si>
  <si>
    <r>
      <t>开胃酒; 白酒; 果酒;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烈酒; 高粱酒; 米酒</t>
    </r>
  </si>
  <si>
    <t>襄合老朱</t>
  </si>
  <si>
    <t>朱瑞</t>
  </si>
  <si>
    <r>
      <t xml:space="preserve">草莓酒;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梅酒</t>
    </r>
  </si>
  <si>
    <r>
      <t>宜岳佳</t>
    </r>
    <r>
      <rPr>
        <sz val="11"/>
        <color theme="1"/>
        <rFont val="ＭＳ Ｐゴシック"/>
        <family val="3"/>
        <charset val="134"/>
        <scheme val="minor"/>
      </rPr>
      <t>酿</t>
    </r>
  </si>
  <si>
    <t>北京宜岳建工有限公司</t>
  </si>
  <si>
    <r>
      <t xml:space="preserve">米酒; 草莓酒;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白葡萄酒; 葡萄酒; 白酒</t>
    </r>
  </si>
  <si>
    <r>
      <t>芙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恋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</si>
  <si>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盛国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</si>
  <si>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清酒（日本米酒）;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</t>
    </r>
  </si>
  <si>
    <t>常望秋 CWQ</t>
  </si>
  <si>
    <r>
      <t>烟台和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船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</si>
  <si>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</si>
  <si>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励志大叔</t>
  </si>
  <si>
    <r>
      <t>彩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王国（佛山）商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</si>
  <si>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开胃酒; 利口酒; 朗姆酒; 白酒; 威士忌;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</si>
  <si>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苗僚</t>
  </si>
  <si>
    <t>冉特尤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</si>
  <si>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开胃酒;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高粱酒; 蜂蜜酒</t>
    </r>
  </si>
  <si>
    <t>FULLHOUSEGETTO</t>
  </si>
  <si>
    <r>
      <t>南京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堂文</t>
    </r>
    <r>
      <rPr>
        <sz val="11"/>
        <color theme="1"/>
        <rFont val="ＭＳ Ｐゴシック"/>
        <family val="3"/>
        <charset val="134"/>
        <scheme val="minor"/>
      </rPr>
      <t>娱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</si>
  <si>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</si>
  <si>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馋鲜</t>
    </r>
    <r>
      <rPr>
        <sz val="11"/>
        <color theme="1"/>
        <rFont val="ＭＳ Ｐゴシック"/>
        <family val="3"/>
        <charset val="128"/>
        <scheme val="minor"/>
      </rPr>
      <t>客</t>
    </r>
  </si>
  <si>
    <t>梅海港</t>
  </si>
  <si>
    <r>
      <t>食用酒精; 米酒; 白酒; 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</t>
    </r>
  </si>
  <si>
    <t>大洲源</t>
  </si>
  <si>
    <t>黄山念昕品牌管理有限公司</t>
  </si>
  <si>
    <r>
      <t>烈性干酒;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葡萄酒; 白干酒（中国白酒）; 食用酒精; 黄酒; 米酒; 果酒（含酒精）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</si>
  <si>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品台</t>
    </r>
  </si>
  <si>
    <r>
      <t xml:space="preserve">米酒; 烈酒;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青稞酒; 甜酒</t>
    </r>
  </si>
  <si>
    <r>
      <t>星光版</t>
    </r>
    <r>
      <rPr>
        <sz val="11"/>
        <color theme="1"/>
        <rFont val="ＭＳ Ｐゴシック"/>
        <family val="3"/>
        <charset val="134"/>
        <scheme val="minor"/>
      </rPr>
      <t>纳</t>
    </r>
  </si>
  <si>
    <r>
      <t>深圳半藏天地文化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展股份有限公司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</si>
  <si>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威士忌;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果酒;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</si>
  <si>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META LOONG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</si>
  <si>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红顶</t>
    </r>
    <r>
      <rPr>
        <sz val="11"/>
        <color theme="1"/>
        <rFont val="ＭＳ Ｐゴシック"/>
        <family val="3"/>
        <charset val="128"/>
        <scheme val="minor"/>
      </rPr>
      <t>麻雀科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</si>
  <si>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</si>
  <si>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陇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汤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</si>
  <si>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市斗一味餐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</si>
  <si>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米酒; 葡萄酒</t>
    </r>
  </si>
  <si>
    <t>古郡朗山</t>
  </si>
  <si>
    <r>
      <t>河南朗山酒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</si>
  <si>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葡萄酒; 黄酒; 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草莓酒;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</si>
  <si>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泉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</si>
  <si>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衢州天意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</si>
  <si>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</si>
  <si>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冬日橙白</t>
  </si>
  <si>
    <r>
      <t>烈性干酒;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</si>
  <si>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不易 酒</t>
  </si>
  <si>
    <r>
      <t>马</t>
    </r>
    <r>
      <rPr>
        <sz val="11"/>
        <color theme="1"/>
        <rFont val="ＭＳ Ｐゴシック"/>
        <family val="3"/>
        <charset val="128"/>
        <scheme val="minor"/>
      </rPr>
      <t>彩霞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</si>
  <si>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果酒（含酒精）; 黄酒; 米酒</t>
    </r>
  </si>
  <si>
    <t>嵩山中天</t>
  </si>
  <si>
    <r>
      <t>上海花彩羊国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</si>
  <si>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t>威士忌; 米酒; 烈性干酒; 烈酒; 黄酒; 食用酒精; 果酒; 高粱酒; 清酒（日本米酒）; 白酒</t>
  </si>
  <si>
    <t>昭无眠</t>
  </si>
  <si>
    <r>
      <t>温州酣然入梦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</si>
  <si>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聊城市文化和旅游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展中心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</si>
  <si>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</si>
  <si>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鑫源乾</t>
  </si>
  <si>
    <r>
      <t>韦继</t>
    </r>
    <r>
      <rPr>
        <sz val="11"/>
        <color theme="1"/>
        <rFont val="ＭＳ Ｐゴシック"/>
        <family val="3"/>
        <charset val="128"/>
        <scheme val="minor"/>
      </rPr>
      <t>乾</t>
    </r>
  </si>
  <si>
    <r>
      <t>米酒; 葡萄酒; 白干酒（中国白酒）;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威士忌; 白酒; 蜂蜜酒; 烈酒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</si>
  <si>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潇</t>
    </r>
    <r>
      <rPr>
        <sz val="11"/>
        <color theme="1"/>
        <rFont val="ＭＳ Ｐゴシック"/>
        <family val="3"/>
        <charset val="128"/>
        <scheme val="minor"/>
      </rPr>
      <t>洒甄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</si>
  <si>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</si>
  <si>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高粱酒; 白酒; 黄酒; 果酒; 甜酒</t>
    </r>
  </si>
  <si>
    <r>
      <t>贡</t>
    </r>
    <r>
      <rPr>
        <sz val="11"/>
        <color theme="1"/>
        <rFont val="ＭＳ Ｐゴシック"/>
        <family val="3"/>
        <charset val="128"/>
        <scheme val="minor"/>
      </rPr>
      <t>廷渡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</si>
  <si>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晨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</si>
  <si>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白酒; 高粱酒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</si>
  <si>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中梁</t>
    </r>
  </si>
  <si>
    <r>
      <t>杭州卓梵希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</si>
  <si>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黄酒; 白酒;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朗姆酒;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</si>
  <si>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森</t>
    </r>
    <r>
      <rPr>
        <sz val="11"/>
        <color theme="1"/>
        <rFont val="ＭＳ Ｐゴシック"/>
        <family val="3"/>
        <charset val="134"/>
        <scheme val="minor"/>
      </rPr>
      <t>艊</t>
    </r>
    <r>
      <rPr>
        <sz val="11"/>
        <color theme="1"/>
        <rFont val="ＭＳ Ｐゴシック"/>
        <family val="3"/>
        <charset val="128"/>
        <scheme val="minor"/>
      </rPr>
      <t xml:space="preserve"> THE SIMPLE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</si>
  <si>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沃格斯科技有限公司</t>
    </r>
  </si>
  <si>
    <r>
      <t xml:space="preserve">威士忌;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高粱酒;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</t>
    </r>
  </si>
  <si>
    <t>山林小哎</t>
  </si>
  <si>
    <r>
      <t>上杭山野好物生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</si>
  <si>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黄酒; 白酒; 露酒;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果酒; 梅酒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</si>
  <si>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氏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石伊河王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</si>
  <si>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学旺</t>
    </r>
  </si>
  <si>
    <r>
      <t xml:space="preserve">葡萄酒; 米酒;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</si>
  <si>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杏林圣手</t>
  </si>
  <si>
    <r>
      <t>祖</t>
    </r>
    <r>
      <rPr>
        <sz val="11"/>
        <color theme="1"/>
        <rFont val="ＭＳ Ｐゴシック"/>
        <family val="3"/>
        <charset val="134"/>
        <scheme val="minor"/>
      </rPr>
      <t>卫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</si>
  <si>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清酒（日本米酒）; 葡萄酒; 黄酒; 果酒（含酒精）; 白酒</t>
    </r>
  </si>
  <si>
    <t>汾酒蝉冠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</si>
  <si>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</si>
  <si>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山野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哎</t>
    </r>
  </si>
  <si>
    <r>
      <t xml:space="preserve">米酒; 梅酒; 高粱酒; 果酒;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黄酒</t>
    </r>
  </si>
  <si>
    <r>
      <t>馫</t>
    </r>
    <r>
      <rPr>
        <sz val="11"/>
        <color theme="1"/>
        <rFont val="ＭＳ Ｐゴシック"/>
        <family val="3"/>
        <charset val="128"/>
        <scheme val="minor"/>
      </rPr>
      <t>都有礼</t>
    </r>
  </si>
  <si>
    <r>
      <t>成都市桂城文化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</si>
  <si>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含酒精的气泡水; 白酒; 米酒; 甜果酒; 葡萄酒; 果酒（含酒精）;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</si>
  <si>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钧</t>
    </r>
    <r>
      <rPr>
        <sz val="11"/>
        <color theme="1"/>
        <rFont val="ＭＳ Ｐゴシック"/>
        <family val="3"/>
        <charset val="128"/>
        <scheme val="minor"/>
      </rPr>
      <t>猷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</si>
  <si>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阳昌威商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</si>
  <si>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葡萄酒; 白酒;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</si>
  <si>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必康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</si>
  <si>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品通数字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</si>
  <si>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白酒; 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</si>
  <si>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北湖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</si>
  <si>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益仙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</si>
  <si>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葡萄酒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</si>
  <si>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天和</t>
    </r>
  </si>
  <si>
    <t>唐中和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</si>
  <si>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葡萄酒; 果酒（含酒精）; 米酒; 蜂蜜酒; 黄酒</t>
    </r>
  </si>
  <si>
    <r>
      <t>赐</t>
    </r>
    <r>
      <rPr>
        <sz val="11"/>
        <color theme="1"/>
        <rFont val="ＭＳ Ｐゴシック"/>
        <family val="3"/>
        <charset val="128"/>
        <scheme val="minor"/>
      </rPr>
      <t>香溢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</si>
  <si>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</si>
  <si>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井仙承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</si>
  <si>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</t>
    </r>
  </si>
  <si>
    <t>燕酣台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</si>
  <si>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</si>
  <si>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皇</t>
    </r>
    <r>
      <rPr>
        <sz val="11"/>
        <color theme="1"/>
        <rFont val="ＭＳ Ｐゴシック"/>
        <family val="3"/>
        <charset val="134"/>
        <scheme val="minor"/>
      </rPr>
      <t>镇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</si>
  <si>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州嘉亮酒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</si>
  <si>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蜂蜜酒; 梨酒;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杜松子酒; 米酒</t>
    </r>
  </si>
  <si>
    <r>
      <t>华</t>
    </r>
    <r>
      <rPr>
        <sz val="11"/>
        <color theme="1"/>
        <rFont val="ＭＳ Ｐゴシック"/>
        <family val="3"/>
        <charset val="129"/>
        <scheme val="minor"/>
      </rPr>
      <t>值</t>
    </r>
    <r>
      <rPr>
        <sz val="11"/>
        <color theme="1"/>
        <rFont val="ＭＳ Ｐゴシック"/>
        <family val="3"/>
        <charset val="128"/>
        <scheme val="minor"/>
      </rPr>
      <t>名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</si>
  <si>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之初酒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</si>
  <si>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蜂蜜酒;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餐后酒（利口酒和烈酒）</t>
    </r>
  </si>
  <si>
    <r>
      <t>汾酒金</t>
    </r>
    <r>
      <rPr>
        <sz val="11"/>
        <color theme="1"/>
        <rFont val="ＭＳ Ｐゴシック"/>
        <family val="3"/>
        <charset val="134"/>
        <scheme val="minor"/>
      </rPr>
      <t>浆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</si>
  <si>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</si>
  <si>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拾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</si>
  <si>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</si>
  <si>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食用酒精; 苹果酒</t>
    </r>
  </si>
  <si>
    <r>
      <t>名</t>
    </r>
    <r>
      <rPr>
        <sz val="11"/>
        <color theme="1"/>
        <rFont val="ＭＳ Ｐゴシック"/>
        <family val="3"/>
        <charset val="134"/>
        <scheme val="minor"/>
      </rPr>
      <t>银</t>
    </r>
  </si>
  <si>
    <r>
      <t>徐俊</t>
    </r>
    <r>
      <rPr>
        <sz val="11"/>
        <color theme="1"/>
        <rFont val="ＭＳ Ｐゴシック"/>
        <family val="3"/>
        <charset val="134"/>
        <scheme val="minor"/>
      </rPr>
      <t>标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</si>
  <si>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葡萄酒; 高粱酒; 白酒;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</si>
  <si>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溥天之下</t>
  </si>
  <si>
    <r>
      <t>唐洪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</si>
  <si>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露酒; 黄酒; 食用酒精; 果酒（含酒精）; 葡萄酒;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</si>
  <si>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赤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渊 酒</t>
    </r>
  </si>
  <si>
    <r>
      <t>饶</t>
    </r>
    <r>
      <rPr>
        <sz val="11"/>
        <color theme="1"/>
        <rFont val="ＭＳ Ｐゴシック"/>
        <family val="3"/>
        <charset val="128"/>
        <scheme val="minor"/>
      </rPr>
      <t>志勇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</si>
  <si>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</si>
  <si>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德扒</t>
  </si>
  <si>
    <t>董敏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</si>
  <si>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果酒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</si>
  <si>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涛酒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</si>
  <si>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</si>
  <si>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米酒;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</si>
  <si>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宗河小池窖</t>
  </si>
  <si>
    <r>
      <t>亳州市宗河酒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</si>
  <si>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烈酒; 白酒; 米酒; 利口酒; 苹果酒;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</t>
    </r>
  </si>
  <si>
    <r>
      <t>曲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徽之印</t>
    </r>
  </si>
  <si>
    <r>
      <t>安徽曲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</si>
  <si>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朗姆酒</t>
    </r>
  </si>
  <si>
    <t>酬德</t>
  </si>
  <si>
    <r>
      <t>汤</t>
    </r>
    <r>
      <rPr>
        <sz val="11"/>
        <color theme="1"/>
        <rFont val="ＭＳ Ｐゴシック"/>
        <family val="3"/>
        <charset val="128"/>
        <scheme val="minor"/>
      </rPr>
      <t>全福</t>
    </r>
  </si>
  <si>
    <r>
      <t xml:space="preserve">高粱酒; 清酒; 葡萄酒; 果酒（含酒精）;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露酒; 米酒; 白酒</t>
    </r>
  </si>
  <si>
    <t>多彩岷州</t>
  </si>
  <si>
    <r>
      <t>鲁</t>
    </r>
    <r>
      <rPr>
        <sz val="11"/>
        <color theme="1"/>
        <rFont val="ＭＳ Ｐゴシック"/>
        <family val="3"/>
        <charset val="128"/>
        <scheme val="minor"/>
      </rPr>
      <t>玉平</t>
    </r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</si>
  <si>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朗姆酒;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</si>
  <si>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原洽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</si>
  <si>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觅</t>
    </r>
    <r>
      <rPr>
        <sz val="11"/>
        <color theme="1"/>
        <rFont val="ＭＳ Ｐゴシック"/>
        <family val="3"/>
        <charset val="128"/>
        <scheme val="minor"/>
      </rPr>
      <t>食</t>
    </r>
    <r>
      <rPr>
        <sz val="11"/>
        <color theme="1"/>
        <rFont val="ＭＳ Ｐゴシック"/>
        <family val="3"/>
        <charset val="134"/>
        <scheme val="minor"/>
      </rPr>
      <t>阁电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</si>
  <si>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黄酒; 利口酒;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</si>
  <si>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九仙</t>
    </r>
    <r>
      <rPr>
        <sz val="11"/>
        <color theme="1"/>
        <rFont val="ＭＳ Ｐゴシック"/>
        <family val="3"/>
        <charset val="134"/>
        <scheme val="minor"/>
      </rPr>
      <t>蕴</t>
    </r>
  </si>
  <si>
    <r>
      <t>悦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）生物科技有限公司</t>
    </r>
  </si>
  <si>
    <r>
      <t xml:space="preserve">白酒; 米酒; 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</si>
  <si>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r>
      <t>月池巴山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</si>
  <si>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城口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古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雅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</si>
  <si>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 xml:space="preserve">果酒（含酒精）; 梨酒; 蜂蜜酒;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</t>
    </r>
  </si>
  <si>
    <r>
      <t>易</t>
    </r>
    <r>
      <rPr>
        <sz val="11"/>
        <color theme="1"/>
        <rFont val="ＭＳ Ｐゴシック"/>
        <family val="3"/>
        <charset val="134"/>
        <scheme val="minor"/>
      </rPr>
      <t>绘</t>
    </r>
  </si>
  <si>
    <r>
      <t>薛利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</si>
  <si>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青稞酒; 苹果酒; 白酒;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蜂蜜酒; 米酒; 葡萄酒</t>
    </r>
  </si>
  <si>
    <t>唐朝礼</t>
  </si>
  <si>
    <r>
      <t>四川唐朝老窖（集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</si>
  <si>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米酒; 果酒;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葡萄酒; 高粱酒; 白酒; 甜酒</t>
    </r>
  </si>
  <si>
    <t>礼虢同舟</t>
  </si>
  <si>
    <t>郭炳友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</si>
  <si>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</si>
  <si>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河湟大将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</si>
  <si>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青海水井巷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</si>
  <si>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白干酒（中国白酒）;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开胃酒; 威士忌; 葡萄酒</t>
    </r>
  </si>
  <si>
    <t>川醉仙 酒</t>
  </si>
  <si>
    <r>
      <t>陈</t>
    </r>
    <r>
      <rPr>
        <sz val="11"/>
        <color theme="1"/>
        <rFont val="ＭＳ Ｐゴシック"/>
        <family val="3"/>
        <charset val="128"/>
        <scheme val="minor"/>
      </rPr>
      <t>明央</t>
    </r>
  </si>
  <si>
    <r>
      <t xml:space="preserve">果酒（含酒精）; 梅酒; 米酒; 伏特加酒; 白酒;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</si>
  <si>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工匠</t>
    </r>
    <r>
      <rPr>
        <sz val="11"/>
        <color theme="1"/>
        <rFont val="ＭＳ Ｐゴシック"/>
        <family val="3"/>
        <charset val="134"/>
        <scheme val="minor"/>
      </rPr>
      <t>欢</t>
    </r>
  </si>
  <si>
    <t>程瑞明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</si>
  <si>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汽酒; 米酒; 佐餐酒;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白酒; 白干酒（中国白酒）; 葡萄酒</t>
    </r>
  </si>
  <si>
    <r>
      <t>凤垭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</si>
  <si>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航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</si>
  <si>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</t>
    </r>
  </si>
  <si>
    <r>
      <t>明三</t>
    </r>
    <r>
      <rPr>
        <sz val="11"/>
        <color theme="1"/>
        <rFont val="ＭＳ Ｐゴシック"/>
        <family val="3"/>
        <charset val="134"/>
        <scheme val="minor"/>
      </rPr>
      <t>岁</t>
    </r>
  </si>
  <si>
    <t>李智勇</t>
  </si>
  <si>
    <r>
      <t xml:space="preserve">薄荷酒; 黄酒; 果酒（含酒精）; 水果汽酒; 白酒; 清酒（日本米酒）;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青稞酒; 烈酒; 白葡萄酒</t>
    </r>
  </si>
  <si>
    <t>求品</t>
  </si>
  <si>
    <t>董振</t>
  </si>
  <si>
    <r>
      <t>蒸煮提取物（利口酒和烈酒）;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</si>
  <si>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隐锡</t>
  </si>
  <si>
    <t>曹梅琳</t>
  </si>
  <si>
    <r>
      <t>清酒;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</t>
    </r>
  </si>
  <si>
    <r>
      <t>忻州市兄弟食品管理有限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</si>
  <si>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伏特加酒;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</t>
    </r>
  </si>
  <si>
    <r>
      <t>HASMI花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秘</t>
    </r>
  </si>
  <si>
    <r>
      <t>江西蜜的酒酒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</si>
  <si>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开胃酒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</si>
  <si>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宗文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</si>
  <si>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白酒; 果酒; 高粱酒; 蜂蜜酒; 葡萄酒; 青稞酒;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</si>
  <si>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朱河又一春</t>
  </si>
  <si>
    <t>刘燕霞</t>
  </si>
  <si>
    <r>
      <t>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</t>
    </r>
  </si>
  <si>
    <r>
      <t>屯里情</t>
    </r>
    <r>
      <rPr>
        <sz val="11"/>
        <color theme="1"/>
        <rFont val="ＭＳ Ｐゴシック"/>
        <family val="3"/>
        <charset val="134"/>
        <scheme val="minor"/>
      </rPr>
      <t>浓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</si>
  <si>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永海</t>
    </r>
  </si>
  <si>
    <r>
      <t>利口酒;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</t>
    </r>
  </si>
  <si>
    <t>AULAU</t>
  </si>
  <si>
    <r>
      <t>徐州启力餐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</si>
  <si>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甜果酒;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</si>
  <si>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动</t>
    </r>
  </si>
  <si>
    <r>
      <t>深圳上</t>
    </r>
    <r>
      <rPr>
        <sz val="11"/>
        <color theme="1"/>
        <rFont val="ＭＳ Ｐゴシック"/>
        <family val="3"/>
        <charset val="134"/>
        <scheme val="minor"/>
      </rPr>
      <t>篮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</si>
  <si>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白酒; 甜果酒; 咖啡利口酒;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果酒（含酒精）; 天然汽酒; 蒸煮提取物（利口酒和烈酒）;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</si>
  <si>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昊天·澄</t>
    </r>
    <r>
      <rPr>
        <sz val="11"/>
        <color theme="1"/>
        <rFont val="ＭＳ Ｐゴシック"/>
        <family val="3"/>
        <charset val="134"/>
        <scheme val="minor"/>
      </rPr>
      <t>晖</t>
    </r>
  </si>
  <si>
    <r>
      <t>中健昊天生物科技（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</si>
  <si>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烈酒; 黄酒; 米酒;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</si>
  <si>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大唐金</t>
    </r>
    <r>
      <rPr>
        <sz val="11"/>
        <color theme="1"/>
        <rFont val="ＭＳ Ｐゴシック"/>
        <family val="3"/>
        <charset val="134"/>
        <scheme val="minor"/>
      </rPr>
      <t>銮</t>
    </r>
    <r>
      <rPr>
        <sz val="11"/>
        <color theme="1"/>
        <rFont val="ＭＳ Ｐゴシック"/>
        <family val="3"/>
        <charset val="128"/>
        <scheme val="minor"/>
      </rPr>
      <t>至尊</t>
    </r>
  </si>
  <si>
    <r>
      <t>喻</t>
    </r>
    <r>
      <rPr>
        <sz val="11"/>
        <color theme="1"/>
        <rFont val="ＭＳ Ｐゴシック"/>
        <family val="3"/>
        <charset val="128"/>
        <scheme val="minor"/>
      </rPr>
      <t>婷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</si>
  <si>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蜂蜜酒;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</si>
  <si>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求吉</t>
  </si>
  <si>
    <r>
      <t>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</si>
  <si>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范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章</t>
    </r>
  </si>
  <si>
    <r>
      <t>安徽石板酒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</si>
  <si>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高粱酒; 白酒</t>
  </si>
  <si>
    <r>
      <t>颜</t>
    </r>
    <r>
      <rPr>
        <sz val="11"/>
        <color theme="1"/>
        <rFont val="ＭＳ Ｐゴシック"/>
        <family val="3"/>
        <charset val="128"/>
        <scheme val="minor"/>
      </rPr>
      <t>府村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</si>
  <si>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州盛达商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</si>
  <si>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黄酒; 白酒; 食用酒精;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露酒; 葡萄酒</t>
    </r>
  </si>
  <si>
    <r>
      <t>野</t>
    </r>
    <r>
      <rPr>
        <sz val="11"/>
        <color theme="1"/>
        <rFont val="ＭＳ Ｐゴシック"/>
        <family val="3"/>
        <charset val="134"/>
        <scheme val="minor"/>
      </rPr>
      <t>维</t>
    </r>
  </si>
  <si>
    <r>
      <t>曲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</si>
  <si>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伏特加酒; 高粱酒</t>
    </r>
  </si>
  <si>
    <r>
      <t>唐匠</t>
    </r>
    <r>
      <rPr>
        <sz val="11"/>
        <color theme="1"/>
        <rFont val="ＭＳ Ｐゴシック"/>
        <family val="3"/>
        <charset val="134"/>
        <scheme val="minor"/>
      </rPr>
      <t>讼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</si>
  <si>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州唐匠</t>
    </r>
    <r>
      <rPr>
        <sz val="11"/>
        <color theme="1"/>
        <rFont val="ＭＳ Ｐゴシック"/>
        <family val="3"/>
        <charset val="134"/>
        <scheme val="minor"/>
      </rPr>
      <t>讼</t>
    </r>
    <r>
      <rPr>
        <sz val="11"/>
        <color theme="1"/>
        <rFont val="ＭＳ Ｐゴシック"/>
        <family val="3"/>
        <charset val="128"/>
        <scheme val="minor"/>
      </rPr>
      <t>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</si>
  <si>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</t>
    </r>
  </si>
  <si>
    <r>
      <t>五个老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</si>
  <si>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四川明瑞酒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</si>
  <si>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</si>
  <si>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执</t>
    </r>
    <r>
      <rPr>
        <sz val="11"/>
        <color theme="1"/>
        <rFont val="ＭＳ Ｐゴシック"/>
        <family val="3"/>
        <charset val="128"/>
        <scheme val="minor"/>
      </rPr>
      <t>道者</t>
    </r>
  </si>
  <si>
    <r>
      <t>古泊酒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</si>
  <si>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</si>
  <si>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与豫同行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</si>
  <si>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瀚文化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</si>
  <si>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</si>
  <si>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北村</t>
    </r>
    <r>
      <rPr>
        <sz val="11"/>
        <color theme="1"/>
        <rFont val="ＭＳ Ｐゴシック"/>
        <family val="3"/>
        <charset val="134"/>
        <scheme val="minor"/>
      </rPr>
      <t>赏</t>
    </r>
    <r>
      <rPr>
        <sz val="11"/>
        <color theme="1"/>
        <rFont val="ＭＳ Ｐゴシック"/>
        <family val="3"/>
        <charset val="128"/>
        <scheme val="minor"/>
      </rPr>
      <t>谷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</si>
  <si>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速捷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文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</si>
  <si>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刺五加酒;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</si>
  <si>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铭</t>
    </r>
    <r>
      <rPr>
        <sz val="11"/>
        <color theme="1"/>
        <rFont val="ＭＳ Ｐゴシック"/>
        <family val="3"/>
        <charset val="128"/>
        <scheme val="minor"/>
      </rPr>
      <t>杉</t>
    </r>
  </si>
  <si>
    <r>
      <t>成都竹之味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</si>
  <si>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青稞酒;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</t>
    </r>
  </si>
  <si>
    <t>昊天·青云</t>
  </si>
  <si>
    <r>
      <t>米酒; 果酒（含酒精）;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</si>
  <si>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昊天·如意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</si>
  <si>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烈酒; 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葡萄酒</t>
    </r>
  </si>
  <si>
    <t>喝股酒</t>
  </si>
  <si>
    <r>
      <t>北京股窖酒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</si>
  <si>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</si>
  <si>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袋鼠斑达斯</t>
  </si>
  <si>
    <t>田涛</t>
  </si>
  <si>
    <r>
      <t>开胃酒; 清酒;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</si>
  <si>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r>
      <t>外</t>
    </r>
    <r>
      <rPr>
        <sz val="11"/>
        <color theme="1"/>
        <rFont val="ＭＳ Ｐゴシック"/>
        <family val="3"/>
        <charset val="134"/>
        <scheme val="minor"/>
      </rPr>
      <t>联</t>
    </r>
  </si>
  <si>
    <r>
      <t>北京金</t>
    </r>
    <r>
      <rPr>
        <sz val="11"/>
        <color theme="1"/>
        <rFont val="ＭＳ Ｐゴシック"/>
        <family val="3"/>
        <charset val="134"/>
        <scheme val="minor"/>
      </rPr>
      <t>质</t>
    </r>
    <r>
      <rPr>
        <sz val="11"/>
        <color theme="1"/>
        <rFont val="ＭＳ Ｐゴシック"/>
        <family val="3"/>
        <charset val="128"/>
        <scheme val="minor"/>
      </rPr>
      <t>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</si>
  <si>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白干酒（中国白酒）; 高粱酒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</si>
  <si>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世仙藏 酒</t>
    </r>
  </si>
  <si>
    <r>
      <t xml:space="preserve">开胃酒; 葡萄酒;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黄酒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</si>
  <si>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谕</t>
    </r>
  </si>
  <si>
    <t>林方平</t>
  </si>
  <si>
    <r>
      <t>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果酒（含酒精）; 米酒;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</si>
  <si>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潇</t>
    </r>
    <r>
      <rPr>
        <sz val="11"/>
        <color theme="1"/>
        <rFont val="ＭＳ Ｐゴシック"/>
        <family val="3"/>
        <charset val="128"/>
        <scheme val="minor"/>
      </rPr>
      <t>洒甄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</si>
  <si>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</t>
    </r>
  </si>
  <si>
    <r>
      <t>宋</t>
    </r>
    <r>
      <rPr>
        <sz val="11"/>
        <color theme="1"/>
        <rFont val="ＭＳ Ｐゴシック"/>
        <family val="3"/>
        <charset val="134"/>
        <scheme val="minor"/>
      </rPr>
      <t>陆</t>
    </r>
  </si>
  <si>
    <r>
      <t>河南省宋河酒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</si>
  <si>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</si>
  <si>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幄台基</t>
  </si>
  <si>
    <t>雷映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</si>
  <si>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果酒（含酒精）; 葡萄酒; 露酒; 白酒;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</t>
    </r>
  </si>
  <si>
    <r>
      <t>颍</t>
    </r>
    <r>
      <rPr>
        <sz val="11"/>
        <color theme="1"/>
        <rFont val="ＭＳ Ｐゴシック"/>
        <family val="3"/>
        <charset val="128"/>
        <scheme val="minor"/>
      </rPr>
      <t>河</t>
    </r>
  </si>
  <si>
    <r>
      <t>刘海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</si>
  <si>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</si>
  <si>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十</t>
    </r>
    <r>
      <rPr>
        <sz val="11"/>
        <color theme="1"/>
        <rFont val="ＭＳ Ｐゴシック"/>
        <family val="3"/>
        <charset val="134"/>
        <scheme val="minor"/>
      </rPr>
      <t>乌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</si>
  <si>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璞真酒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</si>
  <si>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茴香酒; 果酒; 葡萄酒; 利口酒; 白酒; 清酒</t>
    </r>
  </si>
  <si>
    <r>
      <t>觅忆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</si>
  <si>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向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</si>
  <si>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葡萄酒; 清酒（日本米酒）; 威士忌; 烈酒; 白酒; 果酒（含酒精）</t>
    </r>
  </si>
  <si>
    <t>AWAKENING LION</t>
  </si>
  <si>
    <r>
      <t>张</t>
    </r>
    <r>
      <rPr>
        <sz val="11"/>
        <color theme="1"/>
        <rFont val="ＭＳ Ｐゴシック"/>
        <family val="3"/>
        <charset val="128"/>
        <scheme val="minor"/>
      </rPr>
      <t>天美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</si>
  <si>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葡萄酒;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朗姆酒; 果酒（含酒精）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</si>
  <si>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酩道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</si>
  <si>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健</t>
    </r>
  </si>
  <si>
    <r>
      <t xml:space="preserve">米酒; 清酒; 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</si>
  <si>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儒淡</t>
  </si>
  <si>
    <r>
      <t>严</t>
    </r>
    <r>
      <rPr>
        <sz val="11"/>
        <color theme="1"/>
        <rFont val="ＭＳ Ｐゴシック"/>
        <family val="3"/>
        <charset val="128"/>
        <scheme val="minor"/>
      </rPr>
      <t>光英</t>
    </r>
  </si>
  <si>
    <r>
      <t>白酒;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</si>
  <si>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八十八影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</si>
  <si>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 xml:space="preserve">苹果酒;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米酒; 黄酒; 白酒; 果酒（含酒精）; 威士忌</t>
    </r>
  </si>
  <si>
    <r>
      <t>堂</t>
    </r>
    <r>
      <rPr>
        <sz val="11"/>
        <color theme="1"/>
        <rFont val="ＭＳ Ｐゴシック"/>
        <family val="3"/>
        <charset val="134"/>
        <scheme val="minor"/>
      </rPr>
      <t>鹊</t>
    </r>
    <r>
      <rPr>
        <sz val="11"/>
        <color theme="1"/>
        <rFont val="ＭＳ Ｐゴシック"/>
        <family val="3"/>
        <charset val="128"/>
        <scheme val="minor"/>
      </rPr>
      <t>丘</t>
    </r>
  </si>
  <si>
    <r>
      <t>河北都好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</si>
  <si>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果酒;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清酒（日本米酒）</t>
    </r>
  </si>
  <si>
    <t>ZUIDONGJI</t>
  </si>
  <si>
    <t>周春林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</si>
  <si>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茴芹酒（利口酒）; 清酒（日本米酒）; 米酒; 黄酒</t>
    </r>
  </si>
  <si>
    <t>娄瑾</t>
  </si>
  <si>
    <r>
      <t>张</t>
    </r>
    <r>
      <rPr>
        <sz val="11"/>
        <color theme="1"/>
        <rFont val="ＭＳ Ｐゴシック"/>
        <family val="3"/>
        <charset val="128"/>
        <scheme val="minor"/>
      </rPr>
      <t>送送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</si>
  <si>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</t>
    </r>
  </si>
  <si>
    <t>大石湖</t>
  </si>
  <si>
    <t>本溪大石湖酒庄有限公司</t>
  </si>
  <si>
    <r>
      <t>米酒; 葡萄酒;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高粱酒; 果酒; 刺五加酒; 甜酒</t>
    </r>
  </si>
  <si>
    <r>
      <t>吖</t>
    </r>
    <r>
      <rPr>
        <sz val="11"/>
        <color theme="1"/>
        <rFont val="ＭＳ Ｐゴシック"/>
        <family val="3"/>
        <charset val="128"/>
        <scheme val="minor"/>
      </rPr>
      <t>好佳(福建)食品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</si>
  <si>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白酒; 朗姆酒; 葡萄酒; 伏特加酒</t>
    </r>
  </si>
  <si>
    <r>
      <t>星五</t>
    </r>
    <r>
      <rPr>
        <sz val="11"/>
        <color theme="1"/>
        <rFont val="ＭＳ Ｐゴシック"/>
        <family val="3"/>
        <charset val="134"/>
        <scheme val="minor"/>
      </rPr>
      <t>邮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</si>
  <si>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北京星五文化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</si>
  <si>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</t>
    </r>
  </si>
  <si>
    <t>粉色幻想曲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</si>
  <si>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容企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</si>
  <si>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米酒;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</t>
    </r>
  </si>
  <si>
    <r>
      <t>籺</t>
    </r>
    <r>
      <rPr>
        <sz val="11"/>
        <color theme="1"/>
        <rFont val="ＭＳ Ｐゴシック"/>
        <family val="3"/>
        <charset val="128"/>
        <scheme val="minor"/>
      </rPr>
      <t>仔夜巷</t>
    </r>
  </si>
  <si>
    <r>
      <t>北海阿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卡数字科技有限公司</t>
    </r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</si>
  <si>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杜松子酒;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葡萄酒; 清酒（日本米酒）; 米酒; 伏特加酒</t>
    </r>
  </si>
  <si>
    <t>曲毓琦</t>
  </si>
  <si>
    <r>
      <t>北京金谷圣泉商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</si>
  <si>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茴香酒（利口酒）;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</si>
  <si>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密</t>
    </r>
  </si>
  <si>
    <r>
      <t xml:space="preserve">梨酒; 葡萄酒; 清酒（日本米酒）;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利口酒; 开胃酒; 黄酒; 白酒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</si>
  <si>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社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</si>
  <si>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斌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</si>
  <si>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餐后酒（利口酒和烈酒）; 苹果酒;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</si>
  <si>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绵</t>
    </r>
    <r>
      <rPr>
        <sz val="11"/>
        <color theme="1"/>
        <rFont val="ＭＳ Ｐゴシック"/>
        <family val="3"/>
        <charset val="128"/>
        <scheme val="minor"/>
      </rPr>
      <t>信</t>
    </r>
  </si>
  <si>
    <r>
      <t>谭竞</t>
    </r>
    <r>
      <rPr>
        <sz val="11"/>
        <color theme="1"/>
        <rFont val="ＭＳ Ｐゴシック"/>
        <family val="3"/>
        <charset val="128"/>
        <scheme val="minor"/>
      </rPr>
      <t>霄</t>
    </r>
  </si>
  <si>
    <r>
      <t xml:space="preserve">葡萄酒; 果酒（含酒精）; 米酒; 烈酒; 白酒;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茴香酒; 清酒（日本米酒）</t>
    </r>
  </si>
  <si>
    <r>
      <t>潜</t>
    </r>
    <r>
      <rPr>
        <sz val="11"/>
        <color theme="1"/>
        <rFont val="ＭＳ Ｐゴシック"/>
        <family val="3"/>
        <charset val="134"/>
        <scheme val="minor"/>
      </rPr>
      <t>坛</t>
    </r>
  </si>
  <si>
    <t>酒香网云商股份有限公司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</si>
  <si>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朗姆酒;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</si>
  <si>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WANSAN CODE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</si>
  <si>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州必然广告有限公司</t>
    </r>
  </si>
  <si>
    <r>
      <t>甜酒;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黄酒; 汽酒</t>
    </r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</si>
  <si>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浦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</si>
  <si>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食用酒精</t>
    </r>
  </si>
  <si>
    <r>
      <t>夏日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</si>
  <si>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海珠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</si>
  <si>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伏特加酒; 高粱酒;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</si>
  <si>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共主炎帝</t>
  </si>
  <si>
    <r>
      <t>苏</t>
    </r>
    <r>
      <rPr>
        <sz val="11"/>
        <color theme="1"/>
        <rFont val="ＭＳ Ｐゴシック"/>
        <family val="3"/>
        <charset val="128"/>
        <scheme val="minor"/>
      </rPr>
      <t>昵</t>
    </r>
  </si>
  <si>
    <r>
      <t>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白酒</t>
    </r>
  </si>
  <si>
    <r>
      <t>严</t>
    </r>
    <r>
      <rPr>
        <sz val="11"/>
        <color theme="1"/>
        <rFont val="ＭＳ Ｐゴシック"/>
        <family val="3"/>
        <charset val="128"/>
        <scheme val="minor"/>
      </rPr>
      <t>大蔬</t>
    </r>
  </si>
  <si>
    <t>严军</t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</si>
  <si>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</si>
  <si>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谦</t>
    </r>
    <r>
      <rPr>
        <sz val="11"/>
        <color theme="1"/>
        <rFont val="ＭＳ Ｐゴシック"/>
        <family val="3"/>
        <charset val="128"/>
        <scheme val="minor"/>
      </rPr>
      <t>言元元</t>
    </r>
  </si>
  <si>
    <r>
      <t>谦</t>
    </r>
    <r>
      <rPr>
        <sz val="11"/>
        <color theme="1"/>
        <rFont val="ＭＳ Ｐゴシック"/>
        <family val="3"/>
        <charset val="128"/>
        <scheme val="minor"/>
      </rPr>
      <t>言文化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媒（南京）有限公司</t>
    </r>
  </si>
  <si>
    <r>
      <t>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白酒; 黄酒; 利口酒;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</si>
  <si>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桃芳化雨</t>
  </si>
  <si>
    <t>宁夏翠亨村酒庄有限公司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</si>
  <si>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葡萄酒; 利口酒; 白酒</t>
    </r>
  </si>
  <si>
    <t>鎏名千古</t>
  </si>
  <si>
    <t>沈盈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</si>
  <si>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烈酒; 白酒; 黄酒; 开胃酒; 清酒（日本米酒）; 果酒（含酒精）</t>
    </r>
  </si>
  <si>
    <t>酒翁魂</t>
  </si>
  <si>
    <r>
      <t>成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区德芬江商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</si>
  <si>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 xml:space="preserve">清酒; 食用酒精; 果酒; 开胃酒; 葡萄酒; 餐后酒（利口酒和烈酒）;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</si>
  <si>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暖心有℃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</si>
  <si>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州小白度酒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</si>
  <si>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</si>
  <si>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天下壹号窖池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</si>
  <si>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利口酒; 食用酒精; 烈酒;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</si>
  <si>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烟食</t>
    </r>
    <r>
      <rPr>
        <sz val="11"/>
        <color theme="1"/>
        <rFont val="ＭＳ Ｐゴシック"/>
        <family val="3"/>
        <charset val="134"/>
        <scheme val="minor"/>
      </rPr>
      <t>记</t>
    </r>
  </si>
  <si>
    <t>王田一</t>
  </si>
  <si>
    <r>
      <t>果酒;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利口酒;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</si>
  <si>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紫舞</t>
  </si>
  <si>
    <r>
      <t>醉山河（宁夏）酒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</si>
  <si>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青稞酒; 葡萄酒; 黄酒; 白酒; 朗姆酒;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</si>
  <si>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子耀</t>
  </si>
  <si>
    <r>
      <t>商丘子耀商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</si>
  <si>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清酒;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白酒; 果酒</t>
    </r>
  </si>
  <si>
    <t>京来仙</t>
  </si>
  <si>
    <t>茜善食品有限公司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</si>
  <si>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果酒（含酒精）;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</si>
  <si>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小石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</si>
  <si>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茴香酒（利口酒）;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</si>
  <si>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琊川溪窖</t>
  </si>
  <si>
    <t>任星宇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</si>
  <si>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伏特加酒; 清酒（日本米酒）</t>
    </r>
  </si>
  <si>
    <r>
      <t xml:space="preserve">DONG XIE SHENG 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于1674年</t>
    </r>
  </si>
  <si>
    <r>
      <t>湖南省湘江新特医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</si>
  <si>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开胃酒; 甜酒; 果酒（含酒精）;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刺五加酒;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</si>
  <si>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MLRIA</t>
  </si>
  <si>
    <t>李段</t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</si>
  <si>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甜酒; 葡萄酒; 白葡萄酒;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</si>
  <si>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金先国</t>
  </si>
  <si>
    <t>白酒; 葡萄酒; 米酒</t>
  </si>
  <si>
    <t>武陵耀金</t>
  </si>
  <si>
    <t>湖南武陵酒有限公司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</si>
  <si>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</si>
  <si>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星空幻想曲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</si>
  <si>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</si>
  <si>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汉缘</t>
    </r>
    <r>
      <rPr>
        <sz val="11"/>
        <color theme="1"/>
        <rFont val="ＭＳ Ｐゴシック"/>
        <family val="3"/>
        <charset val="128"/>
        <scheme val="minor"/>
      </rPr>
      <t>石谷</t>
    </r>
  </si>
  <si>
    <t>王玉英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</si>
  <si>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清酒</t>
    </r>
  </si>
  <si>
    <r>
      <t>鑫珈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</si>
  <si>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北京世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明福商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</si>
  <si>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</si>
  <si>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同心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盛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</si>
  <si>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岛鲜</t>
    </r>
    <r>
      <rPr>
        <sz val="11"/>
        <color theme="1"/>
        <rFont val="ＭＳ Ｐゴシック"/>
        <family val="3"/>
        <charset val="128"/>
        <scheme val="minor"/>
      </rPr>
      <t>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</si>
  <si>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食用酒精; 果酒;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</si>
  <si>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北京世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广茂国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</si>
  <si>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茴香酒（利口酒）;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</si>
  <si>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果蜂</t>
  </si>
  <si>
    <r>
      <t>许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</si>
  <si>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</t>
    </r>
  </si>
  <si>
    <r>
      <t>武陵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</si>
  <si>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</si>
  <si>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明潮皇家酒道</t>
  </si>
  <si>
    <r>
      <t>河北奥</t>
    </r>
    <r>
      <rPr>
        <sz val="11"/>
        <color theme="1"/>
        <rFont val="ＭＳ Ｐゴシック"/>
        <family val="3"/>
        <charset val="134"/>
        <scheme val="minor"/>
      </rPr>
      <t>赛罗</t>
    </r>
    <r>
      <rPr>
        <sz val="11"/>
        <color theme="1"/>
        <rFont val="ＭＳ Ｐゴシック"/>
        <family val="3"/>
        <charset val="128"/>
        <scheme val="minor"/>
      </rPr>
      <t>密封材料有限公司</t>
    </r>
  </si>
  <si>
    <r>
      <t>含酒精的气泡水;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高粱酒;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</si>
  <si>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花随</t>
  </si>
  <si>
    <r>
      <t>广州昌源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</si>
  <si>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清酒（日本米酒）; 威士忌; 果酒（含酒精）; 黄酒;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</si>
  <si>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北有</t>
    </r>
    <r>
      <rPr>
        <sz val="11"/>
        <color theme="1"/>
        <rFont val="ＭＳ Ｐゴシック"/>
        <family val="3"/>
        <charset val="134"/>
        <scheme val="minor"/>
      </rPr>
      <t>约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</si>
  <si>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江有</t>
    </r>
    <r>
      <rPr>
        <sz val="11"/>
        <color theme="1"/>
        <rFont val="ＭＳ Ｐゴシック"/>
        <family val="3"/>
        <charset val="134"/>
        <scheme val="minor"/>
      </rPr>
      <t>约东</t>
    </r>
    <r>
      <rPr>
        <sz val="11"/>
        <color theme="1"/>
        <rFont val="ＭＳ Ｐゴシック"/>
        <family val="3"/>
        <charset val="128"/>
        <scheme val="minor"/>
      </rPr>
      <t>北特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食品</t>
    </r>
    <r>
      <rPr>
        <sz val="11"/>
        <color theme="1"/>
        <rFont val="ＭＳ Ｐゴシック"/>
        <family val="3"/>
        <charset val="134"/>
        <scheme val="minor"/>
      </rPr>
      <t>经销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</si>
  <si>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白酒; 果酒（含酒精）;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</si>
  <si>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酝</t>
    </r>
    <r>
      <rPr>
        <sz val="11"/>
        <color theme="1"/>
        <rFont val="ＭＳ Ｐゴシック"/>
        <family val="3"/>
        <charset val="128"/>
        <scheme val="minor"/>
      </rPr>
      <t>密</t>
    </r>
  </si>
  <si>
    <r>
      <t>屈耿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</si>
  <si>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白酒; 利口酒; 葡萄酒; 开胃酒;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梨酒; 黄酒; 清酒（日本米酒）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</si>
  <si>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王世家</t>
    </r>
    <r>
      <rPr>
        <sz val="11"/>
        <color theme="1"/>
        <rFont val="ＭＳ Ｐゴシック"/>
        <family val="3"/>
        <charset val="134"/>
        <scheme val="minor"/>
      </rPr>
      <t>钱镠铁</t>
    </r>
    <r>
      <rPr>
        <sz val="11"/>
        <color theme="1"/>
        <rFont val="ＭＳ Ｐゴシック"/>
        <family val="3"/>
        <charset val="128"/>
        <scheme val="minor"/>
      </rPr>
      <t>券</t>
    </r>
  </si>
  <si>
    <r>
      <t>逸夫科技（集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</si>
  <si>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白酒; 葡萄酒; 青稞酒;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</si>
  <si>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t>LTSJYMTSZK</t>
  </si>
  <si>
    <r>
      <t>泰安七彩世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</si>
  <si>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果酒（含酒精）</t>
    </r>
  </si>
  <si>
    <r>
      <t>囍事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双囍酎 家有囍事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双囍酒 吾有囍事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双囍酒</t>
    </r>
  </si>
  <si>
    <r>
      <t xml:space="preserve">白酒;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</si>
  <si>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阿</t>
    </r>
    <r>
      <rPr>
        <sz val="11"/>
        <color theme="1"/>
        <rFont val="ＭＳ Ｐゴシック"/>
        <family val="3"/>
        <charset val="134"/>
        <scheme val="minor"/>
      </rPr>
      <t>谯</t>
    </r>
    <r>
      <rPr>
        <sz val="11"/>
        <color theme="1"/>
        <rFont val="ＭＳ Ｐゴシック"/>
        <family val="3"/>
        <charset val="128"/>
        <scheme val="minor"/>
      </rPr>
      <t>窖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</si>
  <si>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州大唐丞天下酒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</si>
  <si>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</si>
  <si>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北票</t>
    </r>
    <r>
      <rPr>
        <sz val="11"/>
        <color theme="1"/>
        <rFont val="ＭＳ Ｐゴシック"/>
        <family val="3"/>
        <charset val="134"/>
        <scheme val="minor"/>
      </rPr>
      <t>银</t>
    </r>
  </si>
  <si>
    <r>
      <t>汾阳市珍善美酒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</si>
  <si>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白干酒（中国白酒）;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高粱酒</t>
    </r>
  </si>
  <si>
    <t>牛髦</t>
  </si>
  <si>
    <t>雷永杰</t>
  </si>
  <si>
    <r>
      <t xml:space="preserve">葡萄酒; 米酒;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</si>
  <si>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泼</t>
    </r>
    <r>
      <rPr>
        <sz val="11"/>
        <color theme="1"/>
        <rFont val="ＭＳ Ｐゴシック"/>
        <family val="3"/>
        <charset val="128"/>
        <scheme val="minor"/>
      </rPr>
      <t>酒香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</si>
  <si>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宾临</t>
    </r>
    <r>
      <rPr>
        <sz val="11"/>
        <color theme="1"/>
        <rFont val="ＭＳ Ｐゴシック"/>
        <family val="3"/>
        <charset val="128"/>
        <scheme val="minor"/>
      </rPr>
      <t>港开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区聚焦酒</t>
    </r>
    <r>
      <rPr>
        <sz val="11"/>
        <color theme="1"/>
        <rFont val="ＭＳ Ｐゴシック"/>
        <family val="3"/>
        <charset val="134"/>
        <scheme val="minor"/>
      </rPr>
      <t>类经营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</si>
  <si>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 xml:space="preserve">葡萄酒;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果酒（含酒精）;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</si>
  <si>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祈年榫卯</t>
  </si>
  <si>
    <r>
      <t>湖北子舜商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</si>
  <si>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高粱酒;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</t>
    </r>
  </si>
  <si>
    <t>柚小宝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</si>
  <si>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玉露天香生命健康科技有限公司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</si>
  <si>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威士忌; 白酒; 柑香酒;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蜂蜜酒</t>
    </r>
  </si>
  <si>
    <t>千叶谷</t>
  </si>
  <si>
    <r>
      <t>北京秋思国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教育咨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</si>
  <si>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</si>
  <si>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久留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</si>
  <si>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鹏飞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</si>
  <si>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食用酒精;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</si>
  <si>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来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</si>
  <si>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廖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昌</t>
    </r>
  </si>
  <si>
    <r>
      <t>白酒; 高粱酒;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果酒（含酒精）</t>
    </r>
  </si>
  <si>
    <t>SHENG HAI LAN TIAN</t>
  </si>
  <si>
    <r>
      <t>北京盛海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天防水工程有限公司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</si>
  <si>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高粱酒; 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清酒</t>
    </r>
  </si>
  <si>
    <r>
      <t>为</t>
    </r>
    <r>
      <rPr>
        <sz val="11"/>
        <color theme="1"/>
        <rFont val="ＭＳ Ｐゴシック"/>
        <family val="3"/>
        <charset val="128"/>
        <scheme val="minor"/>
      </rPr>
      <t>康而行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</si>
  <si>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康新媒科技有限公司</t>
    </r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</si>
  <si>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</si>
  <si>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猪小君</t>
  </si>
  <si>
    <r>
      <t>杭州淳一餐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</si>
  <si>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甜酒; 米酒; 食用酒精; 威士忌; 含酒精的气泡水; 白酒; 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</si>
  <si>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惠清堂</t>
  </si>
  <si>
    <t>山西惠清堂茶文化有限公司</t>
  </si>
  <si>
    <r>
      <t>蜂蜜酒; 柑香酒;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米酒; 葡萄酒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</si>
  <si>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歌甄</t>
    </r>
    <r>
      <rPr>
        <sz val="11"/>
        <color theme="1"/>
        <rFont val="ＭＳ Ｐゴシック"/>
        <family val="3"/>
        <charset val="134"/>
        <scheme val="minor"/>
      </rPr>
      <t>选</t>
    </r>
  </si>
  <si>
    <t>董清志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</si>
  <si>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米酒; 黄酒; 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</si>
  <si>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醉芙王</t>
  </si>
  <si>
    <r>
      <t>罗</t>
    </r>
    <r>
      <rPr>
        <sz val="11"/>
        <color theme="1"/>
        <rFont val="ＭＳ Ｐゴシック"/>
        <family val="3"/>
        <charset val="128"/>
        <scheme val="minor"/>
      </rPr>
      <t>玉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</si>
  <si>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</si>
  <si>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AOMEIQIN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</si>
  <si>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</si>
  <si>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梨酒; 汽酒; 清酒; 蒸煮提取物（利口酒和烈酒）;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</si>
  <si>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t>采参姑娘</t>
  </si>
  <si>
    <t>廖振彩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</si>
  <si>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朗姆酒; 葡萄酒; 白酒; 开胃酒; 米酒; 果酒（含酒精）</t>
    </r>
  </si>
  <si>
    <t>寿大侠</t>
  </si>
  <si>
    <t>周文瑶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</si>
  <si>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黄酒; 高粱酒;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</si>
  <si>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沂特府</t>
  </si>
  <si>
    <r>
      <t>临</t>
    </r>
    <r>
      <rPr>
        <sz val="11"/>
        <color theme="1"/>
        <rFont val="ＭＳ Ｐゴシック"/>
        <family val="3"/>
        <charset val="128"/>
        <scheme val="minor"/>
      </rPr>
      <t>沂醉九州酒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</si>
  <si>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食用酒精; 葡萄酒</t>
    </r>
  </si>
  <si>
    <r>
      <t>牧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</si>
  <si>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万象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</si>
  <si>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葡萄酒; 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</t>
    </r>
  </si>
  <si>
    <r>
      <t>杜</t>
    </r>
    <r>
      <rPr>
        <sz val="11"/>
        <color theme="1"/>
        <rFont val="ＭＳ Ｐゴシック"/>
        <family val="3"/>
        <charset val="134"/>
        <scheme val="minor"/>
      </rPr>
      <t>问</t>
    </r>
  </si>
  <si>
    <r>
      <t>烈酒;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</si>
  <si>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r>
      <t>齐</t>
    </r>
    <r>
      <rPr>
        <sz val="11"/>
        <color theme="1"/>
        <rFont val="ＭＳ Ｐゴシック"/>
        <family val="3"/>
        <charset val="128"/>
        <scheme val="minor"/>
      </rPr>
      <t>御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昂</t>
    </r>
  </si>
  <si>
    <r>
      <t>陈锡</t>
    </r>
    <r>
      <rPr>
        <sz val="11"/>
        <color theme="1"/>
        <rFont val="ＭＳ Ｐゴシック"/>
        <family val="3"/>
        <charset val="128"/>
        <scheme val="minor"/>
      </rPr>
      <t>忠</t>
    </r>
  </si>
  <si>
    <r>
      <t>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五加皮酒（中国混合烈酒）; 果酒（含酒精）; 开胃酒; 米酒; 白干酒（中国白酒）</t>
    </r>
  </si>
  <si>
    <t>庄菜根潭园</t>
  </si>
  <si>
    <r>
      <t>云南菜根潭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食文化有限公司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</si>
  <si>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葡萄酒; 食用酒精; 高粱酒; 白酒; 果酒</t>
    </r>
  </si>
  <si>
    <r>
      <t>峦</t>
    </r>
    <r>
      <rPr>
        <sz val="11"/>
        <color theme="1"/>
        <rFont val="ＭＳ Ｐゴシック"/>
        <family val="3"/>
        <charset val="128"/>
        <scheme val="minor"/>
      </rPr>
      <t>境</t>
    </r>
  </si>
  <si>
    <r>
      <t>徐州仟峰企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</si>
  <si>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果酒（含酒精）; 葡萄酒</t>
    </r>
  </si>
  <si>
    <t>醉三舒</t>
  </si>
  <si>
    <r>
      <t>许</t>
    </r>
    <r>
      <rPr>
        <sz val="11"/>
        <color theme="1"/>
        <rFont val="ＭＳ Ｐゴシック"/>
        <family val="3"/>
        <charset val="128"/>
        <scheme val="minor"/>
      </rPr>
      <t>群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</si>
  <si>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米酒; 葡萄酒; 果酒; 朗姆酒;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烈酒; 白酒; 高粱酒</t>
    </r>
  </si>
  <si>
    <t>圣人美</t>
  </si>
  <si>
    <r>
      <t>泉州市洛江区双阳智花如商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行</t>
    </r>
  </si>
  <si>
    <r>
      <t>开胃酒; 利口酒; 葡萄酒; 果酒;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</si>
  <si>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沅窑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</si>
  <si>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漳</t>
    </r>
    <r>
      <rPr>
        <sz val="11"/>
        <color theme="1"/>
        <rFont val="ＭＳ Ｐゴシック"/>
        <family val="3"/>
        <charset val="134"/>
        <scheme val="minor"/>
      </rPr>
      <t>屿</t>
    </r>
    <r>
      <rPr>
        <sz val="11"/>
        <color theme="1"/>
        <rFont val="ＭＳ Ｐゴシック"/>
        <family val="3"/>
        <charset val="128"/>
        <scheme val="minor"/>
      </rPr>
      <t>物流有限公司</t>
    </r>
  </si>
  <si>
    <r>
      <t xml:space="preserve">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</si>
  <si>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众成就（北京）融媒体科技文化有限公司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</si>
  <si>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青稞酒; 伏特加酒; 朗姆酒</t>
    </r>
  </si>
  <si>
    <t>ROYALMALACCA</t>
  </si>
  <si>
    <t>百高石油有限公司</t>
  </si>
  <si>
    <r>
      <t>果酒（含酒精）;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葡萄酒; 麦芽威士忌;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混合威士忌酒; 葡萄汽酒;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</si>
  <si>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黄吉易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</si>
  <si>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河南酒人甲酒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</si>
  <si>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烈酒; 食用酒精; 白酒; 黄酒</t>
    </r>
  </si>
  <si>
    <t>观阵</t>
  </si>
  <si>
    <r>
      <t>山西古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</si>
  <si>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开胃酒;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利口酒; 蒸煮提取物（利口酒和烈酒）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</si>
  <si>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府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廷</t>
    </r>
  </si>
  <si>
    <r>
      <t>浙江帝恒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</si>
  <si>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利口酒; 米酒;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</si>
  <si>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泾</t>
    </r>
    <r>
      <rPr>
        <sz val="11"/>
        <color theme="1"/>
        <rFont val="ＭＳ Ｐゴシック"/>
        <family val="3"/>
        <charset val="128"/>
        <scheme val="minor"/>
      </rPr>
      <t>洋畔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</si>
  <si>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西桂平柿柿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黄酒有限公司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</si>
  <si>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烈酒; 甜酒; 米酒; 白葡萄酒; 黄酒; 白酒; 清酒;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</si>
  <si>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KELIYA</t>
  </si>
  <si>
    <r>
      <t>九江科</t>
    </r>
    <r>
      <rPr>
        <sz val="11"/>
        <color theme="1"/>
        <rFont val="ＭＳ Ｐゴシック"/>
        <family val="3"/>
        <charset val="134"/>
        <scheme val="minor"/>
      </rPr>
      <t>栎</t>
    </r>
    <r>
      <rPr>
        <sz val="11"/>
        <color theme="1"/>
        <rFont val="ＭＳ Ｐゴシック"/>
        <family val="3"/>
        <charset val="128"/>
        <scheme val="minor"/>
      </rPr>
      <t>雅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</si>
  <si>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</t>
    </r>
  </si>
  <si>
    <r>
      <t>上上</t>
    </r>
    <r>
      <rPr>
        <sz val="11"/>
        <color theme="1"/>
        <rFont val="ＭＳ Ｐゴシック"/>
        <family val="3"/>
        <charset val="134"/>
        <scheme val="minor"/>
      </rPr>
      <t>荆</t>
    </r>
    <r>
      <rPr>
        <sz val="11"/>
        <color theme="1"/>
        <rFont val="ＭＳ Ｐゴシック"/>
        <family val="3"/>
        <charset val="128"/>
        <scheme val="minor"/>
      </rPr>
      <t>楚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</si>
  <si>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面</t>
    </r>
    <r>
      <rPr>
        <sz val="11"/>
        <color theme="1"/>
        <rFont val="ＭＳ Ｐゴシック"/>
        <family val="3"/>
        <charset val="134"/>
        <scheme val="minor"/>
      </rPr>
      <t>妈妈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</si>
  <si>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白干酒（中国白酒）; 干型苹果酒; 杜松子酒; 刺五加酒;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</si>
  <si>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月邀卿</t>
  </si>
  <si>
    <r>
      <t>鹤岗</t>
    </r>
    <r>
      <rPr>
        <sz val="11"/>
        <color theme="1"/>
        <rFont val="ＭＳ Ｐゴシック"/>
        <family val="3"/>
        <charset val="128"/>
        <scheme val="minor"/>
      </rPr>
      <t>市五粮泉酒厂</t>
    </r>
  </si>
  <si>
    <r>
      <t>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</si>
  <si>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r>
      <t>酉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度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</si>
  <si>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州酉心酒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</si>
  <si>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威士忌; 青稞酒;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清酒; 朗姆酒</t>
    </r>
  </si>
  <si>
    <t>福相迎</t>
  </si>
  <si>
    <r>
      <t>闵红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</si>
  <si>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米酒; 甜酒; 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</si>
  <si>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渝魁春</t>
  </si>
  <si>
    <r>
      <t>党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敏</t>
    </r>
  </si>
  <si>
    <r>
      <t>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威士忌; 葡萄酒</t>
    </r>
  </si>
  <si>
    <t>天釂</t>
  </si>
  <si>
    <r>
      <t>保定市泰然文化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</si>
  <si>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甘蔗制烈酒;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</si>
  <si>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宾</t>
    </r>
    <r>
      <rPr>
        <sz val="11"/>
        <color theme="1"/>
        <rFont val="ＭＳ Ｐゴシック"/>
        <family val="3"/>
        <charset val="128"/>
        <scheme val="minor"/>
      </rPr>
      <t>聚达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</si>
  <si>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堂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</si>
  <si>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白酒;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</si>
  <si>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绵</t>
    </r>
    <r>
      <rPr>
        <sz val="11"/>
        <color theme="1"/>
        <rFont val="ＭＳ Ｐゴシック"/>
        <family val="3"/>
        <charset val="128"/>
        <scheme val="minor"/>
      </rPr>
      <t>香美</t>
    </r>
  </si>
  <si>
    <r>
      <t>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</si>
  <si>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崃</t>
    </r>
    <r>
      <rPr>
        <sz val="11"/>
        <color theme="1"/>
        <rFont val="ＭＳ Ｐゴシック"/>
        <family val="3"/>
        <charset val="128"/>
        <scheme val="minor"/>
      </rPr>
      <t>塔春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</si>
  <si>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</si>
  <si>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不勒</t>
    </r>
    <r>
      <rPr>
        <sz val="11"/>
        <color theme="1"/>
        <rFont val="ＭＳ Ｐゴシック"/>
        <family val="3"/>
        <charset val="134"/>
        <scheme val="minor"/>
      </rPr>
      <t>马</t>
    </r>
  </si>
  <si>
    <t>崔洪梅</t>
  </si>
  <si>
    <r>
      <t xml:space="preserve">葡萄酒;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</si>
  <si>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董家</t>
    </r>
    <r>
      <rPr>
        <sz val="11"/>
        <color theme="1"/>
        <rFont val="ＭＳ Ｐゴシック"/>
        <family val="3"/>
        <charset val="134"/>
        <scheme val="minor"/>
      </rPr>
      <t>坝</t>
    </r>
  </si>
  <si>
    <t>刘代均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</si>
  <si>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朗姆酒;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</si>
  <si>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山水半</t>
    </r>
    <r>
      <rPr>
        <sz val="11"/>
        <color theme="1"/>
        <rFont val="ＭＳ Ｐゴシック"/>
        <family val="3"/>
        <charset val="134"/>
        <scheme val="minor"/>
      </rPr>
      <t>亩</t>
    </r>
    <r>
      <rPr>
        <sz val="11"/>
        <color theme="1"/>
        <rFont val="ＭＳ Ｐゴシック"/>
        <family val="3"/>
        <charset val="128"/>
        <scheme val="minor"/>
      </rPr>
      <t>塘</t>
    </r>
  </si>
  <si>
    <r>
      <t>山西半</t>
    </r>
    <r>
      <rPr>
        <sz val="11"/>
        <color theme="1"/>
        <rFont val="ＭＳ Ｐゴシック"/>
        <family val="3"/>
        <charset val="134"/>
        <scheme val="minor"/>
      </rPr>
      <t>亩</t>
    </r>
    <r>
      <rPr>
        <sz val="11"/>
        <color theme="1"/>
        <rFont val="ＭＳ Ｐゴシック"/>
        <family val="3"/>
        <charset val="128"/>
        <scheme val="minor"/>
      </rPr>
      <t>塘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</si>
  <si>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果酒; 葡萄酒; 烈酒;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露酒; 高粱酒</t>
    </r>
  </si>
  <si>
    <r>
      <t>陶</t>
    </r>
    <r>
      <rPr>
        <sz val="11"/>
        <color theme="1"/>
        <rFont val="ＭＳ Ｐゴシック"/>
        <family val="3"/>
        <charset val="134"/>
        <scheme val="minor"/>
      </rPr>
      <t>贰</t>
    </r>
    <r>
      <rPr>
        <sz val="11"/>
        <color theme="1"/>
        <rFont val="ＭＳ Ｐゴシック"/>
        <family val="3"/>
        <charset val="128"/>
        <scheme val="minor"/>
      </rPr>
      <t>零</t>
    </r>
  </si>
  <si>
    <r>
      <t>山西青花清香汾酒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</si>
  <si>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甜酒;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</si>
  <si>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嘉鑫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通</t>
    </r>
  </si>
  <si>
    <r>
      <t>海南嘉鑫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通咨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</si>
  <si>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食用酒精; 梨酒; 苹果酒; 葡萄酒; 果酒; 米酒;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</si>
  <si>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川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</si>
  <si>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</si>
  <si>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威士忌; 清酒; 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</si>
  <si>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溪河</t>
    </r>
  </si>
  <si>
    <t>王炳安</t>
  </si>
  <si>
    <r>
      <t xml:space="preserve">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</si>
  <si>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濠江</t>
    </r>
    <r>
      <rPr>
        <sz val="11"/>
        <color theme="1"/>
        <rFont val="ＭＳ Ｐゴシック"/>
        <family val="3"/>
        <charset val="134"/>
        <scheme val="minor"/>
      </rPr>
      <t>隐</t>
    </r>
  </si>
  <si>
    <r>
      <t>广州方元文化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</si>
  <si>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</si>
  <si>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子渊博悟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</si>
  <si>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</t>
    </r>
    <r>
      <rPr>
        <sz val="11"/>
        <color theme="1"/>
        <rFont val="ＭＳ Ｐゴシック"/>
        <family val="3"/>
        <charset val="134"/>
        <scheme val="minor"/>
      </rPr>
      <t>细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</si>
  <si>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果酒（含酒精）; 黄酒; 白干酒（中国白酒）;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高粱酒;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</si>
  <si>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成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</si>
  <si>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清酒; 葡萄酒; 果酒（含酒精）; 蜂蜜酒;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开胃酒</t>
    </r>
  </si>
  <si>
    <r>
      <t>豫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我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</si>
  <si>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义远</t>
    </r>
    <r>
      <rPr>
        <sz val="11"/>
        <color theme="1"/>
        <rFont val="ＭＳ Ｐゴシック"/>
        <family val="3"/>
        <charset val="128"/>
        <scheme val="minor"/>
      </rPr>
      <t>和建筑</t>
    </r>
    <r>
      <rPr>
        <sz val="11"/>
        <color theme="1"/>
        <rFont val="ＭＳ Ｐゴシック"/>
        <family val="3"/>
        <charset val="134"/>
        <scheme val="minor"/>
      </rPr>
      <t>劳务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</si>
  <si>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烈酒;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</si>
  <si>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r>
      <t>晋槐</t>
    </r>
    <r>
      <rPr>
        <sz val="11"/>
        <color theme="1"/>
        <rFont val="ＭＳ Ｐゴシック"/>
        <family val="3"/>
        <charset val="134"/>
        <scheme val="minor"/>
      </rPr>
      <t>忆壶</t>
    </r>
  </si>
  <si>
    <r>
      <t>景家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</si>
  <si>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开胃酒; 蒸煮提取物（利口酒和烈酒）; 黄酒; 食用酒精</t>
    </r>
  </si>
  <si>
    <t>拓王</t>
  </si>
  <si>
    <r>
      <t>陈</t>
    </r>
    <r>
      <rPr>
        <sz val="11"/>
        <color theme="1"/>
        <rFont val="ＭＳ Ｐゴシック"/>
        <family val="3"/>
        <charset val="128"/>
        <scheme val="minor"/>
      </rPr>
      <t>如国</t>
    </r>
  </si>
  <si>
    <r>
      <t xml:space="preserve">果酒（含酒精）; 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</si>
  <si>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沂特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</si>
  <si>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果酒（含酒精）; 开胃酒; 白酒; 葡萄酒; 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</si>
  <si>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白吉山</t>
  </si>
  <si>
    <r>
      <t>吉林省酉源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</si>
  <si>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清酒（日本米酒）; 白酒; 黄酒; 利口酒;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</si>
  <si>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龙</t>
    </r>
    <r>
      <rPr>
        <sz val="11"/>
        <color theme="1"/>
        <rFont val="ＭＳ Ｐゴシック"/>
        <family val="3"/>
        <charset val="129"/>
        <scheme val="minor"/>
      </rPr>
      <t>屾</t>
    </r>
  </si>
  <si>
    <r>
      <t>成都市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承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9"/>
        <scheme val="minor"/>
      </rPr>
      <t>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</si>
  <si>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高粱酒; 白酒; 黄酒; 青稞酒; 白干酒（中国白酒）; 烈酒; 清酒（日本米酒）; 甜酒; 果酒</t>
    </r>
  </si>
  <si>
    <t>双盛祥</t>
  </si>
  <si>
    <r>
      <t>山西同</t>
    </r>
    <r>
      <rPr>
        <sz val="11"/>
        <color theme="1"/>
        <rFont val="ＭＳ Ｐゴシック"/>
        <family val="3"/>
        <charset val="134"/>
        <scheme val="minor"/>
      </rPr>
      <t>测</t>
    </r>
    <r>
      <rPr>
        <sz val="11"/>
        <color theme="1"/>
        <rFont val="ＭＳ Ｐゴシック"/>
        <family val="3"/>
        <charset val="128"/>
        <scheme val="minor"/>
      </rPr>
      <t>消防技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</si>
  <si>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果酒（含酒精）; 葡萄酒</t>
    </r>
  </si>
  <si>
    <r>
      <t>鹅</t>
    </r>
    <r>
      <rPr>
        <sz val="11"/>
        <color theme="1"/>
        <rFont val="ＭＳ Ｐゴシック"/>
        <family val="3"/>
        <charset val="128"/>
        <scheme val="minor"/>
      </rPr>
      <t>湖御夫</t>
    </r>
  </si>
  <si>
    <t>王水友</t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</si>
  <si>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白酒;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</si>
  <si>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中原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</si>
  <si>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</si>
  <si>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深疆蓉</t>
  </si>
  <si>
    <r>
      <t>新疆</t>
    </r>
    <r>
      <rPr>
        <sz val="11"/>
        <color theme="1"/>
        <rFont val="ＭＳ Ｐゴシック"/>
        <family val="3"/>
        <charset val="134"/>
        <scheme val="minor"/>
      </rPr>
      <t>丛</t>
    </r>
    <r>
      <rPr>
        <sz val="11"/>
        <color theme="1"/>
        <rFont val="ＭＳ Ｐゴシック"/>
        <family val="3"/>
        <charset val="128"/>
        <scheme val="minor"/>
      </rPr>
      <t>蓉生物科技有限公司</t>
    </r>
  </si>
  <si>
    <r>
      <t>米酒; 食用酒精;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果酒（含酒精）;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黄酒; 混合威士忌酒;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</si>
  <si>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予屋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</si>
  <si>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</si>
  <si>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旺岳谷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</si>
  <si>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烈酒; 白酒; 果酒; 高粱酒; 朗姆酒;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青稞酒</t>
    </r>
  </si>
  <si>
    <t>星生科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</si>
  <si>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星耀生物科技有限公司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</si>
  <si>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</t>
    </r>
  </si>
  <si>
    <t>德拉皮耶</t>
  </si>
  <si>
    <r>
      <t>德拉皮耶香</t>
    </r>
    <r>
      <rPr>
        <sz val="11"/>
        <color theme="1"/>
        <rFont val="ＭＳ Ｐゴシック"/>
        <family val="3"/>
        <charset val="134"/>
        <scheme val="minor"/>
      </rPr>
      <t>槟</t>
    </r>
  </si>
  <si>
    <r>
      <t xml:space="preserve">果酒（含酒精）; 汽酒; 白葡萄酒; 起泡白葡萄酒;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水果汽酒;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葡萄汽酒; 葡萄酒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</si>
  <si>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君柔雅天韵</t>
    </r>
  </si>
  <si>
    <r>
      <t>邯</t>
    </r>
    <r>
      <rPr>
        <sz val="11"/>
        <color theme="1"/>
        <rFont val="ＭＳ Ｐゴシック"/>
        <family val="3"/>
        <charset val="134"/>
        <scheme val="minor"/>
      </rPr>
      <t>郸丽</t>
    </r>
    <r>
      <rPr>
        <sz val="11"/>
        <color theme="1"/>
        <rFont val="ＭＳ Ｐゴシック"/>
        <family val="3"/>
        <charset val="128"/>
        <scheme val="minor"/>
      </rPr>
      <t>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</si>
  <si>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</si>
  <si>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金酥</t>
  </si>
  <si>
    <r>
      <t>泗洪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双沟酥酒厂</t>
    </r>
  </si>
  <si>
    <r>
      <t>果酒（含酒精）; 葡萄酒; 白酒; 开胃酒;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</si>
  <si>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酥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</si>
  <si>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</t>
    </r>
  </si>
  <si>
    <r>
      <t>清酒; 开胃酒; 白酒;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威士忌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</si>
  <si>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金禾</t>
    </r>
  </si>
  <si>
    <t>徐晴</t>
  </si>
  <si>
    <r>
      <t>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白酒;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果酒（含酒精）</t>
    </r>
  </si>
  <si>
    <r>
      <t>初粮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</si>
  <si>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佳欣</t>
    </r>
  </si>
  <si>
    <r>
      <t>葡萄酒;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</si>
  <si>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r>
      <t>潮汕</t>
    </r>
    <r>
      <rPr>
        <sz val="11"/>
        <color theme="1"/>
        <rFont val="ＭＳ Ｐゴシック"/>
        <family val="3"/>
        <charset val="134"/>
        <scheme val="minor"/>
      </rPr>
      <t>战</t>
    </r>
    <r>
      <rPr>
        <sz val="11"/>
        <color theme="1"/>
        <rFont val="ＭＳ Ｐゴシック"/>
        <family val="3"/>
        <charset val="128"/>
        <scheme val="minor"/>
      </rPr>
      <t>狼</t>
    </r>
  </si>
  <si>
    <r>
      <t>普宁市粤海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</si>
  <si>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</si>
  <si>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方州印象</t>
  </si>
  <si>
    <r>
      <t xml:space="preserve">葡萄酒; 蜂蜜酒; 汽酒; 青稞酒; 黄酒; 米酒;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</si>
  <si>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MTNF</t>
  </si>
  <si>
    <t>中韵控股（广州）有限公司</t>
  </si>
  <si>
    <r>
      <t>果酒（含酒精）; 高粱酒;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</si>
  <si>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九方珹</t>
  </si>
  <si>
    <t>杭州九仙文化科技有限公司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</si>
  <si>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威士忌;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</si>
  <si>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河街印象老船夫</t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</si>
  <si>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葡萄酒;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佐餐酒</t>
    </r>
  </si>
  <si>
    <r>
      <t>蚁</t>
    </r>
    <r>
      <rPr>
        <sz val="11"/>
        <color theme="1"/>
        <rFont val="ＭＳ Ｐゴシック"/>
        <family val="3"/>
        <charset val="128"/>
        <scheme val="minor"/>
      </rPr>
      <t>灵神</t>
    </r>
  </si>
  <si>
    <r>
      <t>湖北久安医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</si>
  <si>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薄荷酒;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</si>
  <si>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朱</t>
    </r>
    <r>
      <rPr>
        <sz val="11"/>
        <color theme="1"/>
        <rFont val="ＭＳ Ｐゴシック"/>
        <family val="3"/>
        <charset val="134"/>
        <scheme val="minor"/>
      </rPr>
      <t>莺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</si>
  <si>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碧霞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</si>
  <si>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餐后酒（利口酒和烈酒）;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果酒（含酒精）</t>
    </r>
  </si>
  <si>
    <r>
      <t>绍辉</t>
    </r>
    <r>
      <rPr>
        <sz val="11"/>
        <color theme="1"/>
        <rFont val="ＭＳ Ｐゴシック"/>
        <family val="3"/>
        <charset val="128"/>
        <scheme val="minor"/>
      </rPr>
      <t>同</t>
    </r>
    <r>
      <rPr>
        <sz val="11"/>
        <color theme="1"/>
        <rFont val="ＭＳ Ｐゴシック"/>
        <family val="3"/>
        <charset val="134"/>
        <scheme val="minor"/>
      </rPr>
      <t>频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</si>
  <si>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市春秋酒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</si>
  <si>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米酒; 食用酒精;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</si>
  <si>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为玺</t>
    </r>
    <r>
      <rPr>
        <sz val="11"/>
        <color theme="1"/>
        <rFont val="ＭＳ Ｐゴシック"/>
        <family val="3"/>
        <charset val="128"/>
        <scheme val="minor"/>
      </rPr>
      <t>名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</si>
  <si>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市知君意酒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</si>
  <si>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开胃酒; 威士忌; 白酒;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</t>
    </r>
  </si>
  <si>
    <t>醉卧九州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</si>
  <si>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黄酒; 白酒; 葡萄酒; 果酒（含酒精）</t>
    </r>
  </si>
  <si>
    <t>御康忠尊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</si>
  <si>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白酒; 开胃酒; 葡萄酒; 白干酒（中国白酒）; 五加皮酒（中国混合烈酒）; 果酒（含酒精）</t>
    </r>
  </si>
  <si>
    <t>万川通</t>
  </si>
  <si>
    <r>
      <t>万川通</t>
    </r>
    <r>
      <rPr>
        <sz val="11"/>
        <color theme="1"/>
        <rFont val="ＭＳ Ｐゴシック"/>
        <family val="3"/>
        <charset val="134"/>
        <scheme val="minor"/>
      </rPr>
      <t>阀门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</si>
  <si>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</si>
  <si>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千里桃林</t>
  </si>
  <si>
    <r>
      <t>新疆西域中天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子信息有限公司</t>
    </r>
  </si>
  <si>
    <r>
      <t xml:space="preserve">青稞酒; 白酒;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</si>
  <si>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t>醉刘侠</t>
  </si>
  <si>
    <t>刘建学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</si>
  <si>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米酒; 黄酒;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利口酒; 甜酒</t>
    </r>
  </si>
  <si>
    <r>
      <t>路玉</t>
    </r>
    <r>
      <rPr>
        <sz val="11"/>
        <color theme="1"/>
        <rFont val="ＭＳ Ｐゴシック"/>
        <family val="3"/>
        <charset val="134"/>
        <scheme val="minor"/>
      </rPr>
      <t>环</t>
    </r>
  </si>
  <si>
    <r>
      <t>山西玉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</si>
  <si>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酸酒（低等葡萄酒）;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甘蔗制烈酒; 天然汽酒; 果酒（含酒精）; 薄荷酒;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</si>
  <si>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STAR HILL FARM</t>
  </si>
  <si>
    <r>
      <t>美克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克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酒公益公司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</si>
  <si>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</si>
  <si>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蜂狂小成哥</t>
  </si>
  <si>
    <t>宁牡丹</t>
  </si>
  <si>
    <r>
      <t>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</si>
  <si>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泉藏将敬</t>
  </si>
  <si>
    <r>
      <t>福建坤午酒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</si>
  <si>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葡萄酒; 白干酒（中国白酒）; 餐后酒（利口酒和烈酒）;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甜酒</t>
    </r>
  </si>
  <si>
    <r>
      <t>纪</t>
    </r>
    <r>
      <rPr>
        <sz val="11"/>
        <color theme="1"/>
        <rFont val="ＭＳ Ｐゴシック"/>
        <family val="3"/>
        <charset val="128"/>
        <scheme val="minor"/>
      </rPr>
      <t>三姨</t>
    </r>
  </si>
  <si>
    <r>
      <t>纪</t>
    </r>
    <r>
      <rPr>
        <sz val="11"/>
        <color theme="1"/>
        <rFont val="ＭＳ Ｐゴシック"/>
        <family val="3"/>
        <charset val="128"/>
        <scheme val="minor"/>
      </rPr>
      <t>淑娟</t>
    </r>
  </si>
  <si>
    <r>
      <t>果酒; 黄酒; 米酒;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</si>
  <si>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凛度</t>
  </si>
  <si>
    <r>
      <t>上海</t>
    </r>
    <r>
      <rPr>
        <sz val="11"/>
        <color theme="1"/>
        <rFont val="ＭＳ Ｐゴシック"/>
        <family val="3"/>
        <charset val="129"/>
        <scheme val="minor"/>
      </rPr>
      <t>叻</t>
    </r>
    <r>
      <rPr>
        <sz val="11"/>
        <color theme="1"/>
        <rFont val="ＭＳ Ｐゴシック"/>
        <family val="3"/>
        <charset val="128"/>
        <scheme val="minor"/>
      </rPr>
      <t>通食品有限公司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</si>
  <si>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</t>
    </r>
  </si>
  <si>
    <r>
      <t>鸣</t>
    </r>
    <r>
      <rPr>
        <sz val="11"/>
        <color theme="1"/>
        <rFont val="ＭＳ Ｐゴシック"/>
        <family val="3"/>
        <charset val="128"/>
        <scheme val="minor"/>
      </rPr>
      <t>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</si>
  <si>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市醇荣酒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</si>
  <si>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白酒</t>
    </r>
  </si>
  <si>
    <t>六味御</t>
  </si>
  <si>
    <r>
      <t>德州壹</t>
    </r>
    <r>
      <rPr>
        <sz val="11"/>
        <color theme="1"/>
        <rFont val="ＭＳ Ｐゴシック"/>
        <family val="3"/>
        <charset val="134"/>
        <scheme val="minor"/>
      </rPr>
      <t>郑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</si>
  <si>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黄酒; 清酒;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</t>
    </r>
  </si>
  <si>
    <t>汾享礼遇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</si>
  <si>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</si>
  <si>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格汀</t>
    </r>
  </si>
  <si>
    <r>
      <t>苏钟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</si>
  <si>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威士忌; 果酒（含酒精）; 白酒; 含酒精的气泡水; 伏特加酒; 朗姆酒; 柑香酒;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</si>
  <si>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城珏御</t>
    </r>
  </si>
  <si>
    <r>
      <t>五加皮酒（中国混合烈酒）;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果酒（含酒精）;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</si>
  <si>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r>
      <t>吉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</si>
  <si>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佐餐酒; 白干酒（中国白酒）;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</si>
  <si>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名</t>
    </r>
  </si>
  <si>
    <r>
      <t>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利口酒; 果酒;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</si>
  <si>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鹅</t>
    </r>
    <r>
      <rPr>
        <sz val="11"/>
        <color theme="1"/>
        <rFont val="ＭＳ Ｐゴシック"/>
        <family val="3"/>
        <charset val="128"/>
        <scheme val="minor"/>
      </rPr>
      <t>湖樵夫</t>
    </r>
  </si>
  <si>
    <r>
      <t xml:space="preserve">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葡萄酒; 白酒; 朗姆酒; 威士忌</t>
    </r>
  </si>
  <si>
    <r>
      <t>梦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</si>
  <si>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王雨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</si>
  <si>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</t>
    </r>
  </si>
  <si>
    <t>吉者</t>
  </si>
  <si>
    <r>
      <t>寻</t>
    </r>
    <r>
      <rPr>
        <sz val="11"/>
        <color theme="1"/>
        <rFont val="ＭＳ Ｐゴシック"/>
        <family val="3"/>
        <charset val="128"/>
        <scheme val="minor"/>
      </rPr>
      <t>世明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</si>
  <si>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果酒（含酒精）; 高粱酒;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黄酒; 食用酒精</t>
    </r>
  </si>
  <si>
    <r>
      <t>宁聚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</si>
  <si>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南京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易保信息科技有限公司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</si>
  <si>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</si>
  <si>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鑫小雪青梅</t>
  </si>
  <si>
    <t>成都明道食品有限公司</t>
  </si>
  <si>
    <t>青梅酒</t>
  </si>
  <si>
    <t>泉沈泉</t>
  </si>
  <si>
    <r>
      <t>沈丘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秣陵酒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厂</t>
    </r>
  </si>
  <si>
    <r>
      <t>果酒（含酒精）;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蜂蜜酒; 米酒; 薄荷酒</t>
    </r>
  </si>
  <si>
    <t>方州醇</t>
  </si>
  <si>
    <r>
      <t xml:space="preserve">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米酒; 青稞酒; 黄酒; 食用酒精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</si>
  <si>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君意</t>
    </r>
  </si>
  <si>
    <r>
      <t xml:space="preserve">黄酒; 薄荷酒;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</si>
  <si>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刃城堡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</si>
  <si>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圣果葡萄酒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</si>
  <si>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水果汽酒;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酸酒（低等葡萄酒）;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</si>
  <si>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地机</t>
  </si>
  <si>
    <r>
      <t>六</t>
    </r>
    <r>
      <rPr>
        <sz val="11"/>
        <color theme="1"/>
        <rFont val="ＭＳ Ｐゴシック"/>
        <family val="3"/>
        <charset val="134"/>
        <scheme val="minor"/>
      </rPr>
      <t>盘</t>
    </r>
    <r>
      <rPr>
        <sz val="11"/>
        <color theme="1"/>
        <rFont val="ＭＳ Ｐゴシック"/>
        <family val="3"/>
        <charset val="128"/>
        <scheme val="minor"/>
      </rPr>
      <t>水星河</t>
    </r>
    <r>
      <rPr>
        <sz val="11"/>
        <color theme="1"/>
        <rFont val="ＭＳ Ｐゴシック"/>
        <family val="3"/>
        <charset val="134"/>
        <scheme val="minor"/>
      </rPr>
      <t>烧锅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</si>
  <si>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苦味酒; 白干酒（中国白酒）;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露酒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</si>
  <si>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独酌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</si>
  <si>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</t>
    </r>
  </si>
  <si>
    <t>法邑大都</t>
  </si>
  <si>
    <r>
      <t>北海富宝商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</si>
  <si>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水果汽酒;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果酒; 含酒精的气泡水;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</si>
  <si>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PENFOLDS G3</t>
  </si>
  <si>
    <r>
      <t>南社布</t>
    </r>
    <r>
      <rPr>
        <sz val="11"/>
        <color theme="1"/>
        <rFont val="ＭＳ Ｐゴシック"/>
        <family val="3"/>
        <charset val="134"/>
        <scheme val="minor"/>
      </rPr>
      <t>兰兹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</si>
  <si>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加烈葡萄酒; 葡萄汽酒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</si>
  <si>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蕴</t>
    </r>
    <r>
      <rPr>
        <sz val="11"/>
        <color theme="1"/>
        <rFont val="ＭＳ Ｐゴシック"/>
        <family val="3"/>
        <charset val="128"/>
        <scheme val="minor"/>
      </rPr>
      <t>天香</t>
    </r>
  </si>
  <si>
    <t>田秋菊</t>
  </si>
  <si>
    <r>
      <t>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</si>
  <si>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文粮台</t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</si>
  <si>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高粱酒</t>
    </r>
  </si>
  <si>
    <t>VOYAGE DE LANESSAN</t>
  </si>
  <si>
    <r>
      <t>布待耶</t>
    </r>
    <r>
      <rPr>
        <sz val="11"/>
        <color theme="1"/>
        <rFont val="ＭＳ Ｐゴシック"/>
        <family val="3"/>
        <charset val="134"/>
        <scheme val="minor"/>
      </rPr>
      <t>简</t>
    </r>
    <r>
      <rPr>
        <sz val="11"/>
        <color theme="1"/>
        <rFont val="ＭＳ Ｐゴシック"/>
        <family val="3"/>
        <charset val="128"/>
        <scheme val="minor"/>
      </rPr>
      <t>易股份有限公司</t>
    </r>
  </si>
  <si>
    <r>
      <t>葡萄汽酒;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餐后酒（利口酒和烈酒）;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起泡白葡萄酒; 加烈葡萄酒;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</si>
  <si>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无</t>
    </r>
    <r>
      <rPr>
        <sz val="11"/>
        <color theme="1"/>
        <rFont val="ＭＳ Ｐゴシック"/>
        <family val="3"/>
        <charset val="134"/>
        <scheme val="minor"/>
      </rPr>
      <t>边</t>
    </r>
  </si>
  <si>
    <r>
      <t>大自然健康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（江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</si>
  <si>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</si>
  <si>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宾</t>
    </r>
    <r>
      <rPr>
        <sz val="11"/>
        <color theme="1"/>
        <rFont val="ＭＳ Ｐゴシック"/>
        <family val="3"/>
        <charset val="128"/>
        <scheme val="minor"/>
      </rPr>
      <t>聚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</si>
  <si>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米酒; 蜂蜜酒; 葡萄酒</t>
    </r>
  </si>
  <si>
    <t>幸持酒</t>
  </si>
  <si>
    <r>
      <t>语</t>
    </r>
    <r>
      <rPr>
        <sz val="11"/>
        <color theme="1"/>
        <rFont val="ＭＳ Ｐゴシック"/>
        <family val="3"/>
        <charset val="128"/>
        <scheme val="minor"/>
      </rPr>
      <t>源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温州有限公司</t>
    </r>
  </si>
  <si>
    <r>
      <t>开胃酒; 利口酒; 米酒; 清酒（日本米酒）; 白酒; 甜果酒; 朗姆酒;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</si>
  <si>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道仁源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</si>
  <si>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市睿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</si>
  <si>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白干酒（中国白酒）; 清酒（日本米酒）;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清酒; 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</si>
  <si>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名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</si>
  <si>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高粱酒; 果酒; 白酒;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</si>
  <si>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六个</t>
    </r>
    <r>
      <rPr>
        <sz val="11"/>
        <color theme="1"/>
        <rFont val="ＭＳ Ｐゴシック"/>
        <family val="3"/>
        <charset val="134"/>
        <scheme val="minor"/>
      </rPr>
      <t>铜</t>
    </r>
    <r>
      <rPr>
        <sz val="11"/>
        <color theme="1"/>
        <rFont val="ＭＳ Ｐゴシック"/>
        <family val="3"/>
        <charset val="128"/>
        <scheme val="minor"/>
      </rPr>
      <t>板</t>
    </r>
  </si>
  <si>
    <r>
      <t>王琮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</si>
  <si>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白酒; 果酒（含酒精）;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</si>
  <si>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咪</t>
    </r>
    <r>
      <rPr>
        <sz val="11"/>
        <color theme="1"/>
        <rFont val="ＭＳ Ｐゴシック"/>
        <family val="3"/>
        <charset val="134"/>
        <scheme val="minor"/>
      </rPr>
      <t>喽</t>
    </r>
    <r>
      <rPr>
        <sz val="11"/>
        <color theme="1"/>
        <rFont val="ＭＳ Ｐゴシック"/>
        <family val="3"/>
        <charset val="128"/>
        <scheme val="minor"/>
      </rPr>
      <t>公文包</t>
    </r>
  </si>
  <si>
    <t>丘成蕃</t>
  </si>
  <si>
    <r>
      <t xml:space="preserve">白酒;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餐后酒（利口酒和烈酒）;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</t>
    </r>
  </si>
  <si>
    <r>
      <t>榉</t>
    </r>
    <r>
      <rPr>
        <sz val="11"/>
        <color theme="1"/>
        <rFont val="ＭＳ Ｐゴシック"/>
        <family val="3"/>
        <charset val="128"/>
        <scheme val="minor"/>
      </rPr>
      <t>起</t>
    </r>
  </si>
  <si>
    <r>
      <t>翔宇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</si>
  <si>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食用酒精; 葡萄酒;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</si>
  <si>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晴四季科技有限公司</t>
    </r>
  </si>
  <si>
    <r>
      <t>米酒; 白酒; 蒸煮提取物（利口酒和烈酒）;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</si>
  <si>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芳作</t>
    </r>
  </si>
  <si>
    <r>
      <t>毛百</t>
    </r>
    <r>
      <rPr>
        <sz val="11"/>
        <color theme="1"/>
        <rFont val="ＭＳ Ｐゴシック"/>
        <family val="3"/>
        <charset val="134"/>
        <scheme val="minor"/>
      </rPr>
      <t>训</t>
    </r>
  </si>
  <si>
    <t>白酒; 果酒; 汽酒; 食用酒精; 清酒; 黄酒; 米酒; 开胃酒; 甜酒; 葡萄酒</t>
  </si>
  <si>
    <t>申寅一堂</t>
  </si>
  <si>
    <r>
      <t>申</t>
    </r>
    <r>
      <rPr>
        <sz val="11"/>
        <color theme="1"/>
        <rFont val="ＭＳ Ｐゴシック"/>
        <family val="3"/>
        <charset val="134"/>
        <scheme val="minor"/>
      </rPr>
      <t>东东</t>
    </r>
  </si>
  <si>
    <r>
      <t>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利口酒; 葡萄酒; 果酒</t>
    </r>
  </si>
  <si>
    <r>
      <t>奖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</si>
  <si>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奖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类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管理（沈阳）有限公司</t>
    </r>
  </si>
  <si>
    <r>
      <t>葡萄酒; 朗姆酒;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</si>
  <si>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广州杏得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</si>
  <si>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开胃酒; 米酒;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柑香酒</t>
    </r>
  </si>
  <si>
    <r>
      <t>出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</si>
  <si>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唐圣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</si>
  <si>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葡萄酒; 高粱酒; 白酒; 清酒（日本米酒）</t>
    </r>
  </si>
  <si>
    <t>宜凰</t>
  </si>
  <si>
    <r>
      <t>威士忌; 葡萄酒; 白酒; 果酒（含酒精）; 米酒; 清酒（日本米酒）; 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</si>
  <si>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焘</t>
    </r>
    <r>
      <rPr>
        <sz val="11"/>
        <color theme="1"/>
        <rFont val="ＭＳ Ｐゴシック"/>
        <family val="3"/>
        <charset val="128"/>
        <scheme val="minor"/>
      </rPr>
      <t>澍TALLL TREE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</si>
  <si>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焘</t>
    </r>
    <r>
      <rPr>
        <sz val="11"/>
        <color theme="1"/>
        <rFont val="ＭＳ Ｐゴシック"/>
        <family val="3"/>
        <charset val="128"/>
        <scheme val="minor"/>
      </rPr>
      <t>萃餐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</si>
  <si>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青稞酒; 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</si>
  <si>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都</t>
    </r>
  </si>
  <si>
    <r>
      <t>陈锦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</si>
  <si>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 xml:space="preserve">黄酒; 白酒; 米酒; 果酒;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</si>
  <si>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宝</t>
    </r>
    <r>
      <rPr>
        <sz val="11"/>
        <color theme="1"/>
        <rFont val="ＭＳ Ｐゴシック"/>
        <family val="3"/>
        <charset val="134"/>
        <scheme val="minor"/>
      </rPr>
      <t>萝</t>
    </r>
    <r>
      <rPr>
        <sz val="11"/>
        <color theme="1"/>
        <rFont val="ＭＳ Ｐゴシック"/>
        <family val="3"/>
        <charset val="128"/>
        <scheme val="minor"/>
      </rPr>
      <t>城堡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</si>
  <si>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酸酒（低等葡萄酒）;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水果汽酒;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</si>
  <si>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十八越</t>
    </r>
    <r>
      <rPr>
        <sz val="11"/>
        <color theme="1"/>
        <rFont val="ＭＳ Ｐゴシック"/>
        <family val="3"/>
        <charset val="134"/>
        <scheme val="minor"/>
      </rPr>
      <t>龙门</t>
    </r>
  </si>
  <si>
    <r>
      <t>浙江大越</t>
    </r>
    <r>
      <rPr>
        <sz val="11"/>
        <color theme="1"/>
        <rFont val="ＭＳ Ｐゴシック"/>
        <family val="3"/>
        <charset val="134"/>
        <scheme val="minor"/>
      </rPr>
      <t>绍兴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</si>
  <si>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果酒;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清酒; 白酒; 烈酒;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</si>
  <si>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答卷如意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</si>
  <si>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市醉了么酒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</si>
  <si>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</si>
  <si>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姆尼康蒂</t>
    </r>
  </si>
  <si>
    <t>王迎娣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</si>
  <si>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蒸煮提取物（利口酒和烈酒）;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</si>
  <si>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赑</t>
    </r>
  </si>
  <si>
    <t>李佳</t>
  </si>
  <si>
    <r>
      <t>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薄荷酒;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</si>
  <si>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达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</si>
  <si>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达品牌管理（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</si>
  <si>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</si>
  <si>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t>神得一</t>
  </si>
  <si>
    <r>
      <t>山西天得一酒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</si>
  <si>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威士忌;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</si>
  <si>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独酌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</si>
  <si>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高粱酒;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威士忌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</si>
  <si>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邑豪富</t>
    </r>
  </si>
  <si>
    <r>
      <t xml:space="preserve">水果汽酒; 起泡白葡萄酒;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含酒精的气泡水;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</t>
    </r>
  </si>
  <si>
    <t>BAI JIAMAT</t>
  </si>
  <si>
    <r>
      <t>白酒; 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清酒; 高粱酒;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</si>
  <si>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襄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李</t>
    </r>
  </si>
  <si>
    <t>苏贺</t>
  </si>
  <si>
    <t>黄酒</t>
  </si>
  <si>
    <t>相聚来匠楼</t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</si>
  <si>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涵匠酒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</si>
  <si>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黄酒; 食用酒精; 蒸煮提取物（利口酒和烈酒）; 葡萄酒;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</t>
    </r>
  </si>
  <si>
    <r>
      <t>葡萄酒; 蜂蜜酒;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柑香酒;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</si>
  <si>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泰康阴</t>
  </si>
  <si>
    <r>
      <t>清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市新景防水材料有限公司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</si>
  <si>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开胃酒; 果酒（含酒精）; 米酒; 白干酒（中国白酒）; 五加皮酒（中国混合烈酒）;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</si>
  <si>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邢老柒</t>
  </si>
  <si>
    <t>邢国海</t>
  </si>
  <si>
    <r>
      <t>米酒; 汽酒;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食用酒精;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</si>
  <si>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NORDIC ELEMENT</t>
  </si>
  <si>
    <r>
      <t>深圳市祺度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</si>
  <si>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白酒; 甜果酒; 梨酒; 白葡萄酒; 黄酒; 开胃酒; 米酒;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</si>
  <si>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人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</si>
  <si>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</si>
  <si>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青稞酒; 清酒（日本米酒）;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</si>
  <si>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全球晶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</si>
  <si>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铸</t>
    </r>
    <r>
      <rPr>
        <sz val="11"/>
        <color theme="1"/>
        <rFont val="ＭＳ Ｐゴシック"/>
        <family val="3"/>
        <charset val="128"/>
        <scheme val="minor"/>
      </rPr>
      <t>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</si>
  <si>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</si>
  <si>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彩陶船</t>
  </si>
  <si>
    <t>洛阳客属文化有限公司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</si>
  <si>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</si>
  <si>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铂</t>
    </r>
    <r>
      <rPr>
        <sz val="11"/>
        <color theme="1"/>
        <rFont val="ＭＳ Ｐゴシック"/>
        <family val="3"/>
        <charset val="128"/>
        <scheme val="minor"/>
      </rPr>
      <t>特路</t>
    </r>
  </si>
  <si>
    <t>烟台海市葡萄酒有限公司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</si>
  <si>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利口酒;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</si>
  <si>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人得一</t>
  </si>
  <si>
    <r>
      <t>利口酒; 黄酒; 果酒（含酒精）; 食用酒精; 葡萄酒; 伏特加酒;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</si>
  <si>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英杰</t>
  </si>
  <si>
    <r>
      <t>梁</t>
    </r>
    <r>
      <rPr>
        <sz val="11"/>
        <color theme="1"/>
        <rFont val="ＭＳ Ｐゴシック"/>
        <family val="3"/>
        <charset val="134"/>
        <scheme val="minor"/>
      </rPr>
      <t>绍发</t>
    </r>
  </si>
  <si>
    <r>
      <t xml:space="preserve">开胃酒;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清酒; 白酒; 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</si>
  <si>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伵</t>
  </si>
  <si>
    <t>张乐</t>
  </si>
  <si>
    <r>
      <t xml:space="preserve">葡萄酒; 开胃酒; 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</si>
  <si>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悟佳李</t>
  </si>
  <si>
    <r>
      <t>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</si>
  <si>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PENFOLDS</t>
  </si>
  <si>
    <r>
      <t>加烈葡萄酒;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餐后酒（利口酒和烈酒）; 起泡白葡萄酒;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葡萄汽酒;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</si>
  <si>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疆村季</t>
  </si>
  <si>
    <r>
      <t>新疆一通全</t>
    </r>
    <r>
      <rPr>
        <sz val="11"/>
        <color theme="1"/>
        <rFont val="ＭＳ Ｐゴシック"/>
        <family val="3"/>
        <charset val="134"/>
        <scheme val="minor"/>
      </rPr>
      <t>兑连锁</t>
    </r>
    <r>
      <rPr>
        <sz val="11"/>
        <color theme="1"/>
        <rFont val="ＭＳ Ｐゴシック"/>
        <family val="3"/>
        <charset val="128"/>
        <scheme val="minor"/>
      </rPr>
      <t>超市有限公司</t>
    </r>
  </si>
  <si>
    <r>
      <t>梅酒;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白葡萄酒;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</si>
  <si>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帕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加菲</t>
    </r>
  </si>
  <si>
    <r>
      <t>宁波酒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</si>
  <si>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开胃酒; 利口酒; 黄酒; 果酒（含酒精）</t>
    </r>
  </si>
  <si>
    <r>
      <t>修正</t>
    </r>
    <r>
      <rPr>
        <sz val="11"/>
        <color theme="1"/>
        <rFont val="ＭＳ Ｐゴシック"/>
        <family val="3"/>
        <charset val="134"/>
        <scheme val="minor"/>
      </rPr>
      <t>讲</t>
    </r>
    <r>
      <rPr>
        <sz val="11"/>
        <color theme="1"/>
        <rFont val="ＭＳ Ｐゴシック"/>
        <family val="3"/>
        <charset val="128"/>
        <scheme val="minor"/>
      </rPr>
      <t>究</t>
    </r>
  </si>
  <si>
    <r>
      <t>吉林修正酒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</si>
  <si>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</si>
  <si>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半喜半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</si>
  <si>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泓品牌管理重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</si>
  <si>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黄酒</t>
    </r>
  </si>
  <si>
    <r>
      <t>双洋品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</si>
  <si>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太平洋酒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</si>
  <si>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开胃酒; 葡萄酒; 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</si>
  <si>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t>雀界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</si>
  <si>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朗姆酒; 伏特加酒;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</si>
  <si>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VIN VIVANTS</t>
  </si>
  <si>
    <r>
      <t>葡然自居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易(南京)有限公司</t>
    </r>
  </si>
  <si>
    <r>
      <t>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</si>
  <si>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</si>
  <si>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</si>
  <si>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r>
      <t>伴喜伴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</si>
  <si>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利口酒</t>
    </r>
  </si>
  <si>
    <t>巍塔城堡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</si>
  <si>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酸酒（低等葡萄酒）;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</si>
  <si>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t>彭映人好</t>
  </si>
  <si>
    <r>
      <t>圣秘老茶岩蜜（昆明）健康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</si>
  <si>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青稞酒; 梅酒; 汽酒; 白酒; 果酒（含酒精）; 蜂蜜酒;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</si>
  <si>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约</t>
    </r>
    <r>
      <rPr>
        <sz val="11"/>
        <color theme="1"/>
        <rFont val="ＭＳ Ｐゴシック"/>
        <family val="3"/>
        <charset val="128"/>
        <scheme val="minor"/>
      </rPr>
      <t>瑟夫菲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普斯徽章</t>
    </r>
  </si>
  <si>
    <r>
      <t>约</t>
    </r>
    <r>
      <rPr>
        <sz val="11"/>
        <color theme="1"/>
        <rFont val="ＭＳ Ｐゴシック"/>
        <family val="3"/>
        <charset val="128"/>
        <scheme val="minor"/>
      </rPr>
      <t>瑟夫菲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普斯葡萄园有限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</si>
  <si>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</si>
  <si>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霄裕江</t>
    </r>
  </si>
  <si>
    <r>
      <t>深圳波索</t>
    </r>
    <r>
      <rPr>
        <sz val="11"/>
        <color theme="1"/>
        <rFont val="ＭＳ Ｐゴシック"/>
        <family val="3"/>
        <charset val="134"/>
        <scheme val="minor"/>
      </rPr>
      <t>蓝经贸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</si>
  <si>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伏特加酒;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</si>
  <si>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熊猫水墨功夫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</si>
  <si>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薄荷酒; 白酒; 朗姆酒; 葡萄酒; 黄酒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</si>
  <si>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宜通</t>
    </r>
  </si>
  <si>
    <r>
      <t>四川沁福瑞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</si>
  <si>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露酒; 梨酒;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果酒（含酒精）</t>
    </r>
  </si>
  <si>
    <t>洋琪</t>
  </si>
  <si>
    <t>黄少宏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</si>
  <si>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日本波布蛇酒; 黄酒; 日本松</t>
    </r>
    <r>
      <rPr>
        <sz val="11"/>
        <color theme="1"/>
        <rFont val="ＭＳ Ｐゴシック"/>
        <family val="3"/>
        <charset val="134"/>
        <scheme val="minor"/>
      </rPr>
      <t>针</t>
    </r>
    <r>
      <rPr>
        <sz val="11"/>
        <color theme="1"/>
        <rFont val="ＭＳ Ｐゴシック"/>
        <family val="3"/>
        <charset val="128"/>
        <scheme val="minor"/>
      </rPr>
      <t>酒; 清酒; 清酒（日本米酒）; 白酒</t>
    </r>
  </si>
  <si>
    <t>清平愈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</si>
  <si>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知食生物工程技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研究有限公司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</si>
  <si>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</si>
  <si>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湘</t>
    </r>
    <r>
      <rPr>
        <sz val="11"/>
        <color theme="1"/>
        <rFont val="ＭＳ Ｐゴシック"/>
        <family val="3"/>
        <charset val="129"/>
        <scheme val="minor"/>
      </rPr>
      <t>醹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</si>
  <si>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放平</t>
    </r>
  </si>
  <si>
    <r>
      <t xml:space="preserve">利口酒;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</si>
  <si>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桔城味道</t>
  </si>
  <si>
    <r>
      <t>邵阳市</t>
    </r>
    <r>
      <rPr>
        <sz val="11"/>
        <color theme="1"/>
        <rFont val="ＭＳ Ｐゴシック"/>
        <family val="3"/>
        <charset val="134"/>
        <scheme val="minor"/>
      </rPr>
      <t>啸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</si>
  <si>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果酒（含酒精）;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葡萄酒; 米酒</t>
    </r>
  </si>
  <si>
    <r>
      <t>河北惠品季商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</si>
  <si>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</si>
  <si>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珊之旅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</si>
  <si>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葡萄汽酒; 加烈葡萄酒;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白酒; 餐后酒（利口酒和烈酒）; 起泡白葡萄酒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</si>
  <si>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天下</t>
    </r>
  </si>
  <si>
    <t>史秋吓</t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</si>
  <si>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白酒; 高粱酒; 黄酒;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</si>
  <si>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</si>
  <si>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礼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酒研究院</t>
    </r>
  </si>
  <si>
    <r>
      <t>餐后酒（利口酒和烈酒）; 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苹果酒; 白酒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</si>
  <si>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崖</t>
    </r>
  </si>
  <si>
    <t>王恒</t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</si>
  <si>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青稞酒; 开胃酒</t>
    </r>
  </si>
  <si>
    <t>和好季</t>
  </si>
  <si>
    <t>安康和好季酒店管理有限公司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</si>
  <si>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米酒; 威士忌; 食用酒精; 葡萄酒</t>
    </r>
  </si>
  <si>
    <t>ANNIE'S LANE</t>
  </si>
  <si>
    <r>
      <t>富豪葡萄酒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酒商有限公司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</si>
  <si>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餐后酒（利口酒和烈酒）; 葡萄汽酒; 加烈葡萄酒</t>
    </r>
  </si>
  <si>
    <t>歌翎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</si>
  <si>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</si>
  <si>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尕</t>
    </r>
    <r>
      <rPr>
        <sz val="11"/>
        <color theme="1"/>
        <rFont val="ＭＳ Ｐゴシック"/>
        <family val="3"/>
        <charset val="128"/>
        <scheme val="minor"/>
      </rPr>
      <t>公子</t>
    </r>
  </si>
  <si>
    <r>
      <t>汾阳市新</t>
    </r>
    <r>
      <rPr>
        <sz val="11"/>
        <color theme="1"/>
        <rFont val="ＭＳ Ｐゴシック"/>
        <family val="3"/>
        <charset val="134"/>
        <scheme val="minor"/>
      </rPr>
      <t>创电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</si>
  <si>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食用酒精; 蒸煮提取物（利口酒和烈酒）; 米酒; 青稞酒; 黄酒; 果酒（含酒精）</t>
    </r>
  </si>
  <si>
    <r>
      <t xml:space="preserve">JOIYVIA </t>
    </r>
    <r>
      <rPr>
        <sz val="11"/>
        <color theme="1"/>
        <rFont val="ＭＳ Ｐゴシック"/>
        <family val="3"/>
        <charset val="134"/>
        <scheme val="minor"/>
      </rPr>
      <t>娇</t>
    </r>
    <r>
      <rPr>
        <sz val="11"/>
        <color theme="1"/>
        <rFont val="ＭＳ Ｐゴシック"/>
        <family val="3"/>
        <charset val="128"/>
        <scheme val="minor"/>
      </rPr>
      <t>莉芙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</si>
  <si>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青稞酒;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</si>
  <si>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芝罘区冬</t>
    </r>
    <r>
      <rPr>
        <sz val="11"/>
        <color theme="1"/>
        <rFont val="ＭＳ Ｐゴシック"/>
        <family val="3"/>
        <charset val="134"/>
        <scheme val="minor"/>
      </rPr>
      <t>岚</t>
    </r>
    <r>
      <rPr>
        <sz val="11"/>
        <color theme="1"/>
        <rFont val="ＭＳ Ｐゴシック"/>
        <family val="3"/>
        <charset val="128"/>
        <scheme val="minor"/>
      </rPr>
      <t>景日用百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</si>
  <si>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白酒; 露酒; 苹果酒; 米酒;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</si>
  <si>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采亭</t>
    </r>
  </si>
  <si>
    <r>
      <t>亳州市酒源谷酒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</si>
  <si>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利口酒; 果酒（含酒精）;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蜂蜜酒</t>
    </r>
  </si>
  <si>
    <t>泰康阴 泰康阳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</si>
  <si>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果酒（含酒精）;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五加皮酒（中国混合烈酒）; 白干酒（中国白酒）</t>
    </r>
  </si>
  <si>
    <t>雪玉洞窖王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</si>
  <si>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丰都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河旅游开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</si>
  <si>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</si>
  <si>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威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9"/>
        <scheme val="minor"/>
      </rPr>
      <t>查</t>
    </r>
  </si>
  <si>
    <r>
      <t>深圳市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睿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</si>
  <si>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清酒; 蜂蜜酒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</si>
  <si>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福</t>
    </r>
  </si>
  <si>
    <t>陈东顺</t>
  </si>
  <si>
    <r>
      <t xml:space="preserve">清酒;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</si>
  <si>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湍谷山</t>
  </si>
  <si>
    <r>
      <t>深圳市硒</t>
    </r>
    <r>
      <rPr>
        <sz val="11"/>
        <color theme="1"/>
        <rFont val="ＭＳ Ｐゴシック"/>
        <family val="3"/>
        <charset val="134"/>
        <scheme val="minor"/>
      </rPr>
      <t>锶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</si>
  <si>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白酒;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</si>
  <si>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五合禧</t>
  </si>
  <si>
    <r>
      <t>保定五合窖酒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</si>
  <si>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葡萄酒</t>
    </r>
  </si>
  <si>
    <r>
      <t>汤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</si>
  <si>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海州湾酒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</si>
  <si>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米酒</t>
    </r>
  </si>
  <si>
    <r>
      <t>怀</t>
    </r>
    <r>
      <rPr>
        <sz val="11"/>
        <color theme="1"/>
        <rFont val="ＭＳ Ｐゴシック"/>
        <family val="3"/>
        <charset val="134"/>
        <scheme val="minor"/>
      </rPr>
      <t>厅</t>
    </r>
    <r>
      <rPr>
        <sz val="11"/>
        <color theme="1"/>
        <rFont val="ＭＳ Ｐゴシック"/>
        <family val="3"/>
        <charset val="128"/>
        <scheme val="minor"/>
      </rPr>
      <t>·</t>
    </r>
    <r>
      <rPr>
        <sz val="11"/>
        <color theme="1"/>
        <rFont val="ＭＳ Ｐゴシック"/>
        <family val="3"/>
        <charset val="134"/>
        <scheme val="minor"/>
      </rPr>
      <t>诺贝尔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</si>
  <si>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</si>
  <si>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</si>
  <si>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祝力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</si>
  <si>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米酒;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葡萄酒; 清酒（日本米酒）</t>
    </r>
  </si>
  <si>
    <t>熟人三品李氏家族</t>
  </si>
  <si>
    <r>
      <t>太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熟人三品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</si>
  <si>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开胃酒; 白酒; 烈酒; 利口酒;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</si>
  <si>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t>明德君韵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</si>
  <si>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灵物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</si>
  <si>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黄酒; 米酒; 葡萄酒; 白酒</t>
    </r>
  </si>
  <si>
    <t>福粮坊</t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</si>
  <si>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白干酒（中国白酒）</t>
    </r>
  </si>
  <si>
    <r>
      <t>鄫</t>
    </r>
    <r>
      <rPr>
        <sz val="11"/>
        <color theme="1"/>
        <rFont val="ＭＳ Ｐゴシック"/>
        <family val="3"/>
        <charset val="128"/>
        <scheme val="minor"/>
      </rPr>
      <t>国春秋</t>
    </r>
  </si>
  <si>
    <t>董光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</si>
  <si>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黄酒; 食用酒精; 果酒（含酒精）; 清酒</t>
    </r>
  </si>
  <si>
    <t>ROMUNEEY CANDI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</si>
  <si>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</si>
  <si>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HAAG</t>
  </si>
  <si>
    <r>
      <t>艾格</t>
    </r>
    <r>
      <rPr>
        <sz val="11"/>
        <color theme="1"/>
        <rFont val="ＭＳ Ｐゴシック"/>
        <family val="3"/>
        <charset val="134"/>
        <scheme val="minor"/>
      </rPr>
      <t>让玛丽农业经营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</si>
  <si>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起泡白葡萄酒;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</si>
  <si>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柑知</t>
    </r>
    <r>
      <rPr>
        <sz val="11"/>
        <color theme="1"/>
        <rFont val="ＭＳ Ｐゴシック"/>
        <family val="3"/>
        <charset val="134"/>
        <scheme val="minor"/>
      </rPr>
      <t>语</t>
    </r>
  </si>
  <si>
    <t>邱峰</t>
  </si>
  <si>
    <r>
      <t>开胃酒; 葡萄酒;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</si>
  <si>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r>
      <t>光</t>
    </r>
    <r>
      <rPr>
        <sz val="11"/>
        <color theme="1"/>
        <rFont val="ＭＳ Ｐゴシック"/>
        <family val="3"/>
        <charset val="134"/>
        <scheme val="minor"/>
      </rPr>
      <t>泽县</t>
    </r>
    <r>
      <rPr>
        <sz val="11"/>
        <color theme="1"/>
        <rFont val="ＭＳ Ｐゴシック"/>
        <family val="3"/>
        <charset val="128"/>
        <scheme val="minor"/>
      </rPr>
      <t>玉女峰食品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</si>
  <si>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果酒（含酒精）;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</si>
  <si>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燕遵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猫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</si>
  <si>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广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</si>
  <si>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</si>
  <si>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好冬</t>
    </r>
    <r>
      <rPr>
        <sz val="11"/>
        <color theme="1"/>
        <rFont val="ＭＳ Ｐゴシック"/>
        <family val="3"/>
        <charset val="134"/>
        <scheme val="minor"/>
      </rPr>
      <t>筛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</si>
  <si>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陆</t>
    </r>
    <r>
      <rPr>
        <sz val="11"/>
        <color theme="1"/>
        <rFont val="ＭＳ Ｐゴシック"/>
        <family val="3"/>
        <charset val="128"/>
        <scheme val="minor"/>
      </rPr>
      <t>冬******************</t>
    </r>
  </si>
  <si>
    <r>
      <t xml:space="preserve">开胃酒; 葡萄酒; 白酒;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</si>
  <si>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堡井</t>
  </si>
  <si>
    <r>
      <t>赵</t>
    </r>
    <r>
      <rPr>
        <sz val="11"/>
        <color theme="1"/>
        <rFont val="ＭＳ Ｐゴシック"/>
        <family val="3"/>
        <charset val="128"/>
        <scheme val="minor"/>
      </rPr>
      <t>勇</t>
    </r>
  </si>
  <si>
    <t>果酒; 米酒; 葡萄酒; 白酒; 清酒</t>
  </si>
  <si>
    <r>
      <t>鳇</t>
    </r>
    <r>
      <rPr>
        <sz val="11"/>
        <color theme="1"/>
        <rFont val="ＭＳ Ｐゴシック"/>
        <family val="3"/>
        <charset val="128"/>
        <scheme val="minor"/>
      </rPr>
      <t>尚皇餐</t>
    </r>
    <r>
      <rPr>
        <sz val="11"/>
        <color theme="1"/>
        <rFont val="ＭＳ Ｐゴシック"/>
        <family val="3"/>
        <charset val="134"/>
        <scheme val="minor"/>
      </rPr>
      <t>饮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</si>
  <si>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色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疆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  <r>
      <rPr>
        <sz val="11"/>
        <color theme="1"/>
        <rFont val="ＭＳ Ｐゴシック"/>
        <family val="3"/>
        <charset val="134"/>
        <scheme val="minor"/>
      </rPr>
      <t>抚远</t>
    </r>
    <r>
      <rPr>
        <sz val="11"/>
        <color theme="1"/>
        <rFont val="ＭＳ Ｐゴシック"/>
        <family val="3"/>
        <charset val="128"/>
        <scheme val="minor"/>
      </rPr>
      <t>分公司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</si>
  <si>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高粱酒;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</si>
  <si>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竹里南</t>
  </si>
  <si>
    <t>吴溢敏</t>
  </si>
  <si>
    <r>
      <t xml:space="preserve">日式甜米酒;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米酒; 葡萄酒; 黄酒; 朗姆酒; 果酒（含酒精）; 日本梅子酒; 白酒</t>
    </r>
  </si>
  <si>
    <t>悟旗扎</t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</si>
  <si>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伏特加酒;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</si>
  <si>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忠信</t>
    </r>
  </si>
  <si>
    <r>
      <t>巍山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忠信汽</t>
    </r>
    <r>
      <rPr>
        <sz val="11"/>
        <color theme="1"/>
        <rFont val="ＭＳ Ｐゴシック"/>
        <family val="3"/>
        <charset val="134"/>
        <scheme val="minor"/>
      </rPr>
      <t>车销</t>
    </r>
    <r>
      <rPr>
        <sz val="11"/>
        <color theme="1"/>
        <rFont val="ＭＳ Ｐゴシック"/>
        <family val="3"/>
        <charset val="128"/>
        <scheme val="minor"/>
      </rPr>
      <t>售有限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</si>
  <si>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苹果酒; 果酒（含酒精）;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</si>
  <si>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与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同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</si>
  <si>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味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天下酒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</si>
  <si>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五加皮酒（中国混合烈酒）; 开胃酒; 烈酒; 白葡萄酒; 清酒（日本米酒）;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</t>
    </r>
  </si>
  <si>
    <t>光先老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</si>
  <si>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市国康酒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</si>
  <si>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高粱酒; 果酒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</si>
  <si>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峰</t>
    </r>
    <r>
      <rPr>
        <sz val="11"/>
        <color theme="1"/>
        <rFont val="ＭＳ Ｐゴシック"/>
        <family val="3"/>
        <charset val="134"/>
        <scheme val="minor"/>
      </rPr>
      <t>隐</t>
    </r>
    <r>
      <rPr>
        <sz val="11"/>
        <color theme="1"/>
        <rFont val="ＭＳ Ｐゴシック"/>
        <family val="3"/>
        <charset val="128"/>
        <scheme val="minor"/>
      </rPr>
      <t>士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</si>
  <si>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州中境科技有限公司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</si>
  <si>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葡萄酒; 白酒; 米酒</t>
    </r>
  </si>
  <si>
    <t>DOMAINE JEAN-MARIE HAAG</t>
  </si>
  <si>
    <r>
      <t>起泡白葡萄酒;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葡萄酒; 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</si>
  <si>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川涌</t>
  </si>
  <si>
    <t>吴俊澎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</si>
  <si>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威士忌;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</t>
    </r>
  </si>
  <si>
    <t>瑞序</t>
  </si>
  <si>
    <r>
      <t>川流不息供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</si>
  <si>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烈酒; 开胃酒;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清酒（日本米酒）;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</si>
  <si>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源</t>
    </r>
  </si>
  <si>
    <t>范李科</t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</si>
  <si>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</si>
  <si>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多彩云熙山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</si>
  <si>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里春餐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</si>
  <si>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</si>
  <si>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KURUPI</t>
  </si>
  <si>
    <r>
      <t>夏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</si>
  <si>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</si>
  <si>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照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</si>
  <si>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西九如山酒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</si>
  <si>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开胃酒;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</si>
  <si>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珍台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</si>
  <si>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光里企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</si>
  <si>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开胃酒; 果酒（含酒精）; 葡萄酒;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</si>
  <si>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珍台隋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</si>
  <si>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清酒（日本米酒）; 开胃酒; 葡萄酒; 食用酒精; 黄酒</t>
    </r>
  </si>
  <si>
    <t>盛黔君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</si>
  <si>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州朴然禾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</si>
  <si>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白酒; 烈酒; 黄酒; 甜酒;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</t>
    </r>
  </si>
  <si>
    <t>五嵩</t>
  </si>
  <si>
    <r>
      <t>铜</t>
    </r>
    <r>
      <rPr>
        <sz val="11"/>
        <color theme="1"/>
        <rFont val="ＭＳ Ｐゴシック"/>
        <family val="3"/>
        <charset val="128"/>
        <scheme val="minor"/>
      </rPr>
      <t>仁</t>
    </r>
    <r>
      <rPr>
        <sz val="11"/>
        <color theme="1"/>
        <rFont val="ＭＳ Ｐゴシック"/>
        <family val="3"/>
        <charset val="134"/>
        <scheme val="minor"/>
      </rPr>
      <t>绽</t>
    </r>
    <r>
      <rPr>
        <sz val="11"/>
        <color theme="1"/>
        <rFont val="ＭＳ Ｐゴシック"/>
        <family val="3"/>
        <charset val="128"/>
        <scheme val="minor"/>
      </rPr>
      <t>新白翎医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美容有限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</si>
  <si>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白干酒（中国白酒）;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食用酒精; 汽酒;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青梅酒; 含酒精的气泡水</t>
    </r>
  </si>
  <si>
    <t>吉享康富小虎哥哥</t>
  </si>
  <si>
    <r>
      <t>张</t>
    </r>
    <r>
      <rPr>
        <sz val="11"/>
        <color theme="1"/>
        <rFont val="ＭＳ Ｐゴシック"/>
        <family val="3"/>
        <charset val="128"/>
        <scheme val="minor"/>
      </rPr>
      <t>小虎</t>
    </r>
  </si>
  <si>
    <r>
      <t xml:space="preserve">高粱酒;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蜂蜜酒; 米酒; 白酒; 青稞酒; 果酒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</si>
  <si>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珍台清</t>
    </r>
  </si>
  <si>
    <r>
      <t xml:space="preserve">开胃酒; 米酒;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葡萄酒; 食用酒精; 果酒（含酒精）</t>
    </r>
  </si>
  <si>
    <t>豪林云鼎</t>
  </si>
  <si>
    <r>
      <t>融水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豪林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</si>
  <si>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</si>
  <si>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芳年</t>
    </r>
  </si>
  <si>
    <r>
      <t>刘云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</si>
  <si>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米酒; 白酒; 威士忌; 汽酒; 黄酒; 葡萄酒;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高粱酒</t>
    </r>
  </si>
  <si>
    <t>富千台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</si>
  <si>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州彩宝酒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</si>
  <si>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葡萄酒; 烈酒</t>
    </r>
  </si>
  <si>
    <r>
      <t>宋式</t>
    </r>
    <r>
      <rPr>
        <sz val="11"/>
        <color theme="1"/>
        <rFont val="ＭＳ Ｐゴシック"/>
        <family val="3"/>
        <charset val="134"/>
        <scheme val="minor"/>
      </rPr>
      <t>浔</t>
    </r>
    <r>
      <rPr>
        <sz val="11"/>
        <color theme="1"/>
        <rFont val="ＭＳ Ｐゴシック"/>
        <family val="3"/>
        <charset val="128"/>
        <scheme val="minor"/>
      </rPr>
      <t>道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</si>
  <si>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行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酒平台服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</si>
  <si>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果酒; 白酒; 蜂蜜酒;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</si>
  <si>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斐伊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</si>
  <si>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方珍品工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</si>
  <si>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蒸煮提取物（利口酒和烈酒）;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汽酒; 青稞酒; 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</t>
    </r>
  </si>
  <si>
    <r>
      <t>嘉</t>
    </r>
    <r>
      <rPr>
        <sz val="11"/>
        <color theme="1"/>
        <rFont val="ＭＳ Ｐゴシック"/>
        <family val="3"/>
        <charset val="134"/>
        <scheme val="minor"/>
      </rPr>
      <t>幂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</si>
  <si>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蒸煮提取物（利口酒和烈酒）; 果酒（含酒精）; 黄酒; 葡萄酒; 汽酒; 青稞酒;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</si>
  <si>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衡</t>
    </r>
    <r>
      <rPr>
        <sz val="11"/>
        <color theme="1"/>
        <rFont val="ＭＳ Ｐゴシック"/>
        <family val="3"/>
        <charset val="134"/>
        <scheme val="minor"/>
      </rPr>
      <t>艺</t>
    </r>
  </si>
  <si>
    <r>
      <t>衡水董学府酒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</si>
  <si>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利口酒; 白干酒（中国白酒）;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</si>
  <si>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津津雀</t>
  </si>
  <si>
    <t>宁德好雀食品有限公司</t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</si>
  <si>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葡萄酒; 米酒; 利口酒;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</t>
    </r>
  </si>
  <si>
    <t>金奇量金品</t>
  </si>
  <si>
    <r>
      <t>广州市奇量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</si>
  <si>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</si>
  <si>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喜九天</t>
  </si>
  <si>
    <r>
      <t>千秋宏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（河北雄安）酒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</si>
  <si>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甘蔗制烈酒;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</si>
  <si>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川港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</si>
  <si>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州川港酒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</si>
  <si>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白干酒（中国白酒）; 混合威士忌酒; 食用酒精;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</si>
  <si>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AOWAOW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</si>
  <si>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伏特加酒; 烈酒;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</t>
    </r>
  </si>
  <si>
    <t>广津</t>
  </si>
  <si>
    <t>惠州市广津食品有限公司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</si>
  <si>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</si>
  <si>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珍台元</t>
    </r>
  </si>
  <si>
    <r>
      <t>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食用酒精; 开胃酒; 米酒; 黄酒; 白酒</t>
    </r>
  </si>
  <si>
    <r>
      <t>朱</t>
    </r>
    <r>
      <rPr>
        <sz val="11"/>
        <color theme="1"/>
        <rFont val="ＭＳ Ｐゴシック"/>
        <family val="3"/>
        <charset val="134"/>
        <scheme val="minor"/>
      </rPr>
      <t>卫红</t>
    </r>
  </si>
  <si>
    <r>
      <t xml:space="preserve">果酒（含酒精）; 米酒; 烈酒;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葡萄酒; 黄酒</t>
    </r>
  </si>
  <si>
    <t>三老仙友</t>
  </si>
  <si>
    <r>
      <t>湖南天熹商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</si>
  <si>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</si>
  <si>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骞</t>
    </r>
    <r>
      <rPr>
        <sz val="11"/>
        <color theme="1"/>
        <rFont val="ＭＳ Ｐゴシック"/>
        <family val="3"/>
        <charset val="128"/>
        <scheme val="minor"/>
      </rPr>
      <t>禧嘉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</si>
  <si>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闯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</si>
  <si>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伏特加酒; 清酒（日本米酒）; 葡萄酒;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</si>
  <si>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梦扎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</si>
  <si>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天津万象恒科技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</si>
  <si>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白干酒（中国白酒）; 白酒;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</si>
  <si>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运仁</t>
    </r>
  </si>
  <si>
    <r>
      <t>河南省福天香酒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</si>
  <si>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果酒; 高粱酒; 葡萄酒; 烈酒;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</si>
  <si>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水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畈</t>
    </r>
  </si>
  <si>
    <t>程海芬******************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</si>
  <si>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威士忌</t>
    </r>
  </si>
  <si>
    <r>
      <t>玉溪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粮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</si>
  <si>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</si>
  <si>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臣</t>
    </r>
  </si>
  <si>
    <t>蒙世高</t>
  </si>
  <si>
    <r>
      <t xml:space="preserve">葡萄酒; 烈酒; 黄酒; 白酒; 威士忌;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</si>
  <si>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拜医生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</si>
  <si>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薪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</si>
  <si>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米酒; 食用酒精; 高粱酒;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</si>
  <si>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州六窖酒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</si>
  <si>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薄荷酒;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</si>
  <si>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千河</t>
    </r>
    <r>
      <rPr>
        <sz val="11"/>
        <color theme="1"/>
        <rFont val="ＭＳ Ｐゴシック"/>
        <family val="3"/>
        <charset val="134"/>
        <scheme val="minor"/>
      </rPr>
      <t>凤烧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</si>
  <si>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白酒;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</si>
  <si>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悦卓泰</t>
    </r>
  </si>
  <si>
    <r>
      <t>海南</t>
    </r>
    <r>
      <rPr>
        <sz val="11"/>
        <color theme="1"/>
        <rFont val="ＭＳ Ｐゴシック"/>
        <family val="3"/>
        <charset val="134"/>
        <scheme val="minor"/>
      </rPr>
      <t>鸿伟项</t>
    </r>
    <r>
      <rPr>
        <sz val="11"/>
        <color theme="1"/>
        <rFont val="ＭＳ Ｐゴシック"/>
        <family val="3"/>
        <charset val="128"/>
        <scheme val="minor"/>
      </rPr>
      <t>目管理有限公司</t>
    </r>
  </si>
  <si>
    <r>
      <t>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</t>
    </r>
  </si>
  <si>
    <t>泰之本</t>
  </si>
  <si>
    <t>潘建海</t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</si>
  <si>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黄酒;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</si>
  <si>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秉德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</si>
  <si>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秉德（重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</si>
  <si>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黄酒;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</si>
  <si>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天湖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</si>
  <si>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涂</t>
    </r>
    <r>
      <rPr>
        <sz val="11"/>
        <color theme="1"/>
        <rFont val="ＭＳ Ｐゴシック"/>
        <family val="3"/>
        <charset val="134"/>
        <scheme val="minor"/>
      </rPr>
      <t>进华</t>
    </r>
  </si>
  <si>
    <r>
      <t>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黄酒; 开胃酒; 葡萄酒</t>
    </r>
  </si>
  <si>
    <t>后.溪的酒</t>
  </si>
  <si>
    <r>
      <t>吴王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</si>
  <si>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白酒; 开胃酒; 黄酒; 果酒; 蜂蜜酒;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</si>
  <si>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易家儿女</t>
  </si>
  <si>
    <r>
      <t>衡水安</t>
    </r>
    <r>
      <rPr>
        <sz val="11"/>
        <color theme="1"/>
        <rFont val="ＭＳ Ｐゴシック"/>
        <family val="3"/>
        <charset val="134"/>
        <scheme val="minor"/>
      </rPr>
      <t>济桥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</si>
  <si>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白酒; 葡萄酒; 黄酒; 白干酒（中国白酒）; 果酒（含酒精）; 甜果酒;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清酒; 米酒</t>
    </r>
  </si>
  <si>
    <t>皇藏双喜</t>
  </si>
  <si>
    <r>
      <t>新疆自由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</si>
  <si>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清酒; 葡萄酒; 伏特加酒; 果酒;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加烈葡萄酒; 甜果酒</t>
    </r>
  </si>
  <si>
    <t>刘波</t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</si>
  <si>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果酒（含酒精）; 米酒; 青稞酒; 葡萄酒; 黄酒;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</si>
  <si>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费</t>
    </r>
    <r>
      <rPr>
        <sz val="11"/>
        <color theme="1"/>
        <rFont val="ＭＳ Ｐゴシック"/>
        <family val="3"/>
        <charset val="128"/>
        <scheme val="minor"/>
      </rPr>
      <t>酒先生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</si>
  <si>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诺维</t>
    </r>
    <r>
      <rPr>
        <sz val="11"/>
        <color theme="1"/>
        <rFont val="ＭＳ Ｐゴシック"/>
        <family val="3"/>
        <charset val="128"/>
        <scheme val="minor"/>
      </rPr>
      <t>奇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</si>
  <si>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</t>
    </r>
  </si>
  <si>
    <t>青洲匠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</si>
  <si>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莞市鼎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</si>
  <si>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</si>
  <si>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杏都</t>
  </si>
  <si>
    <r>
      <t>山西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花至尊酒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</si>
  <si>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蒸煮提取物（利口酒和烈酒）; 食用酒精;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</si>
  <si>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小白匠 匠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</si>
  <si>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州匠小白酒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</si>
  <si>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伏特加酒;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烈酒; 高粱酒; 威士忌; 米酒</t>
    </r>
  </si>
  <si>
    <t>沙城偃月刀</t>
  </si>
  <si>
    <r>
      <t>张</t>
    </r>
    <r>
      <rPr>
        <sz val="11"/>
        <color theme="1"/>
        <rFont val="ＭＳ Ｐゴシック"/>
        <family val="3"/>
        <charset val="128"/>
        <scheme val="minor"/>
      </rPr>
      <t>家口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</si>
  <si>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黄酒;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</si>
  <si>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珍台宋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</si>
  <si>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果酒（含酒精）; 清酒（日本米酒）; 葡萄酒; 白酒; 黄酒; 食用酒精</t>
    </r>
  </si>
  <si>
    <r>
      <t>久盛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河</t>
    </r>
  </si>
  <si>
    <t>刘慧荣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</si>
  <si>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梅酒; 葡萄酒</t>
    </r>
  </si>
  <si>
    <r>
      <t>唐朝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</si>
  <si>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四川唐朝老窖(集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)有限公司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</si>
  <si>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果酒; 白酒; 葡萄酒; 青稞酒; 甜酒; 高粱酒</t>
    </r>
  </si>
  <si>
    <t>阿珥楠</t>
  </si>
  <si>
    <r>
      <t>林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民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</si>
  <si>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白酒; 黄酒; 开胃酒; 果酒; 烈酒; 汽酒</t>
    </r>
  </si>
  <si>
    <t>炫霸</t>
  </si>
  <si>
    <r>
      <t>高安市亮</t>
    </r>
    <r>
      <rPr>
        <sz val="11"/>
        <color theme="1"/>
        <rFont val="ＭＳ Ｐゴシック"/>
        <family val="3"/>
        <charset val="134"/>
        <scheme val="minor"/>
      </rPr>
      <t>剑劳务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</si>
  <si>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开胃酒;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伏特加酒</t>
    </r>
  </si>
  <si>
    <t>梦之本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</si>
  <si>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清酒;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</si>
  <si>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沙城青</t>
    </r>
    <r>
      <rPr>
        <sz val="11"/>
        <color theme="1"/>
        <rFont val="ＭＳ Ｐゴシック"/>
        <family val="3"/>
        <charset val="134"/>
        <scheme val="minor"/>
      </rPr>
      <t>龙剑</t>
    </r>
  </si>
  <si>
    <r>
      <t>伏特加酒; 葡萄酒; 梅酒;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米酒</t>
    </r>
  </si>
  <si>
    <t>伽西</t>
  </si>
  <si>
    <r>
      <t>上海空瓶</t>
    </r>
    <r>
      <rPr>
        <sz val="11"/>
        <color theme="1"/>
        <rFont val="ＭＳ Ｐゴシック"/>
        <family val="3"/>
        <charset val="134"/>
        <scheme val="minor"/>
      </rPr>
      <t>计</t>
    </r>
    <r>
      <rPr>
        <sz val="11"/>
        <color theme="1"/>
        <rFont val="ＭＳ Ｐゴシック"/>
        <family val="3"/>
        <charset val="128"/>
        <scheme val="minor"/>
      </rPr>
      <t>划国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</si>
  <si>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朗姆酒;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餐后酒（利口酒和烈酒）</t>
    </r>
  </si>
  <si>
    <r>
      <t>旺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庭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</si>
  <si>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</si>
  <si>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t>鑫蒿精</t>
  </si>
  <si>
    <r>
      <t>田景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</si>
  <si>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威士忌; 米酒;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</si>
  <si>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SL RIVEN</t>
  </si>
  <si>
    <r>
      <t>申利（厦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</si>
  <si>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威士忌; 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清酒; 葡萄酒; 烈酒; 利口酒; 伏特加酒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</si>
  <si>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珍台唐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</si>
  <si>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食用酒精; 果酒（含酒精）; 白酒;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</t>
    </r>
  </si>
  <si>
    <r>
      <t>罗纳</t>
    </r>
    <r>
      <rPr>
        <sz val="11"/>
        <color theme="1"/>
        <rFont val="ＭＳ Ｐゴシック"/>
        <family val="3"/>
        <charset val="128"/>
        <scheme val="minor"/>
      </rPr>
      <t>左隆</t>
    </r>
  </si>
  <si>
    <r>
      <t>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</si>
  <si>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京窠</t>
  </si>
  <si>
    <r>
      <t>高荣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</si>
  <si>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葡萄酒; 果酒;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</si>
  <si>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钟</t>
    </r>
    <r>
      <rPr>
        <sz val="11"/>
        <color theme="1"/>
        <rFont val="ＭＳ Ｐゴシック"/>
        <family val="3"/>
        <charset val="129"/>
        <scheme val="minor"/>
      </rPr>
      <t>煲煲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</si>
  <si>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钟</t>
    </r>
    <r>
      <rPr>
        <sz val="11"/>
        <color theme="1"/>
        <rFont val="ＭＳ Ｐゴシック"/>
        <family val="3"/>
        <charset val="129"/>
        <scheme val="minor"/>
      </rPr>
      <t>煲煲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</si>
  <si>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白酒; 果酒（含酒精）; 青稞酒;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</si>
  <si>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聚尽香</t>
  </si>
  <si>
    <r>
      <t>邹</t>
    </r>
    <r>
      <rPr>
        <sz val="11"/>
        <color theme="1"/>
        <rFont val="ＭＳ Ｐゴシック"/>
        <family val="3"/>
        <charset val="128"/>
        <scheme val="minor"/>
      </rPr>
      <t>翔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</si>
  <si>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米酒; 伏特加酒;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果酒（含酒精）</t>
    </r>
  </si>
  <si>
    <t>凰稻吉</t>
  </si>
  <si>
    <r>
      <t>大理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</si>
  <si>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食用酒精; 开胃酒;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</si>
  <si>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苹果酒;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</si>
  <si>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韵会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</si>
  <si>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京致酒行集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</si>
  <si>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</si>
  <si>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曾家儿女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</si>
  <si>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清酒; 葡萄酒; 白干酒（中国白酒）; 果酒（含酒精）; 白酒; 薄荷酒; 甜果酒</t>
    </r>
  </si>
  <si>
    <t>葆辞</t>
  </si>
  <si>
    <t>余微微</t>
  </si>
  <si>
    <r>
      <t xml:space="preserve">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青稞酒;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</si>
  <si>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PROSAFETY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</si>
  <si>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八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</si>
  <si>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</si>
  <si>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潞酒酒脊</t>
  </si>
  <si>
    <r>
      <t>山西省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治市潞酒有限公司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</si>
  <si>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汽酒;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</si>
  <si>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糯小安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</si>
  <si>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宏泰酒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</si>
  <si>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汽酒; 黄酒; 葡萄酒; 白酒; 果酒; 食用酒精; 米酒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</si>
  <si>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得沃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</si>
  <si>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得沃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</si>
  <si>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伏特加酒;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白酒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</si>
  <si>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珍台秦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</si>
  <si>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开胃酒; 白酒; 葡萄酒; 黄酒; 果酒（含酒精）</t>
    </r>
  </si>
  <si>
    <t>具良治</t>
  </si>
  <si>
    <r>
      <t>赵亚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</si>
  <si>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</si>
  <si>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r>
      <t>以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常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</si>
  <si>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安珏雅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</si>
  <si>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白酒; 米酒;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黄酒; 餐后酒（利口酒和烈酒）;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</si>
  <si>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温德里希</t>
  </si>
  <si>
    <t>周桂芝</t>
  </si>
  <si>
    <r>
      <t xml:space="preserve">米酒; 含酒精的气泡水;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开胃酒; 威士忌</t>
    </r>
  </si>
  <si>
    <r>
      <t>千河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</si>
  <si>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 xml:space="preserve">白酒; 葡萄酒; 食用酒精;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</si>
  <si>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钰满</t>
    </r>
    <r>
      <rPr>
        <sz val="11"/>
        <color theme="1"/>
        <rFont val="ＭＳ Ｐゴシック"/>
        <family val="3"/>
        <charset val="128"/>
        <scheme val="minor"/>
      </rPr>
      <t>堂玖</t>
    </r>
  </si>
  <si>
    <t>王立忠</t>
  </si>
  <si>
    <r>
      <t>威士忌; 蜂蜜酒;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</si>
  <si>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t>KECSKEMETLATU</t>
  </si>
  <si>
    <r>
      <t>佛山市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西迪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</si>
  <si>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蒸煮提取物（利口酒和烈酒）; 白酒; 米酒;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</t>
    </r>
  </si>
  <si>
    <r>
      <t>吉祥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</si>
  <si>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文村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</si>
  <si>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</si>
  <si>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博</t>
    </r>
    <r>
      <rPr>
        <sz val="11"/>
        <color theme="1"/>
        <rFont val="ＭＳ Ｐゴシック"/>
        <family val="3"/>
        <charset val="134"/>
        <scheme val="minor"/>
      </rPr>
      <t>爱莲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</si>
  <si>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</si>
  <si>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果酒（含酒精）; 葡萄酒;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</si>
  <si>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豫八公</t>
  </si>
  <si>
    <r>
      <t>沈建</t>
    </r>
    <r>
      <rPr>
        <sz val="11"/>
        <color theme="1"/>
        <rFont val="ＭＳ Ｐゴシック"/>
        <family val="3"/>
        <charset val="134"/>
        <scheme val="minor"/>
      </rPr>
      <t>营</t>
    </r>
  </si>
  <si>
    <r>
      <t xml:space="preserve">梨酒;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开胃酒;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</si>
  <si>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邑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傅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</si>
  <si>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广勤</t>
    </r>
  </si>
  <si>
    <r>
      <t xml:space="preserve">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果酒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</si>
  <si>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运</t>
    </r>
  </si>
  <si>
    <t>李伶俐</t>
  </si>
  <si>
    <r>
      <t>清酒（日本米酒）;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</si>
  <si>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君曙</t>
  </si>
  <si>
    <t>金宇薇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</si>
  <si>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甘蔗制烈酒; 果酒（含酒精）; 葡萄酒; 黄酒</t>
    </r>
  </si>
  <si>
    <t>今会仁</t>
  </si>
  <si>
    <r>
      <t>泉州亮星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</si>
  <si>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朗姆酒;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</si>
  <si>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t>千幻</t>
  </si>
  <si>
    <t>曹必江</t>
  </si>
  <si>
    <r>
      <t xml:space="preserve">伏特加酒;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黄酒; 果酒（含酒精）; 白酒</t>
    </r>
  </si>
  <si>
    <t>恒本</t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</si>
  <si>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清酒; 果酒（含酒精）;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</si>
  <si>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费尔</t>
    </r>
    <r>
      <rPr>
        <sz val="11"/>
        <color theme="1"/>
        <rFont val="ＭＳ Ｐゴシック"/>
        <family val="3"/>
        <charset val="128"/>
        <scheme val="minor"/>
      </rPr>
      <t>南德</t>
    </r>
  </si>
  <si>
    <r>
      <t>上海易葡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</si>
  <si>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甜果酒;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</si>
  <si>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兰风</t>
    </r>
    <r>
      <rPr>
        <sz val="11"/>
        <color theme="1"/>
        <rFont val="ＭＳ Ｐゴシック"/>
        <family val="3"/>
        <charset val="128"/>
        <scheme val="minor"/>
      </rPr>
      <t>人 LAN FENG PEOPLE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</si>
  <si>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省</t>
    </r>
    <r>
      <rPr>
        <sz val="11"/>
        <color theme="1"/>
        <rFont val="ＭＳ Ｐゴシック"/>
        <family val="3"/>
        <charset val="134"/>
        <scheme val="minor"/>
      </rPr>
      <t>兰风</t>
    </r>
    <r>
      <rPr>
        <sz val="11"/>
        <color theme="1"/>
        <rFont val="ＭＳ Ｐゴシック"/>
        <family val="3"/>
        <charset val="128"/>
        <scheme val="minor"/>
      </rPr>
      <t>智能科技有限公司</t>
    </r>
  </si>
  <si>
    <r>
      <t>葡萄酒; 黄酒; 青稞酒; 食用酒精; 蒸煮提取物（利口酒和烈酒）;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</t>
    </r>
  </si>
  <si>
    <r>
      <t>湖南聚味瞿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</si>
  <si>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清酒（日本米酒）; 白酒;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</si>
  <si>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秦郭秦</t>
    </r>
    <r>
      <rPr>
        <sz val="11"/>
        <color theme="1"/>
        <rFont val="ＭＳ Ｐゴシック"/>
        <family val="3"/>
        <charset val="134"/>
        <scheme val="minor"/>
      </rPr>
      <t>赪</t>
    </r>
  </si>
  <si>
    <t>英才添翼教育科技（西安）有限公司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</si>
  <si>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苹果酒; 葡萄酒;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开胃酒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</si>
  <si>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盅意</t>
    </r>
  </si>
  <si>
    <r>
      <t>覃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</si>
  <si>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烈酒; 葡萄酒; 威士忌;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</si>
  <si>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州古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</si>
  <si>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食用酒精;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朗姆酒;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</si>
  <si>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三品道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</si>
  <si>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州酒道酒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</si>
  <si>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露酒;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</t>
    </r>
  </si>
  <si>
    <t>蓓尼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</si>
  <si>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餐后酒（利口酒和烈酒）;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葡萄酒</t>
    </r>
  </si>
  <si>
    <t>迁彧</t>
  </si>
  <si>
    <r>
      <t>吴</t>
    </r>
    <r>
      <rPr>
        <sz val="11"/>
        <color theme="1"/>
        <rFont val="ＭＳ Ｐゴシック"/>
        <family val="3"/>
        <charset val="134"/>
        <scheme val="minor"/>
      </rPr>
      <t>剑锋</t>
    </r>
  </si>
  <si>
    <r>
      <t xml:space="preserve">白酒; 黄酒; 青稞酒; 杜松子酒;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</t>
    </r>
  </si>
  <si>
    <t>拓且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</si>
  <si>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州茗睿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</si>
  <si>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青稞酒; 白酒; 高粱酒; 米酒; 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葡萄酒; 威士忌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</si>
  <si>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珍台明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</si>
  <si>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食用酒精; 果酒（含酒精）; 开胃酒; 米酒; 葡萄酒</t>
    </r>
  </si>
  <si>
    <t>夏之月</t>
  </si>
  <si>
    <r>
      <t>宁夏</t>
    </r>
    <r>
      <rPr>
        <sz val="11"/>
        <color theme="1"/>
        <rFont val="ＭＳ Ｐゴシック"/>
        <family val="3"/>
        <charset val="134"/>
        <scheme val="minor"/>
      </rPr>
      <t>马兰</t>
    </r>
    <r>
      <rPr>
        <sz val="11"/>
        <color theme="1"/>
        <rFont val="ＭＳ Ｐゴシック"/>
        <family val="3"/>
        <charset val="128"/>
        <scheme val="minor"/>
      </rPr>
      <t>花开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林科技有限公司</t>
    </r>
  </si>
  <si>
    <r>
      <t>果酒; 黄酒; 米酒; 白酒; 蜂蜜酒;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苦味酒; 甜酒</t>
    </r>
  </si>
  <si>
    <r>
      <t>赊</t>
    </r>
    <r>
      <rPr>
        <sz val="11"/>
        <color theme="1"/>
        <rFont val="ＭＳ Ｐゴシック"/>
        <family val="3"/>
        <charset val="128"/>
        <scheme val="minor"/>
      </rPr>
      <t>君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</si>
  <si>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</si>
  <si>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葡萄酒;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杜松子酒;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</si>
  <si>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流年柔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</si>
  <si>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苏苏</t>
    </r>
    <r>
      <rPr>
        <sz val="11"/>
        <color theme="1"/>
        <rFont val="ＭＳ Ｐゴシック"/>
        <family val="3"/>
        <charset val="128"/>
        <scheme val="minor"/>
      </rPr>
      <t>韵酒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</si>
  <si>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黄酒; 清酒（日本米酒）;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威士忌</t>
    </r>
  </si>
  <si>
    <t>藏益</t>
  </si>
  <si>
    <r>
      <t xml:space="preserve">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</si>
  <si>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襄火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</si>
  <si>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襄信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</si>
  <si>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白酒; 果酒; 白干酒（中国白酒）;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食用酒精;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</si>
  <si>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泰本</t>
  </si>
  <si>
    <r>
      <t>米酒;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葡萄酒; 清酒;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</t>
    </r>
  </si>
  <si>
    <t>盒尖尖</t>
  </si>
  <si>
    <t>申守枝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</si>
  <si>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</si>
  <si>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记</t>
    </r>
  </si>
  <si>
    <t>沈根生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</si>
  <si>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果酒（含酒精）; 米酒;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</si>
  <si>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白居易虎威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</si>
  <si>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富圈金融投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</si>
  <si>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食用酒精;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</si>
  <si>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醉茸</t>
    </r>
    <r>
      <rPr>
        <sz val="11"/>
        <color theme="1"/>
        <rFont val="ＭＳ Ｐゴシック"/>
        <family val="3"/>
        <charset val="134"/>
        <scheme val="minor"/>
      </rPr>
      <t>腾</t>
    </r>
  </si>
  <si>
    <r>
      <t>阜阳茸盛酒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</si>
  <si>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葡萄酒</t>
    </r>
  </si>
  <si>
    <t>南粤桃山</t>
  </si>
  <si>
    <t>黄威力</t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</si>
  <si>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高粱酒; 威士忌;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</si>
  <si>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永不分梨酒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</si>
  <si>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</si>
  <si>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r>
      <t>方寸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樽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</si>
  <si>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沙芸裕希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</si>
  <si>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甜果酒; 葡萄酒; 白酒; 米酒; 高粱酒; 威士忌; 梨酒;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</si>
  <si>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陇</t>
    </r>
    <r>
      <rPr>
        <sz val="11"/>
        <color theme="1"/>
        <rFont val="ＭＳ Ｐゴシック"/>
        <family val="3"/>
        <charset val="128"/>
        <scheme val="minor"/>
      </rPr>
      <t>原明珠</t>
    </r>
    <r>
      <rPr>
        <sz val="11"/>
        <color theme="1"/>
        <rFont val="ＭＳ Ｐゴシック"/>
        <family val="3"/>
        <charset val="134"/>
        <scheme val="minor"/>
      </rPr>
      <t>陇</t>
    </r>
    <r>
      <rPr>
        <sz val="11"/>
        <color theme="1"/>
        <rFont val="ＭＳ Ｐゴシック"/>
        <family val="3"/>
        <charset val="128"/>
        <scheme val="minor"/>
      </rPr>
      <t>原醇</t>
    </r>
  </si>
  <si>
    <t>付承康</t>
  </si>
  <si>
    <r>
      <t>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葡萄酒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</si>
  <si>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潭瑞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</si>
  <si>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彬</t>
    </r>
  </si>
  <si>
    <r>
      <t xml:space="preserve">黄酒; 威士忌;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</t>
    </r>
  </si>
  <si>
    <r>
      <t>金年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</si>
  <si>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</si>
  <si>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逗波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</si>
  <si>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桦</t>
    </r>
    <r>
      <rPr>
        <sz val="11"/>
        <color theme="1"/>
        <rFont val="ＭＳ Ｐゴシック"/>
        <family val="3"/>
        <charset val="128"/>
        <scheme val="minor"/>
      </rPr>
      <t>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</si>
  <si>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朗姆酒; 混合威士忌酒;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</si>
  <si>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猴王</t>
    </r>
  </si>
  <si>
    <t>何福建</t>
  </si>
  <si>
    <r>
      <t xml:space="preserve">果酒（含酒精）; 白酒; 威士忌;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</t>
    </r>
  </si>
  <si>
    <r>
      <t>努加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莱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</si>
  <si>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庆锦</t>
    </r>
    <r>
      <rPr>
        <sz val="11"/>
        <color theme="1"/>
        <rFont val="ＭＳ Ｐゴシック"/>
        <family val="3"/>
        <charset val="128"/>
        <scheme val="minor"/>
      </rPr>
      <t>淳堂酒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</si>
  <si>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餐后酒（利口酒和烈酒）; 葡萄酒; 威士忌;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</si>
  <si>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RICHEBUND</t>
  </si>
  <si>
    <r>
      <t>上海富</t>
    </r>
    <r>
      <rPr>
        <sz val="11"/>
        <color theme="1"/>
        <rFont val="ＭＳ Ｐゴシック"/>
        <family val="3"/>
        <charset val="134"/>
        <scheme val="minor"/>
      </rPr>
      <t>滩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</si>
  <si>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清酒; 伏特加酒; 朗姆酒; 白酒;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</si>
  <si>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麟莎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</si>
  <si>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市国仁投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</si>
  <si>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蜂蜜酒; 葡萄酒; 利口酒;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</si>
  <si>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康金洲</t>
  </si>
  <si>
    <r>
      <t>安康市</t>
    </r>
    <r>
      <rPr>
        <sz val="11"/>
        <color theme="1"/>
        <rFont val="ＭＳ Ｐゴシック"/>
        <family val="3"/>
        <charset val="134"/>
        <scheme val="minor"/>
      </rPr>
      <t>汉滨</t>
    </r>
    <r>
      <rPr>
        <sz val="11"/>
        <color theme="1"/>
        <rFont val="ＭＳ Ｐゴシック"/>
        <family val="3"/>
        <charset val="128"/>
        <scheme val="minor"/>
      </rPr>
      <t>区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源天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</si>
  <si>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</si>
  <si>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宋之梦</t>
  </si>
  <si>
    <r>
      <t>吴人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</si>
  <si>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果酒（含酒精）; 清酒（日本米酒）; 青稞酒; 米酒; 清酒;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白酒</t>
    </r>
  </si>
  <si>
    <t>杞肆</t>
  </si>
  <si>
    <r>
      <t>王桂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</si>
  <si>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</si>
  <si>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付</t>
    </r>
    <r>
      <rPr>
        <sz val="11"/>
        <color theme="1"/>
        <rFont val="ＭＳ Ｐゴシック"/>
        <family val="3"/>
        <charset val="134"/>
        <scheme val="minor"/>
      </rPr>
      <t>晓东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</si>
  <si>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果酒（含酒精）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</si>
  <si>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禾香</t>
    </r>
  </si>
  <si>
    <r>
      <t>朱</t>
    </r>
    <r>
      <rPr>
        <sz val="11"/>
        <color theme="1"/>
        <rFont val="ＭＳ Ｐゴシック"/>
        <family val="3"/>
        <charset val="134"/>
        <scheme val="minor"/>
      </rPr>
      <t>晓辉</t>
    </r>
  </si>
  <si>
    <r>
      <t>黄酒; 葡萄酒;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</si>
  <si>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浮竹</t>
  </si>
  <si>
    <r>
      <t>汾阳市恒</t>
    </r>
    <r>
      <rPr>
        <sz val="11"/>
        <color theme="1"/>
        <rFont val="ＭＳ Ｐゴシック"/>
        <family val="3"/>
        <charset val="134"/>
        <scheme val="minor"/>
      </rPr>
      <t>飞电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</si>
  <si>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利口酒; 果酒（含酒精）; 露酒; 米酒; 开胃酒; 白酒; 高粱酒</t>
    </r>
  </si>
  <si>
    <t>主浮</t>
  </si>
  <si>
    <r>
      <t>河南酒易达商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</si>
  <si>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葡萄酒; 白干酒（中国白酒）; 甜酒; 青稞酒; 老酒(中国蒸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烈酒);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</si>
  <si>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慧</t>
    </r>
    <r>
      <rPr>
        <sz val="11"/>
        <color theme="1"/>
        <rFont val="ＭＳ Ｐゴシック"/>
        <family val="3"/>
        <charset val="134"/>
        <scheme val="minor"/>
      </rPr>
      <t>谦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</si>
  <si>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南共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</si>
  <si>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食用酒精;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清酒（日本米酒）; 葡萄酒; 米酒; 白酒; 白干酒（中国白酒）;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</si>
  <si>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严</t>
    </r>
    <r>
      <rPr>
        <sz val="11"/>
        <color theme="1"/>
        <rFont val="ＭＳ Ｐゴシック"/>
        <family val="3"/>
        <charset val="128"/>
        <scheme val="minor"/>
      </rPr>
      <t>岭</t>
    </r>
  </si>
  <si>
    <r>
      <t>黄山徽猿酒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</si>
  <si>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葡萄酒; 威士忌; 黄酒</t>
    </r>
  </si>
  <si>
    <t>YEGLLE</t>
  </si>
  <si>
    <r>
      <t>杭州悦果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健康科技有限公司</t>
    </r>
  </si>
  <si>
    <r>
      <t>伏特加酒;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</si>
  <si>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夫宝菲庄园</t>
    </r>
  </si>
  <si>
    <r>
      <t>狮</t>
    </r>
    <r>
      <rPr>
        <sz val="11"/>
        <color theme="1"/>
        <rFont val="ＭＳ Ｐゴシック"/>
        <family val="3"/>
        <charset val="128"/>
        <scheme val="minor"/>
      </rPr>
      <t>城博菲城堡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庄</t>
    </r>
  </si>
  <si>
    <r>
      <t>威士忌酒; 葡萄酒; 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朗姆酒</t>
    </r>
  </si>
  <si>
    <t>COLORAMOR</t>
  </si>
  <si>
    <r>
      <t>费</t>
    </r>
    <r>
      <rPr>
        <sz val="11"/>
        <color theme="1"/>
        <rFont val="ＭＳ Ｐゴシック"/>
        <family val="3"/>
        <charset val="128"/>
        <scheme val="minor"/>
      </rPr>
      <t>利佩·德杰西·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瓦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·阿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卡拉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</si>
  <si>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</t>
    </r>
  </si>
  <si>
    <r>
      <t>稻子</t>
    </r>
    <r>
      <rPr>
        <sz val="11"/>
        <color theme="1"/>
        <rFont val="ＭＳ Ｐゴシック"/>
        <family val="3"/>
        <charset val="129"/>
        <scheme val="minor"/>
      </rPr>
      <t>塝</t>
    </r>
  </si>
  <si>
    <r>
      <t>海南春雨先行文化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</si>
  <si>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蜂蜜酒; 葡萄酒; 清酒; 苦艾酒;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</si>
  <si>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内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</si>
  <si>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梨酒</t>
    </r>
  </si>
  <si>
    <t>虞二姚</t>
  </si>
  <si>
    <t>北京新祈市井科技有限公司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</si>
  <si>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黄酒; 食用酒精;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</si>
  <si>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禄</t>
    </r>
    <r>
      <rPr>
        <sz val="11"/>
        <color theme="1"/>
        <rFont val="ＭＳ Ｐゴシック"/>
        <family val="3"/>
        <charset val="134"/>
        <scheme val="minor"/>
      </rPr>
      <t>凤马</t>
    </r>
  </si>
  <si>
    <t>姜治能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</si>
  <si>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甜酒; 果酒;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</si>
  <si>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t>水隶坊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</si>
  <si>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州正</t>
    </r>
    <r>
      <rPr>
        <sz val="11"/>
        <color theme="1"/>
        <rFont val="ＭＳ Ｐゴシック"/>
        <family val="3"/>
        <charset val="134"/>
        <scheme val="minor"/>
      </rPr>
      <t>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</si>
  <si>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葡萄酒; 蜂蜜酒;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</si>
  <si>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质论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</si>
  <si>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市黔柔酒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</si>
  <si>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白干酒（中国白酒）;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</si>
  <si>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海海通</t>
  </si>
  <si>
    <r>
      <t>海南海海通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</si>
  <si>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青稞酒;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黄酒; 食用酒精; 白酒</t>
    </r>
  </si>
  <si>
    <t>棋源清花</t>
  </si>
  <si>
    <t>牛国娥</t>
  </si>
  <si>
    <r>
      <t>开胃酒;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烈酒; 果酒; 葡萄酒; 白酒; 利口酒;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</si>
  <si>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秉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</si>
  <si>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本酒厂有限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</si>
  <si>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日本梅子酒; 青梅酒;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</si>
  <si>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t>牡丹掌柜</t>
  </si>
  <si>
    <r>
      <t>鲍</t>
    </r>
    <r>
      <rPr>
        <sz val="11"/>
        <color theme="1"/>
        <rFont val="ＭＳ Ｐゴシック"/>
        <family val="3"/>
        <charset val="128"/>
        <scheme val="minor"/>
      </rPr>
      <t>惠平</t>
    </r>
  </si>
  <si>
    <r>
      <t>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</si>
  <si>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南紫熙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</si>
  <si>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西紫熙</t>
    </r>
    <r>
      <rPr>
        <sz val="11"/>
        <color theme="1"/>
        <rFont val="ＭＳ Ｐゴシック"/>
        <family val="3"/>
        <charset val="134"/>
        <scheme val="minor"/>
      </rPr>
      <t>农业综</t>
    </r>
    <r>
      <rPr>
        <sz val="11"/>
        <color theme="1"/>
        <rFont val="ＭＳ Ｐゴシック"/>
        <family val="3"/>
        <charset val="128"/>
        <scheme val="minor"/>
      </rPr>
      <t>合开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</si>
  <si>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果酒（含酒精）;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甘蔗制烈酒;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甜酒; 白酒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</si>
  <si>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甜酒;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老酒(中国蒸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烈酒); 青稞酒; 葡萄酒; 果酒（含酒精）</t>
    </r>
  </si>
  <si>
    <r>
      <t>雅士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</si>
  <si>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点包装材料有限公司</t>
    </r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</si>
  <si>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汽酒; 白酒; 青稞酒;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</si>
  <si>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兖龙凤</t>
    </r>
    <r>
      <rPr>
        <sz val="11"/>
        <color theme="1"/>
        <rFont val="ＭＳ Ｐゴシック"/>
        <family val="3"/>
        <charset val="128"/>
        <scheme val="minor"/>
      </rPr>
      <t>宝</t>
    </r>
  </si>
  <si>
    <r>
      <t>郭</t>
    </r>
    <r>
      <rPr>
        <sz val="11"/>
        <color theme="1"/>
        <rFont val="ＭＳ Ｐゴシック"/>
        <family val="3"/>
        <charset val="134"/>
        <scheme val="minor"/>
      </rPr>
      <t>跃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</si>
  <si>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开胃酒; 米酒;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白酒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</si>
  <si>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二十</t>
    </r>
  </si>
  <si>
    <r>
      <t>沛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酣厚酒水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</si>
  <si>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利口酒; 葡萄酒; 米酒; 开胃酒; 清酒（日本米酒）; 黄酒; 梨酒;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</si>
  <si>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郑闫</t>
    </r>
    <r>
      <rPr>
        <sz val="11"/>
        <color theme="1"/>
        <rFont val="ＭＳ Ｐゴシック"/>
        <family val="3"/>
        <charset val="128"/>
        <scheme val="minor"/>
      </rPr>
      <t>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</si>
  <si>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泌阳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双</t>
    </r>
    <r>
      <rPr>
        <sz val="11"/>
        <color theme="1"/>
        <rFont val="ＭＳ Ｐゴシック"/>
        <family val="3"/>
        <charset val="134"/>
        <scheme val="minor"/>
      </rPr>
      <t>庙</t>
    </r>
    <r>
      <rPr>
        <sz val="11"/>
        <color theme="1"/>
        <rFont val="ＭＳ Ｐゴシック"/>
        <family val="3"/>
        <charset val="128"/>
        <scheme val="minor"/>
      </rPr>
      <t>街</t>
    </r>
    <r>
      <rPr>
        <sz val="11"/>
        <color theme="1"/>
        <rFont val="ＭＳ Ｐゴシック"/>
        <family val="3"/>
        <charset val="134"/>
        <scheme val="minor"/>
      </rPr>
      <t>乡闫</t>
    </r>
    <r>
      <rPr>
        <sz val="11"/>
        <color theme="1"/>
        <rFont val="ＭＳ Ｐゴシック"/>
        <family val="3"/>
        <charset val="128"/>
        <scheme val="minor"/>
      </rPr>
      <t>洼村股份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</si>
  <si>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</si>
  <si>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井禾旺</t>
  </si>
  <si>
    <r>
      <t>王井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</si>
  <si>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蒸煮提取物（利口酒和烈酒）;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</si>
  <si>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吴恒和</t>
  </si>
  <si>
    <r>
      <t>李友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</si>
  <si>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 xml:space="preserve">果酒（含酒精）;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</si>
  <si>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随</t>
    </r>
    <r>
      <rPr>
        <sz val="11"/>
        <color theme="1"/>
        <rFont val="ＭＳ Ｐゴシック"/>
        <family val="3"/>
        <charset val="134"/>
        <scheme val="minor"/>
      </rPr>
      <t>陈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</si>
  <si>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向阳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</si>
  <si>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蜂蜜酒; 葡萄酒; 黄酒;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利口酒</t>
    </r>
  </si>
  <si>
    <r>
      <t>积</t>
    </r>
    <r>
      <rPr>
        <sz val="11"/>
        <color theme="1"/>
        <rFont val="ＭＳ Ｐゴシック"/>
        <family val="3"/>
        <charset val="128"/>
        <scheme val="minor"/>
      </rPr>
      <t>益</t>
    </r>
  </si>
  <si>
    <t>胡晨</t>
  </si>
  <si>
    <r>
      <t>茴芹酒（利口酒）;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白葡萄酒; 白酒; 米酒</t>
    </r>
  </si>
  <si>
    <t>厚三十</t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</si>
  <si>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黄酒; 青稞酒; 米酒; 开胃酒; 梨酒; 清酒（日本米酒）</t>
    </r>
  </si>
  <si>
    <t>入喜大吉</t>
  </si>
  <si>
    <r>
      <t>上海竹知</t>
    </r>
    <r>
      <rPr>
        <sz val="11"/>
        <color theme="1"/>
        <rFont val="ＭＳ Ｐゴシック"/>
        <family val="3"/>
        <charset val="134"/>
        <scheme val="minor"/>
      </rPr>
      <t>贤农业发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</si>
  <si>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汽酒; 清酒（日本米酒）; 米酒</t>
    </r>
  </si>
  <si>
    <r>
      <t>布小</t>
    </r>
    <r>
      <rPr>
        <sz val="11"/>
        <color theme="1"/>
        <rFont val="ＭＳ Ｐゴシック"/>
        <family val="3"/>
        <charset val="134"/>
        <scheme val="minor"/>
      </rPr>
      <t>鹅</t>
    </r>
  </si>
  <si>
    <r>
      <t>南通云谷文化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</si>
  <si>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黄酒; 清酒（日本米酒）; 米酒; 白酒; 蜂蜜酒; 梨酒; 苹果酒</t>
    </r>
  </si>
  <si>
    <t>灵夏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</si>
  <si>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西晶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建筑科技有限公司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</si>
  <si>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</t>
    </r>
  </si>
  <si>
    <t>三美慈</t>
  </si>
  <si>
    <r>
      <t>韩</t>
    </r>
    <r>
      <rPr>
        <sz val="11"/>
        <color theme="1"/>
        <rFont val="ＭＳ Ｐゴシック"/>
        <family val="3"/>
        <charset val="128"/>
        <scheme val="minor"/>
      </rPr>
      <t>慧</t>
    </r>
  </si>
  <si>
    <r>
      <t>白酒; 果酒（含酒精）; 葡萄酒;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</si>
  <si>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鉴</t>
    </r>
    <r>
      <rPr>
        <sz val="11"/>
        <color theme="1"/>
        <rFont val="ＭＳ Ｐゴシック"/>
        <family val="3"/>
        <charset val="128"/>
        <scheme val="minor"/>
      </rPr>
      <t>尊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</si>
  <si>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州御洋酒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</si>
  <si>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甜酒; 米酒;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</si>
  <si>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恻</t>
    </r>
    <r>
      <rPr>
        <sz val="11"/>
        <color theme="1"/>
        <rFont val="ＭＳ Ｐゴシック"/>
        <family val="3"/>
        <charset val="128"/>
        <scheme val="minor"/>
      </rPr>
      <t>虎</t>
    </r>
  </si>
  <si>
    <t>福州鼓楼气宗信息科技有限公司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</si>
  <si>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威士忌; 清酒;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</si>
  <si>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协</t>
    </r>
    <r>
      <rPr>
        <sz val="11"/>
        <color theme="1"/>
        <rFont val="ＭＳ Ｐゴシック"/>
        <family val="3"/>
        <charset val="128"/>
        <scheme val="minor"/>
      </rPr>
      <t>和健康科技研究院有限公司</t>
    </r>
  </si>
  <si>
    <r>
      <t>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朗姆酒; 果酒; 米酒; 开胃酒; 麦芽威士忌</t>
    </r>
  </si>
  <si>
    <t>一丈川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</si>
  <si>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铼乐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</si>
  <si>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蜂蜜酒; 食用酒精;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</t>
    </r>
  </si>
  <si>
    <r>
      <t>庄庄小</t>
    </r>
    <r>
      <rPr>
        <sz val="11"/>
        <color theme="1"/>
        <rFont val="ＭＳ Ｐゴシック"/>
        <family val="3"/>
        <charset val="134"/>
        <scheme val="minor"/>
      </rPr>
      <t>镇</t>
    </r>
  </si>
  <si>
    <r>
      <t>北京庄庄小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</si>
  <si>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</si>
  <si>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孤身</t>
  </si>
  <si>
    <r>
      <t>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</si>
  <si>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祥庄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</si>
  <si>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白酒;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</si>
  <si>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醉翁亭不倒翁</t>
  </si>
  <si>
    <t>上海元启宙新能源科技有限公司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</si>
  <si>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</si>
  <si>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潭州</t>
  </si>
  <si>
    <r>
      <t>湖南省辰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术创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</si>
  <si>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蜂蜜酒; 烈酒; 甜酒; 高粱酒;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</si>
  <si>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ZAI HUI SHOU</t>
  </si>
  <si>
    <r>
      <t>林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</si>
  <si>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米酒;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酸酒（低等葡萄酒）; 汽酒; 黄酒; 朗姆酒</t>
    </r>
  </si>
  <si>
    <r>
      <t>孔一</t>
    </r>
    <r>
      <rPr>
        <sz val="11"/>
        <color theme="1"/>
        <rFont val="ＭＳ Ｐゴシック"/>
        <family val="3"/>
        <charset val="134"/>
        <scheme val="minor"/>
      </rPr>
      <t>锅</t>
    </r>
  </si>
  <si>
    <r>
      <t>河南孔一</t>
    </r>
    <r>
      <rPr>
        <sz val="11"/>
        <color theme="1"/>
        <rFont val="ＭＳ Ｐゴシック"/>
        <family val="3"/>
        <charset val="134"/>
        <scheme val="minor"/>
      </rPr>
      <t>锅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</si>
  <si>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开胃酒;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</si>
  <si>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LUCKVINES</t>
  </si>
  <si>
    <r>
      <t>曹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</si>
  <si>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露酒; 烈酒; 白酒; 葡萄酒; 白葡萄酒; 汽酒; 开胃酒; 佐餐酒; 果酒（含酒精）</t>
    </r>
  </si>
  <si>
    <r>
      <t>赏</t>
    </r>
    <r>
      <rPr>
        <sz val="11"/>
        <color theme="1"/>
        <rFont val="ＭＳ Ｐゴシック"/>
        <family val="3"/>
        <charset val="128"/>
        <scheme val="minor"/>
      </rPr>
      <t>瓷</t>
    </r>
  </si>
  <si>
    <r>
      <t>黄酒; 米酒; 葡萄酒; 露酒; 果酒; 汽酒; 青稞酒;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苦味酒</t>
    </r>
  </si>
  <si>
    <r>
      <t>丰小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小胖墩</t>
    </r>
  </si>
  <si>
    <t>王宏超</t>
  </si>
  <si>
    <r>
      <t>果酒（含酒精）; 黄酒;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</si>
  <si>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阳明里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</si>
  <si>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黄酒; 葡萄酒</t>
    </r>
  </si>
  <si>
    <t>遇逅</t>
  </si>
  <si>
    <r>
      <t>广西南宁</t>
    </r>
    <r>
      <rPr>
        <sz val="11"/>
        <color theme="1"/>
        <rFont val="ＭＳ Ｐゴシック"/>
        <family val="3"/>
        <charset val="134"/>
        <scheme val="minor"/>
      </rPr>
      <t>汇发</t>
    </r>
    <r>
      <rPr>
        <sz val="11"/>
        <color theme="1"/>
        <rFont val="ＭＳ Ｐゴシック"/>
        <family val="3"/>
        <charset val="128"/>
        <scheme val="minor"/>
      </rPr>
      <t>置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</si>
  <si>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清酒; 米酒; 葡萄酒; 朗姆酒</t>
    </r>
  </si>
  <si>
    <t>弄江</t>
  </si>
  <si>
    <r>
      <t>果酒（含酒精）;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高粱酒; 白酒</t>
    </r>
  </si>
  <si>
    <r>
      <t>琴江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</si>
  <si>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州聚</t>
    </r>
    <r>
      <rPr>
        <sz val="11"/>
        <color theme="1"/>
        <rFont val="ＭＳ Ｐゴシック"/>
        <family val="3"/>
        <charset val="134"/>
        <scheme val="minor"/>
      </rPr>
      <t>农传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</si>
  <si>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葡萄酒; 含酒精的气泡水;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</si>
  <si>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召</t>
    </r>
    <r>
      <rPr>
        <sz val="11"/>
        <color theme="1"/>
        <rFont val="ＭＳ Ｐゴシック"/>
        <family val="3"/>
        <charset val="134"/>
        <scheme val="minor"/>
      </rPr>
      <t>爱</t>
    </r>
  </si>
  <si>
    <t>王琦******************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</si>
  <si>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清酒;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</si>
  <si>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溪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象醉</t>
    </r>
  </si>
  <si>
    <r>
      <t>玉溪溪</t>
    </r>
    <r>
      <rPr>
        <sz val="11"/>
        <color theme="1"/>
        <rFont val="ＭＳ Ｐゴシック"/>
        <family val="3"/>
        <charset val="134"/>
        <scheme val="minor"/>
      </rPr>
      <t>狮创</t>
    </r>
    <r>
      <rPr>
        <sz val="11"/>
        <color theme="1"/>
        <rFont val="ＭＳ Ｐゴシック"/>
        <family val="3"/>
        <charset val="128"/>
        <scheme val="minor"/>
      </rPr>
      <t>新生物技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</si>
  <si>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麦芽威士忌; 葡萄酒; 白酒; 米酒; 葡萄汽酒</t>
    </r>
  </si>
  <si>
    <r>
      <t>珑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</si>
  <si>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山西雅美商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</si>
  <si>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</si>
  <si>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闵</t>
    </r>
    <r>
      <rPr>
        <sz val="11"/>
        <color theme="1"/>
        <rFont val="ＭＳ Ｐゴシック"/>
        <family val="3"/>
        <charset val="128"/>
        <scheme val="minor"/>
      </rPr>
      <t>和泰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</si>
  <si>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</si>
  <si>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佗</t>
    </r>
    <r>
      <rPr>
        <sz val="11"/>
        <color theme="1"/>
        <rFont val="ＭＳ Ｐゴシック"/>
        <family val="3"/>
        <charset val="134"/>
        <scheme val="minor"/>
      </rPr>
      <t>蕴</t>
    </r>
    <r>
      <rPr>
        <sz val="11"/>
        <color theme="1"/>
        <rFont val="ＭＳ Ｐゴシック"/>
        <family val="3"/>
        <charset val="128"/>
        <scheme val="minor"/>
      </rPr>
      <t>壮</t>
    </r>
  </si>
  <si>
    <r>
      <t>安徽芝酒酒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</si>
  <si>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</si>
  <si>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SAROCHE</t>
  </si>
  <si>
    <r>
      <t>德沙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什品牌有限公司</t>
    </r>
  </si>
  <si>
    <r>
      <t>杜松子酒;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</si>
  <si>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嫣宇醉</t>
  </si>
  <si>
    <r>
      <t>张艳</t>
    </r>
    <r>
      <rPr>
        <sz val="11"/>
        <color theme="1"/>
        <rFont val="ＭＳ Ｐゴシック"/>
        <family val="3"/>
        <charset val="128"/>
        <scheme val="minor"/>
      </rPr>
      <t>宇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</si>
  <si>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</si>
  <si>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琥瑰</t>
  </si>
  <si>
    <r>
      <t>王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</si>
  <si>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青梅酒; 高粱酒; 苹果酒; 白酒;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米酒; 果酒（含酒精）</t>
    </r>
  </si>
  <si>
    <t>草牧里</t>
  </si>
  <si>
    <r>
      <t>深圳德物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养健康科技有限公司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</si>
  <si>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果酒（含酒精）; 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水果汽酒; 葡萄酒</t>
    </r>
  </si>
  <si>
    <r>
      <t>年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恒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</si>
  <si>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州市盒品会包装制品有限公司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</si>
  <si>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</si>
  <si>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彩</t>
    </r>
    <r>
      <rPr>
        <sz val="11"/>
        <color theme="1"/>
        <rFont val="ＭＳ Ｐゴシック"/>
        <family val="3"/>
        <charset val="134"/>
        <scheme val="minor"/>
      </rPr>
      <t>娅鱼</t>
    </r>
  </si>
  <si>
    <r>
      <t>深圳市聚德福酒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</si>
  <si>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甜酒; 白葡萄酒; 高粱酒;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</t>
    </r>
  </si>
  <si>
    <r>
      <t>鲁</t>
    </r>
    <r>
      <rPr>
        <sz val="11"/>
        <color theme="1"/>
        <rFont val="ＭＳ Ｐゴシック"/>
        <family val="3"/>
        <charset val="129"/>
        <scheme val="minor"/>
      </rPr>
      <t>查</t>
    </r>
    <r>
      <rPr>
        <sz val="11"/>
        <color theme="1"/>
        <rFont val="ＭＳ Ｐゴシック"/>
        <family val="3"/>
        <charset val="128"/>
        <scheme val="minor"/>
      </rPr>
      <t>市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</si>
  <si>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金城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</si>
  <si>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</si>
  <si>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门</t>
    </r>
    <r>
      <rPr>
        <sz val="11"/>
        <color theme="1"/>
        <rFont val="ＭＳ Ｐゴシック"/>
        <family val="3"/>
        <charset val="128"/>
        <scheme val="minor"/>
      </rPr>
      <t>臻百福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</si>
  <si>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</t>
    </r>
  </si>
  <si>
    <t>皇兄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</si>
  <si>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白酒; 果酒（含酒精）;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</si>
  <si>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呼白醉湾美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</si>
  <si>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</si>
  <si>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陇</t>
    </r>
    <r>
      <rPr>
        <sz val="11"/>
        <color theme="1"/>
        <rFont val="ＭＳ Ｐゴシック"/>
        <family val="3"/>
        <charset val="128"/>
        <scheme val="minor"/>
      </rPr>
      <t>原明珠</t>
    </r>
    <r>
      <rPr>
        <sz val="11"/>
        <color theme="1"/>
        <rFont val="ＭＳ Ｐゴシック"/>
        <family val="3"/>
        <charset val="134"/>
        <scheme val="minor"/>
      </rPr>
      <t>陇</t>
    </r>
    <r>
      <rPr>
        <sz val="11"/>
        <color theme="1"/>
        <rFont val="ＭＳ Ｐゴシック"/>
        <family val="3"/>
        <charset val="128"/>
        <scheme val="minor"/>
      </rPr>
      <t>原春</t>
    </r>
  </si>
  <si>
    <r>
      <t>葡萄酒; 食用酒精;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</si>
  <si>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利市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</si>
  <si>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华戏</t>
    </r>
    <r>
      <rPr>
        <sz val="11"/>
        <color theme="1"/>
        <rFont val="ＭＳ Ｐゴシック"/>
        <family val="3"/>
        <charset val="128"/>
        <scheme val="minor"/>
      </rPr>
      <t>文化科技集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</si>
  <si>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白酒; 威士忌; 米酒; 食用酒精; 开胃酒; 清酒（日本米酒）</t>
    </r>
  </si>
  <si>
    <t>晓聪</t>
  </si>
  <si>
    <r>
      <t>兰</t>
    </r>
    <r>
      <rPr>
        <sz val="11"/>
        <color theme="1"/>
        <rFont val="ＭＳ Ｐゴシック"/>
        <family val="3"/>
        <charset val="128"/>
        <scheme val="minor"/>
      </rPr>
      <t>陵</t>
    </r>
    <r>
      <rPr>
        <sz val="11"/>
        <color theme="1"/>
        <rFont val="ＭＳ Ｐゴシック"/>
        <family val="3"/>
        <charset val="134"/>
        <scheme val="minor"/>
      </rPr>
      <t>晓聪农业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</si>
  <si>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</si>
  <si>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湘聚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浮情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</si>
  <si>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浮湘聚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</si>
  <si>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苦味酒;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</si>
  <si>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CHILLFORM</t>
  </si>
  <si>
    <r>
      <t>冯</t>
    </r>
    <r>
      <rPr>
        <sz val="11"/>
        <color theme="1"/>
        <rFont val="ＭＳ Ｐゴシック"/>
        <family val="3"/>
        <charset val="128"/>
        <scheme val="minor"/>
      </rPr>
      <t>文俊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</si>
  <si>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</si>
  <si>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桂海堂</t>
  </si>
  <si>
    <r>
      <t>钦</t>
    </r>
    <r>
      <rPr>
        <sz val="11"/>
        <color theme="1"/>
        <rFont val="ＭＳ Ｐゴシック"/>
        <family val="3"/>
        <charset val="128"/>
        <scheme val="minor"/>
      </rPr>
      <t>州市山海食品有限公司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</si>
  <si>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白酒; 葡萄酒; 蒸煮提取物（利口酒和烈酒）; 开胃酒</t>
    </r>
  </si>
  <si>
    <r>
      <t>总</t>
    </r>
    <r>
      <rPr>
        <sz val="11"/>
        <color theme="1"/>
        <rFont val="ＭＳ Ｐゴシック"/>
        <family val="3"/>
        <charset val="128"/>
        <scheme val="minor"/>
      </rPr>
      <t>窖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</si>
  <si>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梨酒;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</si>
  <si>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翰</t>
    </r>
    <r>
      <rPr>
        <sz val="11"/>
        <color theme="1"/>
        <rFont val="ＭＳ Ｐゴシック"/>
        <family val="3"/>
        <charset val="134"/>
        <scheme val="minor"/>
      </rPr>
      <t>阅</t>
    </r>
    <r>
      <rPr>
        <sz val="11"/>
        <color theme="1"/>
        <rFont val="ＭＳ Ｐゴシック"/>
        <family val="3"/>
        <charset val="128"/>
        <scheme val="minor"/>
      </rPr>
      <t>楼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</si>
  <si>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</si>
  <si>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利口酒; 白酒; 果酒（含酒精）; 葡萄酒; 开胃酒</t>
    </r>
  </si>
  <si>
    <t>年陶彩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</si>
  <si>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葡萄酒; 米酒</t>
    </r>
  </si>
  <si>
    <t>修定</t>
  </si>
  <si>
    <r>
      <t>果酒（含酒精）; 利口酒; 开胃酒;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</si>
  <si>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晓</t>
    </r>
    <r>
      <rPr>
        <sz val="11"/>
        <color theme="1"/>
        <rFont val="ＭＳ Ｐゴシック"/>
        <family val="3"/>
        <charset val="128"/>
        <scheme val="minor"/>
      </rPr>
      <t>荷村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</si>
  <si>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开胃酒; 白酒; 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</si>
  <si>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敕造皇家酒坊</t>
  </si>
  <si>
    <r>
      <t>王玉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</si>
  <si>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开胃酒;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</si>
  <si>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t>TOGETHER FOREVER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</si>
  <si>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白酒; 葡萄酒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</si>
  <si>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母山</t>
    </r>
  </si>
  <si>
    <r>
      <t>广西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水河酒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</si>
  <si>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蜂蜜酒; 青稞酒; 利口酒; 高粱酒</t>
    </r>
  </si>
  <si>
    <t>香万疆</t>
  </si>
  <si>
    <r>
      <t>上海咏姿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装有限公司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</si>
  <si>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</si>
  <si>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竞</t>
    </r>
    <r>
      <rPr>
        <sz val="11"/>
        <color theme="1"/>
        <rFont val="ＭＳ Ｐゴシック"/>
        <family val="3"/>
        <charset val="128"/>
        <scheme val="minor"/>
      </rPr>
      <t>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</si>
  <si>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</t>
    </r>
    <r>
      <rPr>
        <sz val="11"/>
        <color theme="1"/>
        <rFont val="ＭＳ Ｐゴシック"/>
        <family val="3"/>
        <charset val="134"/>
        <scheme val="minor"/>
      </rPr>
      <t>竞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</si>
  <si>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薄荷酒;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米酒; 青稞酒; 食用酒精</t>
    </r>
  </si>
  <si>
    <t>勇者无惧</t>
  </si>
  <si>
    <r>
      <t>佛山市渊博企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</si>
  <si>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高粱酒; 白酒; 威士忌; 食用酒精;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</si>
  <si>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GLENQUEEN</t>
  </si>
  <si>
    <t>湖北黑盾品牌管理有限公司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</si>
  <si>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麦芽威士忌; 清酒; 高粱酒; 葡萄酒;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</si>
  <si>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浓</t>
    </r>
    <r>
      <rPr>
        <sz val="11"/>
        <color theme="1"/>
        <rFont val="ＭＳ Ｐゴシック"/>
        <family val="3"/>
        <charset val="128"/>
        <scheme val="minor"/>
      </rPr>
      <t>拳盛品</t>
    </r>
  </si>
  <si>
    <t>余梓元******************</t>
  </si>
  <si>
    <r>
      <t>果酒(含酒精); 食用酒精; 尼瓦(以甘蔗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料);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清酒(日本米酒);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主的除外); 白酒</t>
    </r>
  </si>
  <si>
    <t>聚清元</t>
  </si>
  <si>
    <r>
      <t>邹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</si>
  <si>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威士忌; 米酒; 白酒; 白干酒（中国白酒）;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</si>
  <si>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NOVONESIS</t>
  </si>
  <si>
    <r>
      <t>诺</t>
    </r>
    <r>
      <rPr>
        <sz val="11"/>
        <color theme="1"/>
        <rFont val="ＭＳ Ｐゴシック"/>
        <family val="3"/>
        <charset val="128"/>
        <scheme val="minor"/>
      </rPr>
      <t>和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德公司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</si>
  <si>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</si>
  <si>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AISNIBO</t>
  </si>
  <si>
    <t>林成平</t>
  </si>
  <si>
    <r>
      <t>清酒;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果酒（含酒精）; 威士忌;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</si>
  <si>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甘溪流韵</t>
  </si>
  <si>
    <t>宋安友</t>
  </si>
  <si>
    <r>
      <t>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高粱酒; 果酒; 露酒</t>
    </r>
  </si>
  <si>
    <r>
      <t>成都市大宅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</si>
  <si>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露酒; 高粱酒; 葡萄酒;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白干酒（中国白酒）</t>
    </r>
  </si>
  <si>
    <r>
      <t>圣</t>
    </r>
    <r>
      <rPr>
        <sz val="11"/>
        <color theme="1"/>
        <rFont val="ＭＳ Ｐゴシック"/>
        <family val="3"/>
        <charset val="134"/>
        <scheme val="minor"/>
      </rPr>
      <t>龙圆</t>
    </r>
    <r>
      <rPr>
        <sz val="11"/>
        <color theme="1"/>
        <rFont val="ＭＳ Ｐゴシック"/>
        <family val="3"/>
        <charset val="128"/>
        <scheme val="minor"/>
      </rPr>
      <t>梦 SL131914 YUAN MENG</t>
    </r>
  </si>
  <si>
    <r>
      <t>陈诗</t>
    </r>
    <r>
      <rPr>
        <sz val="11"/>
        <color theme="1"/>
        <rFont val="ＭＳ Ｐゴシック"/>
        <family val="3"/>
        <charset val="128"/>
        <scheme val="minor"/>
      </rPr>
      <t>仁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</si>
  <si>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青稞酒;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甜果酒</t>
    </r>
  </si>
  <si>
    <r>
      <t>龙寻</t>
    </r>
    <r>
      <rPr>
        <sz val="11"/>
        <color theme="1"/>
        <rFont val="ＭＳ Ｐゴシック"/>
        <family val="3"/>
        <charset val="128"/>
        <scheme val="minor"/>
      </rPr>
      <t>致极</t>
    </r>
  </si>
  <si>
    <t>施耀柳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</si>
  <si>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</si>
  <si>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t>金六春</t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</si>
  <si>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大曲酒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</si>
  <si>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</si>
  <si>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邵十三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</si>
  <si>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志尚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</si>
  <si>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梅酒; 葡萄酒;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</si>
  <si>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如痴</t>
  </si>
  <si>
    <r>
      <t>淮北市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本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</si>
  <si>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</si>
  <si>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山真塘</t>
  </si>
  <si>
    <r>
      <t>吉林省王小山商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</si>
  <si>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蒸煮提取物（利口酒和烈酒）;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蜂蜜酒</t>
    </r>
  </si>
  <si>
    <t>浥杏涌</t>
  </si>
  <si>
    <t>山西国青玢花酒文化有限公司</t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</si>
  <si>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</si>
  <si>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州醇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</si>
  <si>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蒸煮提取物（利口酒和烈酒）; 清酒;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葡萄酒</t>
    </r>
  </si>
  <si>
    <t>遵督</t>
  </si>
  <si>
    <t>马刚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</si>
  <si>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葡萄酒; 米酒;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</si>
  <si>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大美大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健康管理有限公司</t>
    </r>
  </si>
  <si>
    <r>
      <t>梅酒; 水果汽酒; 果酒（含酒精）; 葡萄酒;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甜酒</t>
    </r>
  </si>
  <si>
    <r>
      <t>傅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益淳</t>
    </r>
  </si>
  <si>
    <t>刘裕安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</si>
  <si>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葡萄汽酒; 青梅酒; 白干酒（中国白酒）;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</si>
  <si>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文雄</t>
    </r>
  </si>
  <si>
    <r>
      <t>包</t>
    </r>
    <r>
      <rPr>
        <sz val="11"/>
        <color theme="1"/>
        <rFont val="ＭＳ Ｐゴシック"/>
        <family val="3"/>
        <charset val="134"/>
        <scheme val="minor"/>
      </rPr>
      <t>圆圆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</si>
  <si>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</si>
  <si>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宗峻台</t>
  </si>
  <si>
    <t>陶健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</si>
  <si>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葡萄酒; 米酒; 利口酒;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</si>
  <si>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总务</t>
    </r>
    <r>
      <rPr>
        <sz val="11"/>
        <color theme="1"/>
        <rFont val="ＭＳ Ｐゴシック"/>
        <family val="3"/>
        <charset val="128"/>
        <scheme val="minor"/>
      </rPr>
      <t>京</t>
    </r>
    <r>
      <rPr>
        <sz val="11"/>
        <color theme="1"/>
        <rFont val="ＭＳ Ｐゴシック"/>
        <family val="3"/>
        <charset val="134"/>
        <scheme val="minor"/>
      </rPr>
      <t>宾馆</t>
    </r>
  </si>
  <si>
    <r>
      <t>北京中</t>
    </r>
    <r>
      <rPr>
        <sz val="11"/>
        <color theme="1"/>
        <rFont val="ＭＳ Ｐゴシック"/>
        <family val="3"/>
        <charset val="134"/>
        <scheme val="minor"/>
      </rPr>
      <t>总务贸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</si>
  <si>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蒸煮提取物（利口酒和烈酒）; 葡萄酒;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</si>
  <si>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金庭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</si>
  <si>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州双辰益粮油有限公司</t>
    </r>
  </si>
  <si>
    <r>
      <t xml:space="preserve">白酒;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威士忌;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茴香酒（利口酒）; 清酒</t>
    </r>
  </si>
  <si>
    <r>
      <t>恩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懿范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</si>
  <si>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夏陶韵酒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</si>
  <si>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葡萄酒;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</si>
  <si>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艾士泥堡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</si>
  <si>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</si>
  <si>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r>
      <t>苍</t>
    </r>
    <r>
      <rPr>
        <sz val="11"/>
        <color theme="1"/>
        <rFont val="ＭＳ Ｐゴシック"/>
        <family val="3"/>
        <charset val="128"/>
        <scheme val="minor"/>
      </rPr>
      <t>穹醉梦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</si>
  <si>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琴</t>
    </r>
  </si>
  <si>
    <r>
      <t>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</si>
  <si>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粮游醇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</si>
  <si>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闹乐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</si>
  <si>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</si>
  <si>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赢</t>
    </r>
    <r>
      <rPr>
        <sz val="11"/>
        <color theme="1"/>
        <rFont val="ＭＳ Ｐゴシック"/>
        <family val="3"/>
        <charset val="128"/>
        <scheme val="minor"/>
      </rPr>
      <t>新府</t>
    </r>
  </si>
  <si>
    <r>
      <t>朱</t>
    </r>
    <r>
      <rPr>
        <sz val="11"/>
        <color theme="1"/>
        <rFont val="ＭＳ Ｐゴシック"/>
        <family val="3"/>
        <charset val="134"/>
        <scheme val="minor"/>
      </rPr>
      <t>骐</t>
    </r>
    <r>
      <rPr>
        <sz val="11"/>
        <color theme="1"/>
        <rFont val="ＭＳ Ｐゴシック"/>
        <family val="3"/>
        <charset val="128"/>
        <scheme val="minor"/>
      </rPr>
      <t>江</t>
    </r>
  </si>
  <si>
    <r>
      <t>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汽酒; 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</si>
  <si>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昌泰大有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</si>
  <si>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云南昌泰茶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昌泰茶行有限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</si>
  <si>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</si>
  <si>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九慎</t>
  </si>
  <si>
    <r>
      <t>河南德信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</si>
  <si>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开胃酒; 米酒;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</t>
    </r>
  </si>
  <si>
    <t>九步台</t>
  </si>
  <si>
    <t>滕明斌</t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</si>
  <si>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</si>
  <si>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炯晟</t>
  </si>
  <si>
    <r>
      <t>云南焱炯商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</si>
  <si>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利口酒; 蒸煮提取物（利口酒和烈酒）; 茴香酒（利口酒）; 清酒（日本米酒）; 烈酒; 葡萄酒; 白酒</t>
    </r>
  </si>
  <si>
    <t>六䶮</t>
  </si>
  <si>
    <t>尚克成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</si>
  <si>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白酒; 苹果酒</t>
    </r>
  </si>
  <si>
    <t>尚筵</t>
  </si>
  <si>
    <r>
      <t>河南美年</t>
    </r>
    <r>
      <rPr>
        <sz val="11"/>
        <color theme="1"/>
        <rFont val="ＭＳ Ｐゴシック"/>
        <family val="3"/>
        <charset val="134"/>
        <scheme val="minor"/>
      </rPr>
      <t>华实业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</si>
  <si>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利口酒; 青稞酒; 开胃酒;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</si>
  <si>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水墨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彩</t>
    </r>
  </si>
  <si>
    <r>
      <t>广州水墨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彩文化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</si>
  <si>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米酒; 果酒（含酒精）;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</si>
  <si>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亲</t>
    </r>
    <r>
      <rPr>
        <sz val="11"/>
        <color theme="1"/>
        <rFont val="ＭＳ Ｐゴシック"/>
        <family val="3"/>
        <charset val="128"/>
        <scheme val="minor"/>
      </rPr>
      <t>合友</t>
    </r>
  </si>
  <si>
    <t>彭梦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</si>
  <si>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青稞酒; 开胃酒;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</si>
  <si>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四角号</t>
    </r>
    <r>
      <rPr>
        <sz val="11"/>
        <color theme="1"/>
        <rFont val="ＭＳ Ｐゴシック"/>
        <family val="3"/>
        <charset val="134"/>
        <scheme val="minor"/>
      </rPr>
      <t>码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</si>
  <si>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岩金象酒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</si>
  <si>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果酒; 葡萄酒</t>
    </r>
  </si>
  <si>
    <t>杜般来</t>
  </si>
  <si>
    <t>深圳起南文氏科技有限公司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</si>
  <si>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果酒; 白酒; 餐后酒（利口酒和烈酒）;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</si>
  <si>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金玉仙碑</t>
  </si>
  <si>
    <r>
      <t>高粱酒;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</si>
  <si>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和芝</t>
    </r>
  </si>
  <si>
    <r>
      <t>曲靖大洋商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</si>
  <si>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苹果酒; 米酒; 食用酒精; 果酒（含酒精）</t>
    </r>
  </si>
  <si>
    <r>
      <t>昊昱</t>
    </r>
    <r>
      <rPr>
        <sz val="11"/>
        <color theme="1"/>
        <rFont val="ＭＳ Ｐゴシック"/>
        <family val="3"/>
        <charset val="134"/>
        <scheme val="minor"/>
      </rPr>
      <t>览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</si>
  <si>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丁昱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</si>
  <si>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果酒; 水果汽酒; 青稞酒; 白酒; 甜酒; 葡萄酒; 开胃酒</t>
    </r>
  </si>
  <si>
    <r>
      <t>弈</t>
    </r>
    <r>
      <rPr>
        <sz val="11"/>
        <color theme="1"/>
        <rFont val="ＭＳ Ｐゴシック"/>
        <family val="3"/>
        <charset val="134"/>
        <scheme val="minor"/>
      </rPr>
      <t>铺</t>
    </r>
  </si>
  <si>
    <r>
      <t>交城</t>
    </r>
    <r>
      <rPr>
        <sz val="11"/>
        <color theme="1"/>
        <rFont val="ＭＳ Ｐゴシック"/>
        <family val="3"/>
        <charset val="134"/>
        <scheme val="minor"/>
      </rPr>
      <t>县乐</t>
    </r>
    <r>
      <rPr>
        <sz val="11"/>
        <color theme="1"/>
        <rFont val="ＭＳ Ｐゴシック"/>
        <family val="3"/>
        <charset val="128"/>
        <scheme val="minor"/>
      </rPr>
      <t>百盛商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</si>
  <si>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</si>
  <si>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t>杏来李往</t>
  </si>
  <si>
    <r>
      <t>呼和浩特市</t>
    </r>
    <r>
      <rPr>
        <sz val="11"/>
        <color theme="1"/>
        <rFont val="ＭＳ Ｐゴシック"/>
        <family val="3"/>
        <charset val="134"/>
        <scheme val="minor"/>
      </rPr>
      <t>谦</t>
    </r>
    <r>
      <rPr>
        <sz val="11"/>
        <color theme="1"/>
        <rFont val="ＭＳ Ｐゴシック"/>
        <family val="3"/>
        <charset val="128"/>
        <scheme val="minor"/>
      </rPr>
      <t>和果园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光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</si>
  <si>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葡萄酒; 开胃酒; 果酒（含酒精）</t>
    </r>
  </si>
  <si>
    <t>冠群芳金冠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</si>
  <si>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花冠酒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</si>
  <si>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威士忌;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</si>
  <si>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商周</t>
    </r>
    <r>
      <rPr>
        <sz val="11"/>
        <color theme="1"/>
        <rFont val="ＭＳ Ｐゴシック"/>
        <family val="3"/>
        <charset val="134"/>
        <scheme val="minor"/>
      </rPr>
      <t>宫</t>
    </r>
  </si>
  <si>
    <r>
      <t>河北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帝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</si>
  <si>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</si>
  <si>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星</t>
    </r>
    <r>
      <rPr>
        <sz val="11"/>
        <color theme="1"/>
        <rFont val="ＭＳ Ｐゴシック"/>
        <family val="3"/>
        <charset val="134"/>
        <scheme val="minor"/>
      </rPr>
      <t>围宫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</si>
  <si>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黄酒;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威士忌</t>
    </r>
  </si>
  <si>
    <t>古旺酒</t>
  </si>
  <si>
    <t>刘秀秀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</si>
  <si>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梅酒;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</si>
  <si>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医</t>
    </r>
    <r>
      <rPr>
        <sz val="11"/>
        <color theme="1"/>
        <rFont val="ＭＳ Ｐゴシック"/>
        <family val="3"/>
        <charset val="134"/>
        <scheme val="minor"/>
      </rPr>
      <t>贯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</si>
  <si>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北京医</t>
    </r>
    <r>
      <rPr>
        <sz val="11"/>
        <color theme="1"/>
        <rFont val="ＭＳ Ｐゴシック"/>
        <family val="3"/>
        <charset val="134"/>
        <scheme val="minor"/>
      </rPr>
      <t>贯</t>
    </r>
    <r>
      <rPr>
        <sz val="11"/>
        <color theme="1"/>
        <rFont val="ＭＳ Ｐゴシック"/>
        <family val="3"/>
        <charset val="128"/>
        <scheme val="minor"/>
      </rPr>
      <t>堂生物科技有限公司</t>
    </r>
  </si>
  <si>
    <r>
      <t>米酒; 白酒; 清酒;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</si>
  <si>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霏悦樽</t>
  </si>
  <si>
    <r>
      <t>河南倡</t>
    </r>
    <r>
      <rPr>
        <sz val="11"/>
        <color theme="1"/>
        <rFont val="ＭＳ Ｐゴシック"/>
        <family val="3"/>
        <charset val="134"/>
        <scheme val="minor"/>
      </rPr>
      <t>硕实业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</si>
  <si>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</si>
  <si>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佬好仁</t>
  </si>
  <si>
    <t>古意</t>
  </si>
  <si>
    <r>
      <t xml:space="preserve">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黄酒</t>
    </r>
  </si>
  <si>
    <t>至尊炫赫</t>
  </si>
  <si>
    <r>
      <t>宿迁市洋河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美河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</si>
  <si>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米酒; 白酒; 葡萄酒; 伏特加酒;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</t>
    </r>
  </si>
  <si>
    <t>方子星</t>
  </si>
  <si>
    <r>
      <t>汕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市芭莱美服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</si>
  <si>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米酒;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</si>
  <si>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巧黔程</t>
  </si>
  <si>
    <r>
      <t>胡</t>
    </r>
    <r>
      <rPr>
        <sz val="11"/>
        <color theme="1"/>
        <rFont val="ＭＳ Ｐゴシック"/>
        <family val="3"/>
        <charset val="134"/>
        <scheme val="minor"/>
      </rPr>
      <t>晓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</si>
  <si>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开胃酒; 白酒; 高粱酒;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</si>
  <si>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瑾吉台</t>
  </si>
  <si>
    <t>倪振明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</si>
  <si>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蜂蜜酒; 黄酒;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</si>
  <si>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豫味</t>
    </r>
    <r>
      <rPr>
        <sz val="11"/>
        <color theme="1"/>
        <rFont val="ＭＳ Ｐゴシック"/>
        <family val="3"/>
        <charset val="134"/>
        <scheme val="minor"/>
      </rPr>
      <t>标头</t>
    </r>
  </si>
  <si>
    <r>
      <t xml:space="preserve">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</si>
  <si>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井台夜</t>
    </r>
    <r>
      <rPr>
        <sz val="11"/>
        <color theme="1"/>
        <rFont val="ＭＳ Ｐゴシック"/>
        <family val="3"/>
        <charset val="134"/>
        <scheme val="minor"/>
      </rPr>
      <t>谭</t>
    </r>
  </si>
  <si>
    <r>
      <t>谭</t>
    </r>
    <r>
      <rPr>
        <sz val="11"/>
        <color theme="1"/>
        <rFont val="ＭＳ Ｐゴシック"/>
        <family val="3"/>
        <charset val="128"/>
        <scheme val="minor"/>
      </rPr>
      <t>振礼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</si>
  <si>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高粱酒;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黄酒; 白酒; 果酒</t>
    </r>
  </si>
  <si>
    <r>
      <t>匠</t>
    </r>
    <r>
      <rPr>
        <sz val="11"/>
        <color theme="1"/>
        <rFont val="ＭＳ Ｐゴシック"/>
        <family val="3"/>
        <charset val="134"/>
        <scheme val="minor"/>
      </rPr>
      <t>诚张飞</t>
    </r>
  </si>
  <si>
    <r>
      <t>张鸿</t>
    </r>
    <r>
      <rPr>
        <sz val="11"/>
        <color theme="1"/>
        <rFont val="ＭＳ Ｐゴシック"/>
        <family val="3"/>
        <charset val="128"/>
        <scheme val="minor"/>
      </rPr>
      <t>昊</t>
    </r>
  </si>
  <si>
    <r>
      <t>烈酒;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</si>
  <si>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烨</t>
    </r>
    <r>
      <rPr>
        <sz val="11"/>
        <color theme="1"/>
        <rFont val="ＭＳ Ｐゴシック"/>
        <family val="3"/>
        <charset val="128"/>
        <scheme val="minor"/>
      </rPr>
      <t>如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</si>
  <si>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河南阿</t>
    </r>
    <r>
      <rPr>
        <sz val="11"/>
        <color theme="1"/>
        <rFont val="ＭＳ Ｐゴシック"/>
        <family val="3"/>
        <charset val="134"/>
        <scheme val="minor"/>
      </rPr>
      <t>图罗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</si>
  <si>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果酒（含酒精）; 米酒</t>
    </r>
  </si>
  <si>
    <t>果小渡</t>
  </si>
  <si>
    <r>
      <t>胡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</si>
  <si>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 xml:space="preserve">白酒;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开胃酒;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</si>
  <si>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宜</t>
    </r>
  </si>
  <si>
    <t>吴佾凌</t>
  </si>
  <si>
    <r>
      <t xml:space="preserve">果酒（含酒精）;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白酒; 青稞酒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</si>
  <si>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同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</si>
  <si>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上海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势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</si>
  <si>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米酒</t>
    </r>
  </si>
  <si>
    <t>佩肖牌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</si>
  <si>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黄酒; 餐后酒（利口酒和烈酒）;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食用酒精</t>
    </r>
  </si>
  <si>
    <r>
      <t>阿勒坦</t>
    </r>
    <r>
      <rPr>
        <sz val="11"/>
        <color theme="1"/>
        <rFont val="ＭＳ Ｐゴシック"/>
        <family val="3"/>
        <charset val="134"/>
        <scheme val="minor"/>
      </rPr>
      <t>贵宾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</si>
  <si>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内蒙古阿拉坦文化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</si>
  <si>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</t>
    </r>
  </si>
  <si>
    <t>大江涌</t>
  </si>
  <si>
    <r>
      <t>翟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</si>
  <si>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清酒（日本米酒）; 黄酒; 白酒; 果酒（含酒精）;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</si>
  <si>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夏桑园</t>
    </r>
    <r>
      <rPr>
        <sz val="11"/>
        <color theme="1"/>
        <rFont val="ＭＳ Ｐゴシック"/>
        <family val="3"/>
        <charset val="134"/>
        <scheme val="minor"/>
      </rPr>
      <t>严选</t>
    </r>
  </si>
  <si>
    <r>
      <t>深圳市夏桑园酒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</si>
  <si>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威士忌; 混合威士忌酒;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伏特加酒;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</si>
  <si>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高荷台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</si>
  <si>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匠香酒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</si>
  <si>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餐后酒（利口酒和烈酒）;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苹果酒; 露酒</t>
    </r>
  </si>
  <si>
    <t>HAN DONG KUI</t>
  </si>
  <si>
    <t>王法壮</t>
  </si>
  <si>
    <r>
      <t>果酒（含酒精）; 葡萄酒; 伏特加酒;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</si>
  <si>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秉</t>
    </r>
    <r>
      <rPr>
        <sz val="11"/>
        <color theme="1"/>
        <rFont val="ＭＳ Ｐゴシック"/>
        <family val="3"/>
        <charset val="134"/>
        <scheme val="minor"/>
      </rPr>
      <t>质</t>
    </r>
    <r>
      <rPr>
        <sz val="11"/>
        <color theme="1"/>
        <rFont val="ＭＳ Ｐゴシック"/>
        <family val="3"/>
        <charset val="128"/>
        <scheme val="minor"/>
      </rPr>
      <t>台</t>
    </r>
  </si>
  <si>
    <t>深圳突破者科技有限公司</t>
  </si>
  <si>
    <r>
      <t xml:space="preserve">白酒; 蒸煮提取物（利口酒和烈酒）;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高粱酒; 葡萄酒;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</si>
  <si>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刀</t>
    </r>
  </si>
  <si>
    <r>
      <t>四川道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</si>
  <si>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米酒</t>
    </r>
  </si>
  <si>
    <r>
      <t>晓时</t>
    </r>
    <r>
      <rPr>
        <sz val="11"/>
        <color theme="1"/>
        <rFont val="ＭＳ Ｐゴシック"/>
        <family val="3"/>
        <charset val="128"/>
        <scheme val="minor"/>
      </rPr>
      <t>光</t>
    </r>
  </si>
  <si>
    <r>
      <t>大山堡（北京）酒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</si>
  <si>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餐后酒（利口酒和烈酒）;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露酒;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</si>
  <si>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父</t>
    </r>
  </si>
  <si>
    <t>王文君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</si>
  <si>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清酒（日本米酒）; 米酒; 食用酒精;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</si>
  <si>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清沙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友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</si>
  <si>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闫</t>
    </r>
    <r>
      <rPr>
        <sz val="11"/>
        <color theme="1"/>
        <rFont val="ＭＳ Ｐゴシック"/>
        <family val="3"/>
        <charset val="128"/>
        <scheme val="minor"/>
      </rPr>
      <t>月琴</t>
    </r>
  </si>
  <si>
    <r>
      <t xml:space="preserve">开胃酒; 果酒（含酒精）; 葡萄酒; 白酒;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</si>
  <si>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清沙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禧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</si>
  <si>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青稞酒;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黄酒</t>
    </r>
  </si>
  <si>
    <t>馥珮</t>
  </si>
  <si>
    <r>
      <t>宁夏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方裕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酒庄有限公司</t>
    </r>
  </si>
  <si>
    <r>
      <t>甜酒; 利口酒; 果酒; 水果汽酒; 露酒;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白酒; 开胃酒</t>
    </r>
  </si>
  <si>
    <t>岫烟</t>
  </si>
  <si>
    <t>河南常石科技有限公司</t>
  </si>
  <si>
    <r>
      <t xml:space="preserve">果酒; 白酒;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清酒</t>
    </r>
  </si>
  <si>
    <r>
      <t>年宗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</si>
  <si>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锦鸿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</si>
  <si>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黄酒; 白酒; 米酒; 清酒（日本米酒）; 葡萄酒;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</si>
  <si>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肆肆庄园</t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</si>
  <si>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志昂体育有限公司</t>
    </r>
  </si>
  <si>
    <r>
      <t>黄酒; 食用酒精;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</si>
  <si>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大唐乾坤至尊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</si>
  <si>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烈酒; 蜂蜜酒;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</si>
  <si>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ZIASIOT</t>
  </si>
  <si>
    <r>
      <t>上海申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物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网科技有限公司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</si>
  <si>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蒸煮提取物（利口酒和烈酒）; 米酒</t>
    </r>
  </si>
  <si>
    <r>
      <t>禧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</si>
  <si>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韦</t>
    </r>
    <r>
      <rPr>
        <sz val="11"/>
        <color theme="1"/>
        <rFont val="ＭＳ Ｐゴシック"/>
        <family val="3"/>
        <charset val="128"/>
        <scheme val="minor"/>
      </rPr>
      <t>澳</t>
    </r>
  </si>
  <si>
    <r>
      <t>威士忌; 黄酒; 白酒; 清酒（日本米酒）;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</si>
  <si>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镂</t>
    </r>
    <r>
      <rPr>
        <sz val="11"/>
        <color theme="1"/>
        <rFont val="ＭＳ Ｐゴシック"/>
        <family val="3"/>
        <charset val="128"/>
        <scheme val="minor"/>
      </rPr>
      <t>丹</t>
    </r>
  </si>
  <si>
    <r>
      <t>海南内丹医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</si>
  <si>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伏特加酒; 清酒（日本米酒）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</si>
  <si>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草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</si>
  <si>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>英德市科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植物燃料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</si>
  <si>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</si>
  <si>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玓</t>
    </r>
    <r>
      <rPr>
        <sz val="11"/>
        <color theme="1"/>
        <rFont val="ＭＳ Ｐゴシック"/>
        <family val="3"/>
        <charset val="129"/>
        <scheme val="minor"/>
      </rPr>
      <t>瓅</t>
    </r>
  </si>
  <si>
    <r>
      <t>白干酒（中国白酒）;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</si>
  <si>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焱有</t>
    </r>
    <r>
      <rPr>
        <sz val="11"/>
        <color theme="1"/>
        <rFont val="ＭＳ Ｐゴシック"/>
        <family val="3"/>
        <charset val="134"/>
        <scheme val="minor"/>
      </rPr>
      <t>为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</si>
  <si>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利口酒;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茴香酒（利口酒）; 葡萄酒; 米酒; 白酒; 烈酒</t>
    </r>
  </si>
  <si>
    <t>ZHAN ZHAN WANG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</si>
  <si>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</si>
  <si>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莉都</t>
  </si>
  <si>
    <r>
      <t>韦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获</t>
    </r>
  </si>
  <si>
    <r>
      <t>果酒（含酒精）;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杜松子酒;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</si>
  <si>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花中十二客</t>
  </si>
  <si>
    <r>
      <t>江西云知道生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庄园有限公司</t>
    </r>
  </si>
  <si>
    <r>
      <t>青稞酒;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果酒（含酒精）; 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</si>
  <si>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黄新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</si>
  <si>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白干酒（中国白酒）;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</t>
    </r>
  </si>
  <si>
    <t>达布斯</t>
  </si>
  <si>
    <r>
      <t>潘可</t>
    </r>
    <r>
      <rPr>
        <sz val="11"/>
        <color theme="1"/>
        <rFont val="ＭＳ Ｐゴシック"/>
        <family val="3"/>
        <charset val="134"/>
        <scheme val="minor"/>
      </rPr>
      <t>统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</si>
  <si>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</t>
    </r>
  </si>
  <si>
    <t>洞美人</t>
  </si>
  <si>
    <r>
      <t>苏</t>
    </r>
    <r>
      <rPr>
        <sz val="11"/>
        <color theme="1"/>
        <rFont val="ＭＳ Ｐゴシック"/>
        <family val="3"/>
        <charset val="128"/>
        <scheme val="minor"/>
      </rPr>
      <t>学湖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</si>
  <si>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蜂蜜酒;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</si>
  <si>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傅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四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</si>
  <si>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 xml:space="preserve">白酒;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白干酒（中国白酒）; 青梅酒; 葡萄汽酒;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</t>
    </r>
  </si>
  <si>
    <t>聚至要</t>
  </si>
  <si>
    <r>
      <t>满</t>
    </r>
    <r>
      <rPr>
        <sz val="11"/>
        <color theme="1"/>
        <rFont val="ＭＳ Ｐゴシック"/>
        <family val="3"/>
        <charset val="128"/>
        <scheme val="minor"/>
      </rPr>
      <t>建才</t>
    </r>
  </si>
  <si>
    <r>
      <t>葡萄酒; 食用酒精; 果酒;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开胃酒; 白酒; 黄酒</t>
    </r>
  </si>
  <si>
    <t>悦祠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</si>
  <si>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州市善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</si>
  <si>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青稞酒</t>
    </r>
  </si>
  <si>
    <t>田力足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</si>
  <si>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平酒文化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展中心（个人独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</si>
  <si>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黄酒; 白酒;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</si>
  <si>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纵凯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</si>
  <si>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汕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纵凯电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</si>
  <si>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汽酒; 葡萄酒; 利口酒; 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威士忌</t>
    </r>
  </si>
  <si>
    <t>KOSUNOX</t>
  </si>
  <si>
    <t>西安海吉焦生物科技研究院有限公司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</si>
  <si>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</si>
  <si>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蔚莱美</t>
  </si>
  <si>
    <r>
      <t>陈</t>
    </r>
    <r>
      <rPr>
        <sz val="11"/>
        <color theme="1"/>
        <rFont val="ＭＳ Ｐゴシック"/>
        <family val="3"/>
        <charset val="128"/>
        <scheme val="minor"/>
      </rPr>
      <t>志荣</t>
    </r>
  </si>
  <si>
    <r>
      <t>白酒; 葡萄酒;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</si>
  <si>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甘雪醇</t>
  </si>
  <si>
    <r>
      <t>四川甘雪酒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</si>
  <si>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清酒（日本米酒）; 高粱酒; 白酒; 葡萄酒;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</si>
  <si>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艾梵客</t>
  </si>
  <si>
    <r>
      <t>广州金樽酒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</si>
  <si>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薄荷酒;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</si>
  <si>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樽酒旭日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升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</si>
  <si>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州樽酒</t>
    </r>
    <r>
      <rPr>
        <sz val="11"/>
        <color theme="1"/>
        <rFont val="ＭＳ Ｐゴシック"/>
        <family val="3"/>
        <charset val="134"/>
        <scheme val="minor"/>
      </rPr>
      <t>论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</si>
  <si>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</si>
  <si>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雁渠</t>
    </r>
  </si>
  <si>
    <r>
      <t>莘</t>
    </r>
    <r>
      <rPr>
        <sz val="11"/>
        <color theme="1"/>
        <rFont val="ＭＳ Ｐゴシック"/>
        <family val="3"/>
        <charset val="134"/>
        <scheme val="minor"/>
      </rPr>
      <t>县鲁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石磨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</si>
  <si>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葡萄酒; 黄酒;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露酒;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</si>
  <si>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内蒙古青山根酒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</si>
  <si>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葡萄酒; 白酒; 高粱酒; 白干酒（中国白酒）; 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</t>
    </r>
  </si>
  <si>
    <t>点意</t>
  </si>
  <si>
    <r>
      <t>章</t>
    </r>
    <r>
      <rPr>
        <sz val="11"/>
        <color theme="1"/>
        <rFont val="ＭＳ Ｐゴシック"/>
        <family val="3"/>
        <charset val="134"/>
        <scheme val="minor"/>
      </rPr>
      <t>绍</t>
    </r>
    <r>
      <rPr>
        <sz val="11"/>
        <color theme="1"/>
        <rFont val="ＭＳ Ｐゴシック"/>
        <family val="3"/>
        <charset val="128"/>
        <scheme val="minor"/>
      </rPr>
      <t>良</t>
    </r>
  </si>
  <si>
    <r>
      <t>食用酒精; 威士忌;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</si>
  <si>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足泉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</si>
  <si>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庆寻</t>
    </r>
    <r>
      <rPr>
        <sz val="11"/>
        <color theme="1"/>
        <rFont val="ＭＳ Ｐゴシック"/>
        <family val="3"/>
        <charset val="128"/>
        <scheme val="minor"/>
      </rPr>
      <t>伴信息科技有限公司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</si>
  <si>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葡萄酒; 米酒; 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高粱酒</t>
    </r>
  </si>
  <si>
    <t>杯小李</t>
  </si>
  <si>
    <r>
      <t>李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</si>
  <si>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米酒;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</si>
  <si>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肤奇</t>
  </si>
  <si>
    <r>
      <t>赵</t>
    </r>
    <r>
      <rPr>
        <sz val="11"/>
        <color theme="1"/>
        <rFont val="ＭＳ Ｐゴシック"/>
        <family val="3"/>
        <charset val="128"/>
        <scheme val="minor"/>
      </rPr>
      <t>丹</t>
    </r>
  </si>
  <si>
    <t>果酒（含酒精）; 白酒</t>
  </si>
  <si>
    <r>
      <t>梅小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</si>
  <si>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>奥利弗芬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</si>
  <si>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黄酒; 食用酒精;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</t>
    </r>
  </si>
  <si>
    <r>
      <t>浙江原初酒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</si>
  <si>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清酒（日本米酒）; 伏特加酒;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</t>
    </r>
  </si>
  <si>
    <r>
      <t>禧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臻宴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</si>
  <si>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</si>
  <si>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利口酒;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开胃酒</t>
    </r>
  </si>
  <si>
    <r>
      <t>维</t>
    </r>
    <r>
      <rPr>
        <sz val="11"/>
        <color theme="1"/>
        <rFont val="ＭＳ Ｐゴシック"/>
        <family val="3"/>
        <charset val="128"/>
        <scheme val="minor"/>
      </rPr>
      <t>迪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克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</si>
  <si>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祥岩机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</si>
  <si>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利口酒;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</si>
  <si>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酒乙达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</si>
  <si>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中晟丰醇酒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</si>
  <si>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</t>
    </r>
  </si>
  <si>
    <t>鼎福年</t>
  </si>
  <si>
    <t>李慧珍</t>
  </si>
  <si>
    <r>
      <t>白酒; 烈酒; 果酒（含酒精）; 开胃酒; 白干酒（中国白酒）;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</si>
  <si>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酒酉达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</si>
  <si>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白酒; 高粱酒;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</si>
  <si>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法邑廷</t>
  </si>
  <si>
    <r>
      <t>张</t>
    </r>
    <r>
      <rPr>
        <sz val="11"/>
        <color theme="1"/>
        <rFont val="ＭＳ Ｐゴシック"/>
        <family val="3"/>
        <charset val="128"/>
        <scheme val="minor"/>
      </rPr>
      <t>广堂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</si>
  <si>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汽酒; 白酒; 果酒（含酒精）; 伏特加酒; 含酒精的气泡水;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</si>
  <si>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沃德金</t>
  </si>
  <si>
    <r>
      <t>北京中悦久品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</si>
  <si>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黄酒; 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露酒; 伏特加酒</t>
    </r>
  </si>
  <si>
    <t>璧峰</t>
  </si>
  <si>
    <r>
      <t>谢</t>
    </r>
    <r>
      <rPr>
        <sz val="11"/>
        <color theme="1"/>
        <rFont val="ＭＳ Ｐゴシック"/>
        <family val="3"/>
        <charset val="128"/>
        <scheme val="minor"/>
      </rPr>
      <t>科</t>
    </r>
  </si>
  <si>
    <r>
      <t>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</si>
  <si>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虎效堂</t>
  </si>
  <si>
    <r>
      <t>哈利托食品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</si>
  <si>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</si>
  <si>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初台初礼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</si>
  <si>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州粮匠台酒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</si>
  <si>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白干酒（中国白酒）; 食用酒精</t>
    </r>
  </si>
  <si>
    <r>
      <t>玉禾</t>
    </r>
    <r>
      <rPr>
        <sz val="11"/>
        <color theme="1"/>
        <rFont val="ＭＳ Ｐゴシック"/>
        <family val="3"/>
        <charset val="134"/>
        <scheme val="minor"/>
      </rPr>
      <t>圆</t>
    </r>
  </si>
  <si>
    <r>
      <t>宋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玉</t>
    </r>
  </si>
  <si>
    <r>
      <t>青稞酒;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黄酒</t>
    </r>
  </si>
  <si>
    <r>
      <t>云霄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</si>
  <si>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胡向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</si>
  <si>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烈酒;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</si>
  <si>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南酒坊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</si>
  <si>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向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</si>
  <si>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 xml:space="preserve">烈酒;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食用酒精; 果酒</t>
    </r>
  </si>
  <si>
    <r>
      <t>顾</t>
    </r>
    <r>
      <rPr>
        <sz val="11"/>
        <color theme="1"/>
        <rFont val="ＭＳ Ｐゴシック"/>
        <family val="3"/>
        <charset val="128"/>
        <scheme val="minor"/>
      </rPr>
      <t>得</t>
    </r>
  </si>
  <si>
    <r>
      <t>山西后浪酒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</si>
  <si>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清酒;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蜂蜜酒; 果酒; 威士忌</t>
    </r>
  </si>
  <si>
    <r>
      <t>和</t>
    </r>
    <r>
      <rPr>
        <sz val="11"/>
        <color theme="1"/>
        <rFont val="ＭＳ Ｐゴシック"/>
        <family val="3"/>
        <charset val="134"/>
        <scheme val="minor"/>
      </rPr>
      <t>驾</t>
    </r>
  </si>
  <si>
    <t>曹会柱</t>
  </si>
  <si>
    <r>
      <t xml:space="preserve">茴香酒; 葡萄酒; 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清酒（日本米酒）; 黄酒; 威士忌</t>
    </r>
  </si>
  <si>
    <t>夫复</t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</si>
  <si>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烈酒;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</si>
  <si>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焦匠</t>
  </si>
  <si>
    <r>
      <t>佛山市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金商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</si>
  <si>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葡萄酒;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</si>
  <si>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HERESIE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</si>
  <si>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东飞</t>
    </r>
    <r>
      <rPr>
        <sz val="11"/>
        <color theme="1"/>
        <rFont val="ＭＳ Ｐゴシック"/>
        <family val="3"/>
        <charset val="128"/>
        <scheme val="minor"/>
      </rPr>
      <t>卓品牌管理有限公司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</si>
  <si>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</si>
  <si>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凤</t>
    </r>
    <r>
      <rPr>
        <sz val="11"/>
        <color theme="1"/>
        <rFont val="ＭＳ Ｐゴシック"/>
        <family val="3"/>
        <charset val="129"/>
        <scheme val="minor"/>
      </rPr>
      <t>烎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</si>
  <si>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和媛工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</si>
  <si>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苦味酒; 开胃酒; 米酒; 食用酒精; 高粱酒; 果酒（含酒精）</t>
    </r>
  </si>
  <si>
    <t>非凡咖</t>
  </si>
  <si>
    <r>
      <t>福建三存茶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</si>
  <si>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咖啡利口酒; 蜂蜜酒;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白干酒（中国白酒）; 果酒（含酒精）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</si>
  <si>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舟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</si>
  <si>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金方</t>
    </r>
  </si>
  <si>
    <r>
      <t>黄酒; 米酒; 开胃酒; 清酒; 食用酒精;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</t>
    </r>
  </si>
  <si>
    <r>
      <t>楚</t>
    </r>
    <r>
      <rPr>
        <sz val="11"/>
        <color theme="1"/>
        <rFont val="ＭＳ Ｐゴシック"/>
        <family val="3"/>
        <charset val="134"/>
        <scheme val="minor"/>
      </rPr>
      <t>驾</t>
    </r>
  </si>
  <si>
    <r>
      <t xml:space="preserve">米酒; 白酒; 清酒（日本米酒）; 果酒（含酒精）; 茴香酒;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黄酒</t>
    </r>
  </si>
  <si>
    <r>
      <t>淄</t>
    </r>
    <r>
      <rPr>
        <sz val="11"/>
        <color theme="1"/>
        <rFont val="ＭＳ Ｐゴシック"/>
        <family val="3"/>
        <charset val="134"/>
        <scheme val="minor"/>
      </rPr>
      <t>鉴</t>
    </r>
    <r>
      <rPr>
        <sz val="11"/>
        <color theme="1"/>
        <rFont val="ＭＳ Ｐゴシック"/>
        <family val="3"/>
        <charset val="128"/>
        <scheme val="minor"/>
      </rPr>
      <t>白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</si>
  <si>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振波*****************X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</si>
  <si>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</si>
  <si>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秦小果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</si>
  <si>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西美邦五羊建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</si>
  <si>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餐后酒（利口酒和烈酒）;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白酒; 苹果酒; 米酒</t>
    </r>
  </si>
  <si>
    <r>
      <t>洪堡企</t>
    </r>
    <r>
      <rPr>
        <sz val="11"/>
        <color theme="1"/>
        <rFont val="ＭＳ Ｐゴシック"/>
        <family val="3"/>
        <charset val="134"/>
        <scheme val="minor"/>
      </rPr>
      <t>鹅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</si>
  <si>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葡萄酒;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</si>
  <si>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VINA TORNASOL VTE</t>
  </si>
  <si>
    <r>
      <t>葡萄酒;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</si>
  <si>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鲁临</t>
    </r>
    <r>
      <rPr>
        <sz val="11"/>
        <color theme="1"/>
        <rFont val="ＭＳ Ｐゴシック"/>
        <family val="3"/>
        <charset val="128"/>
        <scheme val="minor"/>
      </rPr>
      <t>醇</t>
    </r>
  </si>
  <si>
    <t>国振超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</si>
  <si>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朗姆酒; 白酒; 苹果酒;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</si>
  <si>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敬部</t>
  </si>
  <si>
    <r>
      <t xml:space="preserve">葡萄酒; 白酒; 威士忌; 烈酒; 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茴香酒; 米酒; 果酒（含酒精）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</si>
  <si>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</si>
  <si>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 xml:space="preserve">清酒（日本米酒）; 果酒（含酒精）; 黄酒; 葡萄酒; 茴香酒; 烈酒;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</si>
  <si>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狼</t>
    </r>
    <r>
      <rPr>
        <sz val="11"/>
        <color theme="1"/>
        <rFont val="ＭＳ Ｐゴシック"/>
        <family val="3"/>
        <charset val="129"/>
        <scheme val="minor"/>
      </rPr>
      <t>嚎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</si>
  <si>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 xml:space="preserve">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</si>
  <si>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t>彦寿方</t>
  </si>
  <si>
    <r>
      <t>塞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斯盖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管理（西安）有限公司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</si>
  <si>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烈酒</t>
    </r>
  </si>
  <si>
    <t>LIKEJUJU</t>
  </si>
  <si>
    <t>林壮鑫</t>
  </si>
  <si>
    <t>無し</t>
  </si>
  <si>
    <t>中源物美</t>
  </si>
  <si>
    <r>
      <t>安徽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耕食品科技股份有限公司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</si>
  <si>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梨酒; 清酒（日本米酒）; 米酒; 白酒</t>
    </r>
  </si>
  <si>
    <r>
      <t>犟</t>
    </r>
    <r>
      <rPr>
        <sz val="11"/>
        <color theme="1"/>
        <rFont val="ＭＳ Ｐゴシック"/>
        <family val="3"/>
        <charset val="128"/>
        <scheme val="minor"/>
      </rPr>
      <t>者</t>
    </r>
  </si>
  <si>
    <r>
      <t>寻</t>
    </r>
    <r>
      <rPr>
        <sz val="11"/>
        <color theme="1"/>
        <rFont val="ＭＳ Ｐゴシック"/>
        <family val="3"/>
        <charset val="129"/>
        <scheme val="minor"/>
      </rPr>
      <t>燊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</si>
  <si>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葡萄酒; 食用酒精; 高粱酒; 清酒; 烈酒;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</si>
  <si>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TENGGUOYAN</t>
  </si>
  <si>
    <t>李玲</t>
  </si>
  <si>
    <r>
      <t>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甜果酒;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</si>
  <si>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酒本源</t>
    </r>
    <r>
      <rPr>
        <sz val="11"/>
        <color theme="1"/>
        <rFont val="ＭＳ Ｐゴシック"/>
        <family val="3"/>
        <charset val="134"/>
        <scheme val="minor"/>
      </rPr>
      <t>说</t>
    </r>
  </si>
  <si>
    <r>
      <t>成都四公里半影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</si>
  <si>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食用酒精;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</si>
  <si>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川海楼</t>
  </si>
  <si>
    <r>
      <t>潍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筝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</si>
  <si>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露酒;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</si>
  <si>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福坊王</t>
  </si>
  <si>
    <r>
      <t>石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畅</t>
    </r>
    <r>
      <rPr>
        <sz val="11"/>
        <color theme="1"/>
        <rFont val="ＭＳ Ｐゴシック"/>
        <family val="3"/>
        <charset val="128"/>
        <scheme val="minor"/>
      </rPr>
      <t>米</t>
    </r>
    <r>
      <rPr>
        <sz val="11"/>
        <color theme="1"/>
        <rFont val="ＭＳ Ｐゴシック"/>
        <family val="3"/>
        <charset val="134"/>
        <scheme val="minor"/>
      </rPr>
      <t>张锋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</si>
  <si>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米酒; 葡萄酒; 开胃酒; 白酒;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麦芽威士忌; 果酒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</si>
  <si>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州金汁玉液酒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</si>
  <si>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青稞酒; 威士忌; 伏特加酒;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</si>
  <si>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忬</t>
  </si>
  <si>
    <r>
      <t>李</t>
    </r>
    <r>
      <rPr>
        <sz val="11"/>
        <color theme="1"/>
        <rFont val="ＭＳ Ｐゴシック"/>
        <family val="3"/>
        <charset val="134"/>
        <scheme val="minor"/>
      </rPr>
      <t>华飞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</si>
  <si>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</si>
  <si>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水粮源清花</t>
  </si>
  <si>
    <t>山西省汾阳市水粮源酒厂有限公司</t>
  </si>
  <si>
    <r>
      <t>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</si>
  <si>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水粮源壹号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</si>
  <si>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烈酒; 白干酒（中国白酒）;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</si>
  <si>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晋招福</t>
  </si>
  <si>
    <r>
      <t>山西亟祥酒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</si>
  <si>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苦味酒; 食用酒精; 梨酒; 米酒;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</t>
    </r>
  </si>
  <si>
    <r>
      <t>李宗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·君品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</si>
  <si>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州李宗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</si>
  <si>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白酒;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</si>
  <si>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罗书</t>
    </r>
    <r>
      <rPr>
        <sz val="11"/>
        <color theme="1"/>
        <rFont val="ＭＳ Ｐゴシック"/>
        <family val="3"/>
        <charset val="128"/>
        <scheme val="minor"/>
      </rPr>
      <t>敏</t>
    </r>
  </si>
  <si>
    <r>
      <t>白酒; 葡萄酒; 果酒（含酒精）;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</si>
  <si>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江山脉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</si>
  <si>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东银</t>
    </r>
    <r>
      <rPr>
        <sz val="11"/>
        <color theme="1"/>
        <rFont val="ＭＳ Ｐゴシック"/>
        <family val="3"/>
        <charset val="128"/>
        <scheme val="minor"/>
      </rPr>
      <t>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</si>
  <si>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</si>
  <si>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五福旗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</si>
  <si>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江省秀荣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</si>
  <si>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</si>
  <si>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杏裕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</si>
  <si>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山西将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酒酒厂有限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</si>
  <si>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白酒</t>
    </r>
  </si>
  <si>
    <r>
      <t>当</t>
    </r>
    <r>
      <rPr>
        <sz val="11"/>
        <color theme="1"/>
        <rFont val="ＭＳ Ｐゴシック"/>
        <family val="3"/>
        <charset val="134"/>
        <scheme val="minor"/>
      </rPr>
      <t>观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</si>
  <si>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州国禧茶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</si>
  <si>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果酒</t>
    </r>
  </si>
  <si>
    <r>
      <t>旧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</si>
  <si>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酒城文化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</si>
  <si>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甘蔗制烈酒;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</si>
  <si>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奉天清正</t>
  </si>
  <si>
    <r>
      <t>安悦民宿（阜新市）原生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</si>
  <si>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餐后酒（利口酒和烈酒）;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苹果酒; 白酒; 葡萄酒</t>
    </r>
  </si>
  <si>
    <t>正幸福</t>
  </si>
  <si>
    <r>
      <t>天台聚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</si>
  <si>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清酒; 葡萄酒;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</t>
    </r>
  </si>
  <si>
    <r>
      <t>房</t>
    </r>
    <r>
      <rPr>
        <sz val="11"/>
        <color theme="1"/>
        <rFont val="ＭＳ Ｐゴシック"/>
        <family val="3"/>
        <charset val="134"/>
        <scheme val="minor"/>
      </rPr>
      <t>鲜鲜</t>
    </r>
  </si>
  <si>
    <r>
      <t>湖北省一</t>
    </r>
    <r>
      <rPr>
        <sz val="11"/>
        <color theme="1"/>
        <rFont val="ＭＳ Ｐゴシック"/>
        <family val="3"/>
        <charset val="134"/>
        <scheme val="minor"/>
      </rPr>
      <t>壶时</t>
    </r>
    <r>
      <rPr>
        <sz val="11"/>
        <color theme="1"/>
        <rFont val="ＭＳ Ｐゴシック"/>
        <family val="3"/>
        <charset val="128"/>
        <scheme val="minor"/>
      </rPr>
      <t>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</si>
  <si>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米酒; 白干酒（中国白酒）; 果酒（含酒精）; 蒸煮提取物（利口酒和烈酒）</t>
    </r>
  </si>
  <si>
    <t>三星奉</t>
  </si>
  <si>
    <t>席丹******************</t>
  </si>
  <si>
    <r>
      <t xml:space="preserve">白酒; 威士忌;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</t>
    </r>
  </si>
  <si>
    <t>清平歌</t>
  </si>
  <si>
    <r>
      <t>钟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聪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</si>
  <si>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白酒; 开胃酒; 黄酒</t>
    </r>
  </si>
  <si>
    <r>
      <t>苍峦</t>
    </r>
    <r>
      <rPr>
        <sz val="11"/>
        <color theme="1"/>
        <rFont val="ＭＳ Ｐゴシック"/>
        <family val="3"/>
        <charset val="128"/>
        <scheme val="minor"/>
      </rPr>
      <t>一滴泉</t>
    </r>
  </si>
  <si>
    <r>
      <t>九江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荣食品有限公司</t>
    </r>
  </si>
  <si>
    <r>
      <t>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威士忌;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米酒; 烈酒;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</si>
  <si>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人丰</t>
    </r>
  </si>
  <si>
    <r>
      <t>计</t>
    </r>
    <r>
      <rPr>
        <sz val="11"/>
        <color theme="1"/>
        <rFont val="ＭＳ Ｐゴシック"/>
        <family val="3"/>
        <charset val="128"/>
        <scheme val="minor"/>
      </rPr>
      <t>和国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</si>
  <si>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青稞酒; 汽酒; 白酒; 米酒;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</si>
  <si>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酌既</t>
    </r>
    <r>
      <rPr>
        <sz val="11"/>
        <color theme="1"/>
        <rFont val="ＭＳ Ｐゴシック"/>
        <family val="3"/>
        <charset val="134"/>
        <scheme val="minor"/>
      </rPr>
      <t>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</si>
  <si>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州惜</t>
    </r>
    <r>
      <rPr>
        <sz val="11"/>
        <color theme="1"/>
        <rFont val="ＭＳ Ｐゴシック"/>
        <family val="3"/>
        <charset val="134"/>
        <scheme val="minor"/>
      </rPr>
      <t>诵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</si>
  <si>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白干酒（中国白酒）; 果酒;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</si>
  <si>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雀公子</t>
  </si>
  <si>
    <r>
      <t>唐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弘源(杭州)生物科技有限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</si>
  <si>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伏特加酒;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果酒（含酒精）; 黄酒; 白酒; 佐餐酒</t>
    </r>
  </si>
  <si>
    <t>烟云重</t>
  </si>
  <si>
    <r>
      <t>江西省天韵文化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</si>
  <si>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</t>
    </r>
  </si>
  <si>
    <r>
      <t>瑞及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 xml:space="preserve"> REGIMENDOORS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</si>
  <si>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卡客文化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播（</t>
    </r>
    <r>
      <rPr>
        <sz val="11"/>
        <color theme="1"/>
        <rFont val="ＭＳ Ｐゴシック"/>
        <family val="3"/>
        <charset val="134"/>
        <scheme val="minor"/>
      </rPr>
      <t>潍</t>
    </r>
    <r>
      <rPr>
        <sz val="11"/>
        <color theme="1"/>
        <rFont val="ＭＳ Ｐゴシック"/>
        <family val="3"/>
        <charset val="128"/>
        <scheme val="minor"/>
      </rPr>
      <t>坊）有限公司</t>
    </r>
  </si>
  <si>
    <r>
      <t>威士忌; 伏特加酒;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白酒; 果酒（含酒精）; 米酒; 甜果酒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</si>
  <si>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大胆</t>
    </r>
  </si>
  <si>
    <r>
      <t>霸州市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大胆餐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</t>
    </r>
    <r>
      <rPr>
        <sz val="11"/>
        <color theme="1"/>
        <rFont val="ＭＳ Ｐゴシック"/>
        <family val="3"/>
        <charset val="134"/>
        <scheme val="minor"/>
      </rPr>
      <t>连锁</t>
    </r>
    <r>
      <rPr>
        <sz val="11"/>
        <color theme="1"/>
        <rFont val="ＭＳ Ｐゴシック"/>
        <family val="3"/>
        <charset val="128"/>
        <scheme val="minor"/>
      </rPr>
      <t>有限公司第三分公司</t>
    </r>
  </si>
  <si>
    <r>
      <t>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黄酒; 白酒; 高粱酒; 开胃酒</t>
    </r>
  </si>
  <si>
    <r>
      <t>信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先</t>
    </r>
  </si>
  <si>
    <t>杜祖婷</t>
  </si>
  <si>
    <r>
      <t>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</si>
  <si>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米可香</t>
  </si>
  <si>
    <r>
      <t>广州市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茗拉廷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烟酒茶有限公司</t>
    </r>
  </si>
  <si>
    <r>
      <t>清酒（日本米酒）;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黄酒</t>
    </r>
  </si>
  <si>
    <t>明成启航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</si>
  <si>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州明成启航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</si>
  <si>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</t>
    </r>
  </si>
  <si>
    <r>
      <t>蒙鑫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</si>
  <si>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内蒙古鑫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</si>
  <si>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白酒; 伏特加酒; 葡萄酒; 威士忌; 食用酒精</t>
    </r>
  </si>
  <si>
    <t>悦鞍格</t>
  </si>
  <si>
    <r>
      <t>于真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</si>
  <si>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果酒（含酒精）;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</si>
  <si>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耀</t>
    </r>
    <r>
      <rPr>
        <sz val="11"/>
        <color theme="1"/>
        <rFont val="ＭＳ Ｐゴシック"/>
        <family val="3"/>
        <charset val="134"/>
        <scheme val="minor"/>
      </rPr>
      <t>约</t>
    </r>
  </si>
  <si>
    <t>祧荣聚晟（宁波）品牌管理有限公司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</si>
  <si>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伏特加酒; 青梅酒; 葡萄酒; 威士忌; 米酒; 朗姆酒; 果酒</t>
    </r>
  </si>
  <si>
    <t>米蕊</t>
  </si>
  <si>
    <r>
      <t>孙</t>
    </r>
    <r>
      <rPr>
        <sz val="11"/>
        <color theme="1"/>
        <rFont val="ＭＳ Ｐゴシック"/>
        <family val="3"/>
        <charset val="128"/>
        <scheme val="minor"/>
      </rPr>
      <t>裕</t>
    </r>
    <r>
      <rPr>
        <sz val="11"/>
        <color theme="1"/>
        <rFont val="ＭＳ Ｐゴシック"/>
        <family val="3"/>
        <charset val="134"/>
        <scheme val="minor"/>
      </rPr>
      <t>稳</t>
    </r>
  </si>
  <si>
    <r>
      <t>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</si>
  <si>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凌神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</si>
  <si>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东赛</t>
    </r>
    <r>
      <rPr>
        <sz val="11"/>
        <color theme="1"/>
        <rFont val="ＭＳ Ｐゴシック"/>
        <family val="3"/>
        <charset val="128"/>
        <scheme val="minor"/>
      </rPr>
      <t>裕商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</si>
  <si>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开胃酒; 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</si>
  <si>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福李与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</si>
  <si>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市福李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</si>
  <si>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甘蔗制烈酒;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</si>
  <si>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岭先倬越</t>
  </si>
  <si>
    <r>
      <t>海南岭先酒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</si>
  <si>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黄酒; 白酒; 果酒（含酒精）; 青梅酒; 白葡萄酒;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露酒</t>
    </r>
  </si>
  <si>
    <t>品喜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</si>
  <si>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品喜酒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</si>
  <si>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白干酒（中国白酒）;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威士忌</t>
    </r>
  </si>
  <si>
    <r>
      <t>金甘</t>
    </r>
    <r>
      <rPr>
        <sz val="11"/>
        <color theme="1"/>
        <rFont val="ＭＳ Ｐゴシック"/>
        <family val="3"/>
        <charset val="134"/>
        <scheme val="minor"/>
      </rPr>
      <t>鸽</t>
    </r>
  </si>
  <si>
    <r>
      <t>宁夏青</t>
    </r>
    <r>
      <rPr>
        <sz val="11"/>
        <color theme="1"/>
        <rFont val="ＭＳ Ｐゴシック"/>
        <family val="3"/>
        <charset val="134"/>
        <scheme val="minor"/>
      </rPr>
      <t>铜</t>
    </r>
    <r>
      <rPr>
        <sz val="11"/>
        <color theme="1"/>
        <rFont val="ＭＳ Ｐゴシック"/>
        <family val="3"/>
        <charset val="128"/>
        <scheme val="minor"/>
      </rPr>
      <t>峡市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加妮酒庄有限公司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</si>
  <si>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酸酒（低等葡萄酒）;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</si>
  <si>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三星沉</t>
  </si>
  <si>
    <r>
      <t xml:space="preserve">果酒; 开胃酒; 白酒; 葡萄酒; 米酒;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</si>
  <si>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景</t>
    </r>
    <r>
      <rPr>
        <sz val="11"/>
        <color theme="1"/>
        <rFont val="ＭＳ Ｐゴシック"/>
        <family val="3"/>
        <charset val="134"/>
        <scheme val="minor"/>
      </rPr>
      <t>图</t>
    </r>
  </si>
  <si>
    <r>
      <t>故国神游（舟山）文化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</si>
  <si>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米酒; 果酒（含酒精）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</si>
  <si>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山圣井</t>
    </r>
  </si>
  <si>
    <t>徐延磊</t>
  </si>
  <si>
    <r>
      <t>利口酒;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餐后酒（利口酒和烈酒）; 青稞酒;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</si>
  <si>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碟翠谷</t>
  </si>
  <si>
    <r>
      <t>乔</t>
    </r>
    <r>
      <rPr>
        <sz val="11"/>
        <color theme="1"/>
        <rFont val="ＭＳ Ｐゴシック"/>
        <family val="3"/>
        <charset val="128"/>
        <scheme val="minor"/>
      </rPr>
      <t>金生</t>
    </r>
  </si>
  <si>
    <r>
      <t xml:space="preserve">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蒸煮提取物（利口酒和烈酒）; 米酒; 开胃酒</t>
    </r>
  </si>
  <si>
    <t>巧嘎婆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</si>
  <si>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州斌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</si>
  <si>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高粱酒; 米酒; 果酒; 黄酒; 食用酒精; 白酒;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</si>
  <si>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煦攸汐</t>
  </si>
  <si>
    <r>
      <t>郝文</t>
    </r>
    <r>
      <rPr>
        <sz val="11"/>
        <color theme="1"/>
        <rFont val="ＭＳ Ｐゴシック"/>
        <family val="3"/>
        <charset val="134"/>
        <scheme val="minor"/>
      </rPr>
      <t>举</t>
    </r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</si>
  <si>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</t>
    </r>
  </si>
  <si>
    <r>
      <t>豪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</si>
  <si>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遵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</si>
  <si>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汽酒</t>
    </r>
  </si>
  <si>
    <r>
      <t>深</t>
    </r>
    <r>
      <rPr>
        <sz val="11"/>
        <color theme="1"/>
        <rFont val="ＭＳ Ｐゴシック"/>
        <family val="3"/>
        <charset val="134"/>
        <scheme val="minor"/>
      </rPr>
      <t>势</t>
    </r>
    <r>
      <rPr>
        <sz val="11"/>
        <color theme="1"/>
        <rFont val="ＭＳ Ｐゴシック"/>
        <family val="3"/>
        <charset val="128"/>
        <scheme val="minor"/>
      </rPr>
      <t>·宇知</t>
    </r>
  </si>
  <si>
    <r>
      <t>北京深</t>
    </r>
    <r>
      <rPr>
        <sz val="11"/>
        <color theme="1"/>
        <rFont val="ＭＳ Ｐゴシック"/>
        <family val="3"/>
        <charset val="134"/>
        <scheme val="minor"/>
      </rPr>
      <t>势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</si>
  <si>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白酒; 葡萄酒;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白干酒（中国白酒）; 米酒; 清酒;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烈性干酒</t>
    </r>
  </si>
  <si>
    <t>君丰古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</si>
  <si>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州酣客君丰酒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</si>
  <si>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含酒精的气泡水;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</si>
  <si>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君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熊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</si>
  <si>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茹禾健康科技有限公司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</si>
  <si>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</si>
  <si>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r>
      <t>谜</t>
    </r>
    <r>
      <rPr>
        <sz val="11"/>
        <color theme="1"/>
        <rFont val="ＭＳ Ｐゴシック"/>
        <family val="3"/>
        <charset val="128"/>
        <scheme val="minor"/>
      </rPr>
      <t>思奇</t>
    </r>
  </si>
  <si>
    <r>
      <t>米斯奇夫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品工作室公司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</si>
  <si>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葡萄酒</t>
    </r>
  </si>
  <si>
    <r>
      <t>宗厂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</si>
  <si>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安徽五谷醇酒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</si>
  <si>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果酒; 白干酒（中国白酒）;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</si>
  <si>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遇元气</t>
  </si>
  <si>
    <r>
      <t>焦永</t>
    </r>
    <r>
      <rPr>
        <sz val="11"/>
        <color theme="1"/>
        <rFont val="ＭＳ Ｐゴシック"/>
        <family val="3"/>
        <charset val="134"/>
        <scheme val="minor"/>
      </rPr>
      <t>绪</t>
    </r>
  </si>
  <si>
    <r>
      <t>开胃酒; 利口酒; 白酒; 黄酒; 蜂蜜酒;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葡萄酒</t>
    </r>
  </si>
  <si>
    <t>宗禧御酉</t>
  </si>
  <si>
    <t>牛向宇</t>
  </si>
  <si>
    <r>
      <t>葡萄酒;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甜酒; 果酒</t>
    </r>
  </si>
  <si>
    <t>古艾秘窖</t>
  </si>
  <si>
    <r>
      <t>河北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墨科技有限公司</t>
    </r>
  </si>
  <si>
    <r>
      <t xml:space="preserve">白酒; 高粱酒; 苦艾酒;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米酒; 白干酒（中国白酒）;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</si>
  <si>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观龙</t>
    </r>
    <r>
      <rPr>
        <sz val="11"/>
        <color theme="1"/>
        <rFont val="ＭＳ Ｐゴシック"/>
        <family val="3"/>
        <charset val="128"/>
        <scheme val="minor"/>
      </rPr>
      <t>岭</t>
    </r>
  </si>
  <si>
    <t>刘金岭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</si>
  <si>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米酒; 高粱酒; 白酒;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</si>
  <si>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帅</t>
    </r>
  </si>
  <si>
    <t>古小彬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</si>
  <si>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</si>
  <si>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BLOOM MARKET BY BLOOM</t>
  </si>
  <si>
    <r>
      <t>砾</t>
    </r>
    <r>
      <rPr>
        <sz val="11"/>
        <color theme="1"/>
        <rFont val="ＭＳ Ｐゴシック"/>
        <family val="3"/>
        <charset val="128"/>
        <scheme val="minor"/>
      </rPr>
      <t>璞物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</si>
  <si>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 xml:space="preserve">餐后酒（利口酒和烈酒）;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</si>
  <si>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芹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</si>
  <si>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</si>
  <si>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天地粮曲人法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</si>
  <si>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州全太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</si>
  <si>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果酒（含酒精）;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</si>
  <si>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泽</t>
    </r>
    <r>
      <rPr>
        <sz val="11"/>
        <color theme="1"/>
        <rFont val="ＭＳ Ｐゴシック"/>
        <family val="3"/>
        <charset val="128"/>
        <scheme val="minor"/>
      </rPr>
      <t>景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</si>
  <si>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莞市国煜信息服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</si>
  <si>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白葡萄酒; 白干酒（中国白酒）; 餐后酒（利口酒和烈酒）; 白酒; 高粱酒; 甜酒;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</si>
  <si>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释</t>
    </r>
    <r>
      <rPr>
        <sz val="11"/>
        <color theme="1"/>
        <rFont val="ＭＳ Ｐゴシック"/>
        <family val="3"/>
        <charset val="128"/>
        <scheme val="minor"/>
      </rPr>
      <t>兄好</t>
    </r>
  </si>
  <si>
    <r>
      <t>北京禹凰文化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</si>
  <si>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葡萄酒; 米酒;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</si>
  <si>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黄酒; 餐后酒（利口酒和烈酒）;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白干酒（中国白酒）; 果酒（含酒精）;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</si>
  <si>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秋梧桐韵</t>
  </si>
  <si>
    <r>
      <t>巽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科技（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</si>
  <si>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餐后酒（利口酒和烈酒）;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</si>
  <si>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秋夜</t>
    </r>
    <r>
      <rPr>
        <sz val="11"/>
        <color theme="1"/>
        <rFont val="ＭＳ Ｐゴシック"/>
        <family val="3"/>
        <charset val="134"/>
        <scheme val="minor"/>
      </rPr>
      <t>转</t>
    </r>
    <r>
      <rPr>
        <sz val="11"/>
        <color theme="1"/>
        <rFont val="ＭＳ Ｐゴシック"/>
        <family val="3"/>
        <charset val="128"/>
        <scheme val="minor"/>
      </rPr>
      <t>稠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</si>
  <si>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</si>
  <si>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昌福</t>
    </r>
  </si>
  <si>
    <t>李荷芳</t>
  </si>
  <si>
    <r>
      <t xml:space="preserve">米酒; 黄酒;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青梅酒;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高粱酒</t>
    </r>
  </si>
  <si>
    <r>
      <t>咧壳</t>
    </r>
    <r>
      <rPr>
        <sz val="11"/>
        <color theme="1"/>
        <rFont val="ＭＳ Ｐゴシック"/>
        <family val="3"/>
        <charset val="134"/>
        <scheme val="minor"/>
      </rPr>
      <t>车</t>
    </r>
  </si>
  <si>
    <r>
      <t>湛江市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音文化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</si>
  <si>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蜂蜜酒; 甜果酒; 威士忌;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</si>
  <si>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秋收里</t>
  </si>
  <si>
    <r>
      <t>浙江金耕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稷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</si>
  <si>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米酒;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</si>
  <si>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大盛黔庄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</si>
  <si>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酱馆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</si>
  <si>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清酒（日本米酒）;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</si>
  <si>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金方云典</t>
  </si>
  <si>
    <t>广州速道信息科技有限公司</t>
  </si>
  <si>
    <r>
      <t>葡萄酒; 苹果酒; 柑香酒; 蜂蜜酒; 果酒（含酒精）; 酸酒（低等葡萄酒）;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</si>
  <si>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晋居</t>
    </r>
    <r>
      <rPr>
        <sz val="11"/>
        <color theme="1"/>
        <rFont val="ＭＳ Ｐゴシック"/>
        <family val="3"/>
        <charset val="134"/>
        <scheme val="minor"/>
      </rPr>
      <t>脸</t>
    </r>
  </si>
  <si>
    <r>
      <t>王文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</si>
  <si>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食用酒精; 蒸煮提取物（利口酒和烈酒）; 白酒; 烈酒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</si>
  <si>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谷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</si>
  <si>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区江梓尼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</si>
  <si>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白酒; 米酒;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麦芽威士忌;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黄酒; 开胃酒; 利口酒</t>
    </r>
  </si>
  <si>
    <r>
      <t>琥</t>
    </r>
    <r>
      <rPr>
        <sz val="11"/>
        <color theme="1"/>
        <rFont val="ＭＳ Ｐゴシック"/>
        <family val="3"/>
        <charset val="134"/>
        <scheme val="minor"/>
      </rPr>
      <t>谕</t>
    </r>
  </si>
  <si>
    <r>
      <t>薄荷酒;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朗姆酒;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</si>
  <si>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稻粮花</t>
  </si>
  <si>
    <t>李登登</t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</si>
  <si>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</si>
  <si>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易梯人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</si>
  <si>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南易安梯机</t>
    </r>
    <r>
      <rPr>
        <sz val="11"/>
        <color theme="1"/>
        <rFont val="ＭＳ Ｐゴシック"/>
        <family val="3"/>
        <charset val="134"/>
        <scheme val="minor"/>
      </rPr>
      <t>电设备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</si>
  <si>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白酒;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米酒; 黄酒; 朗姆酒</t>
    </r>
  </si>
  <si>
    <t>炳烺</t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</si>
  <si>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白干酒（中国白酒）;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</si>
  <si>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冬水始冰</t>
  </si>
  <si>
    <r>
      <t>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</si>
  <si>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九湖御</t>
    </r>
    <r>
      <rPr>
        <sz val="11"/>
        <color theme="1"/>
        <rFont val="ＭＳ Ｐゴシック"/>
        <family val="3"/>
        <charset val="134"/>
        <scheme val="minor"/>
      </rPr>
      <t>琼</t>
    </r>
  </si>
  <si>
    <t>曾煜</t>
  </si>
  <si>
    <r>
      <t>梅酒; 葡萄酒;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黄酒; 果酒（含酒精）; 青稞酒; 白酒; 梨酒</t>
    </r>
  </si>
  <si>
    <t>金帆</t>
  </si>
  <si>
    <r>
      <t>四川省宜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春秋酒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</si>
  <si>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葡萄酒; 黄酒;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</si>
  <si>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昭</t>
    </r>
    <r>
      <rPr>
        <sz val="11"/>
        <color theme="1"/>
        <rFont val="ＭＳ Ｐゴシック"/>
        <family val="3"/>
        <charset val="134"/>
        <scheme val="minor"/>
      </rPr>
      <t>财龙</t>
    </r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</si>
  <si>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利口酒</t>
    </r>
  </si>
  <si>
    <t>怒潮</t>
  </si>
  <si>
    <r>
      <t>谢</t>
    </r>
    <r>
      <rPr>
        <sz val="11"/>
        <color theme="1"/>
        <rFont val="ＭＳ Ｐゴシック"/>
        <family val="3"/>
        <charset val="128"/>
        <scheme val="minor"/>
      </rPr>
      <t>毅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</si>
  <si>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杜松子酒; 白酒</t>
    </r>
  </si>
  <si>
    <t>秦杏源</t>
  </si>
  <si>
    <r>
      <t>深圳市西商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</si>
  <si>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</si>
  <si>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鸣</t>
    </r>
    <r>
      <rPr>
        <sz val="11"/>
        <color theme="1"/>
        <rFont val="ＭＳ Ｐゴシック"/>
        <family val="3"/>
        <charset val="128"/>
        <scheme val="minor"/>
      </rPr>
      <t>礼小青花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</si>
  <si>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</si>
  <si>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青稞酒; 蒸煮提取物（利口酒和烈酒）;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</t>
    </r>
  </si>
  <si>
    <r>
      <t>西岭</t>
    </r>
    <r>
      <rPr>
        <sz val="11"/>
        <color theme="1"/>
        <rFont val="ＭＳ Ｐゴシック"/>
        <family val="3"/>
        <charset val="134"/>
        <scheme val="minor"/>
      </rPr>
      <t>飞凤</t>
    </r>
  </si>
  <si>
    <r>
      <t>成都蜀之大商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</si>
  <si>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烈酒;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</si>
  <si>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朗姆酒;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威士忌</t>
    </r>
  </si>
  <si>
    <t>宋坨</t>
  </si>
  <si>
    <r>
      <t>王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廷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</si>
  <si>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</si>
  <si>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r>
      <t>岭先</t>
    </r>
    <r>
      <rPr>
        <sz val="11"/>
        <color theme="1"/>
        <rFont val="ＭＳ Ｐゴシック"/>
        <family val="3"/>
        <charset val="134"/>
        <scheme val="minor"/>
      </rPr>
      <t>晖</t>
    </r>
    <r>
      <rPr>
        <sz val="11"/>
        <color theme="1"/>
        <rFont val="ＭＳ Ｐゴシック"/>
        <family val="3"/>
        <charset val="128"/>
        <scheme val="minor"/>
      </rPr>
      <t>煌</t>
    </r>
  </si>
  <si>
    <r>
      <t>白葡萄酒; 白干酒（中国白酒）;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青梅酒; 青稞酒; 白酒; 果酒（含酒精）;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</si>
  <si>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岐黄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</si>
  <si>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斌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</si>
  <si>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食用酒精;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清酒; 白酒</t>
    </r>
  </si>
  <si>
    <t>西域阿凡提</t>
  </si>
  <si>
    <r>
      <t>新疆西域阿凡提酒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</si>
  <si>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开胃酒; 葡萄酒; 果酒; 黄酒</t>
    </r>
  </si>
  <si>
    <t>钰苏</t>
  </si>
  <si>
    <t>徐八明</t>
  </si>
  <si>
    <r>
      <t xml:space="preserve">果酒（含酒精）; 清酒;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</si>
  <si>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谦</t>
    </r>
    <r>
      <rPr>
        <sz val="11"/>
        <color theme="1"/>
        <rFont val="ＭＳ Ｐゴシック"/>
        <family val="3"/>
        <charset val="128"/>
        <scheme val="minor"/>
      </rPr>
      <t>盛祥</t>
    </r>
  </si>
  <si>
    <t>李国富</t>
  </si>
  <si>
    <r>
      <t xml:space="preserve">开胃酒; 葡萄酒; 米酒; 利口酒;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</si>
  <si>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礼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潭</t>
    </r>
  </si>
  <si>
    <t>任彦瑞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</si>
  <si>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食用酒精;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</si>
  <si>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浮玉笙</t>
  </si>
  <si>
    <r>
      <t>上海常庚网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</si>
  <si>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茴香酒（利口酒）;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梨酒;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茴芹酒（利口酒）</t>
    </r>
  </si>
  <si>
    <t>夏新蝉噪</t>
  </si>
  <si>
    <r>
      <t>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</si>
  <si>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解</t>
    </r>
    <r>
      <rPr>
        <sz val="11"/>
        <color theme="1"/>
        <rFont val="ＭＳ Ｐゴシック"/>
        <family val="3"/>
        <charset val="134"/>
        <scheme val="minor"/>
      </rPr>
      <t>忧</t>
    </r>
  </si>
  <si>
    <r>
      <t>齐齐</t>
    </r>
    <r>
      <rPr>
        <sz val="11"/>
        <color theme="1"/>
        <rFont val="ＭＳ Ｐゴシック"/>
        <family val="3"/>
        <charset val="128"/>
        <scheme val="minor"/>
      </rPr>
      <t>哈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市富</t>
    </r>
    <r>
      <rPr>
        <sz val="11"/>
        <color theme="1"/>
        <rFont val="ＭＳ Ｐゴシック"/>
        <family val="3"/>
        <charset val="134"/>
        <scheme val="minor"/>
      </rPr>
      <t>尔农艺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</si>
  <si>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米酒; 黄酒; 食用酒精; 白干酒（中国白酒）;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</si>
  <si>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慢工天成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</si>
  <si>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南千里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</si>
  <si>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威士忌;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</si>
  <si>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梅香普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</si>
  <si>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广州甲米品匠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</si>
  <si>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梅酒; 青梅酒; 果酒（含酒精）; 米酒; 汽酒; 黄酒; 白酒; 葡萄酒</t>
    </r>
  </si>
  <si>
    <r>
      <t>水洞山酒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</si>
  <si>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北票市小塔子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水洞山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粮酒坊商行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</si>
  <si>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薄荷酒;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白干酒（中国白酒）; 果酒;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</si>
  <si>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裕伏羲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</si>
  <si>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</si>
  <si>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梅好初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</si>
  <si>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白酒; 开胃酒; 烈酒; 葡萄酒; 果酒（含酒精）;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</si>
  <si>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凌伏羲</t>
    </r>
  </si>
  <si>
    <r>
      <t>开胃酒; 高粱酒; 清酒;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</si>
  <si>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夏露新荷</t>
  </si>
  <si>
    <r>
      <t>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</t>
    </r>
  </si>
  <si>
    <t>奉波</t>
  </si>
  <si>
    <r>
      <t>广西澳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</si>
  <si>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葡萄酒; 烈酒</t>
    </r>
  </si>
  <si>
    <r>
      <t>几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里</t>
    </r>
  </si>
  <si>
    <r>
      <t>海南三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那瓦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酒店管理有限公司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</si>
  <si>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蜂蜜酒; 开胃酒; 朗姆酒; 黄酒; 果酒（含酒精）; 清酒（日本米酒）; 威士忌</t>
    </r>
  </si>
  <si>
    <t>紫云城</t>
  </si>
  <si>
    <r>
      <t>津茂国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</si>
  <si>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</si>
  <si>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德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配</t>
    </r>
  </si>
  <si>
    <t>浙江城配食品有限公司</t>
  </si>
  <si>
    <r>
      <t>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开胃酒;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</si>
  <si>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樊宴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</si>
  <si>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立源智能冷却系</t>
    </r>
    <r>
      <rPr>
        <sz val="11"/>
        <color theme="1"/>
        <rFont val="ＭＳ Ｐゴシック"/>
        <family val="3"/>
        <charset val="134"/>
        <scheme val="minor"/>
      </rPr>
      <t>统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</si>
  <si>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米酒; 白酒; 蒸煮提取物（利口酒和烈酒）;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甜酒;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</si>
  <si>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纳</t>
    </r>
    <r>
      <rPr>
        <sz val="11"/>
        <color theme="1"/>
        <rFont val="ＭＳ Ｐゴシック"/>
        <family val="3"/>
        <charset val="128"/>
        <scheme val="minor"/>
      </rPr>
      <t>富清花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</si>
  <si>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万政</t>
    </r>
  </si>
  <si>
    <r>
      <t>清酒;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白酒; 葡萄酒; 食用酒精; 米酒</t>
    </r>
  </si>
  <si>
    <t>CERIOUS AS</t>
  </si>
  <si>
    <r>
      <t>史脉（上海）国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</si>
  <si>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蒸煮提取物（利口酒和烈酒）; 黄酒; 白酒; 清酒（日本米酒）;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</si>
  <si>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双江梦</t>
  </si>
  <si>
    <t>上海圣点品牌管理有限公司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</si>
  <si>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伏特加酒</t>
    </r>
  </si>
  <si>
    <r>
      <t>冬</t>
    </r>
    <r>
      <rPr>
        <sz val="11"/>
        <color theme="1"/>
        <rFont val="ＭＳ Ｐゴシック"/>
        <family val="3"/>
        <charset val="134"/>
        <scheme val="minor"/>
      </rPr>
      <t>苍</t>
    </r>
    <r>
      <rPr>
        <sz val="11"/>
        <color theme="1"/>
        <rFont val="ＭＳ Ｐゴシック"/>
        <family val="3"/>
        <charset val="128"/>
        <scheme val="minor"/>
      </rPr>
      <t>松立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</si>
  <si>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</si>
  <si>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火本源</t>
  </si>
  <si>
    <r>
      <t xml:space="preserve">黄酒; 食用酒精;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</si>
  <si>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勇</t>
    </r>
    <r>
      <rPr>
        <sz val="11"/>
        <color theme="1"/>
        <rFont val="ＭＳ Ｐゴシック"/>
        <family val="3"/>
        <charset val="134"/>
        <scheme val="minor"/>
      </rPr>
      <t>谋</t>
    </r>
  </si>
  <si>
    <r>
      <t>胡小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</si>
  <si>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高粱酒; 米酒;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食用酒精; 白酒; 果酒; 梅酒; 黄酒</t>
    </r>
  </si>
  <si>
    <t>KLIMP</t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</si>
  <si>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李阳服装有限公司</t>
    </r>
  </si>
  <si>
    <r>
      <t xml:space="preserve">米酒;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</si>
  <si>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三星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</si>
  <si>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果酒; 威士忌; 米酒; 开胃酒;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</si>
  <si>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赞满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</si>
  <si>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仰功</t>
    </r>
  </si>
  <si>
    <r>
      <t>黄酒;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</si>
  <si>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t>MEEYUE</t>
  </si>
  <si>
    <r>
      <t>风</t>
    </r>
    <r>
      <rPr>
        <sz val="11"/>
        <color theme="1"/>
        <rFont val="ＭＳ Ｐゴシック"/>
        <family val="3"/>
        <charset val="128"/>
        <scheme val="minor"/>
      </rPr>
      <t>和雅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媒（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</si>
  <si>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</si>
  <si>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珑汉贡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</si>
  <si>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珑实业发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</si>
  <si>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葡萄酒; 米酒; 开胃酒;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</si>
  <si>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黎亭名</t>
  </si>
  <si>
    <r>
      <t>山西神州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</si>
  <si>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开胃酒; 果酒（含酒精）; 白酒;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</si>
  <si>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t>启弘程</t>
  </si>
  <si>
    <r>
      <t>白山市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宝堂参茸有限公司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</si>
  <si>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</si>
  <si>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</si>
  <si>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裕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</si>
  <si>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</si>
  <si>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峰岭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</si>
  <si>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高粱酒;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葡萄酒</t>
    </r>
  </si>
  <si>
    <r>
      <t>甄</t>
    </r>
    <r>
      <rPr>
        <sz val="11"/>
        <color theme="1"/>
        <rFont val="ＭＳ Ｐゴシック"/>
        <family val="3"/>
        <charset val="134"/>
        <scheme val="minor"/>
      </rPr>
      <t>忆</t>
    </r>
    <r>
      <rPr>
        <sz val="11"/>
        <color theme="1"/>
        <rFont val="ＭＳ Ｐゴシック"/>
        <family val="3"/>
        <charset val="128"/>
        <scheme val="minor"/>
      </rPr>
      <t>果酒庄</t>
    </r>
  </si>
  <si>
    <r>
      <t>卡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（河南）有限公司</t>
    </r>
  </si>
  <si>
    <r>
      <t>伏特加酒; 威士忌; 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烈酒; 黄酒</t>
    </r>
  </si>
  <si>
    <r>
      <t>春蝶自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</si>
  <si>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</t>
    </r>
  </si>
  <si>
    <t>水粮源印象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</si>
  <si>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白干酒（中国白酒）; 烈酒;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</si>
  <si>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冬雪夜韵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</si>
  <si>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餐后酒（利口酒和烈酒）;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</si>
  <si>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濮代</t>
  </si>
  <si>
    <r>
      <t>吴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荣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</si>
  <si>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蒸煮提取物（利口酒和烈酒）; 清酒（日本米酒）; 米酒; 黄酒; 白酒; 利口酒</t>
    </r>
  </si>
  <si>
    <t>孤舒</t>
  </si>
  <si>
    <t>王磊</t>
  </si>
  <si>
    <r>
      <t xml:space="preserve">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白酒; 果酒（含酒精）; 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</si>
  <si>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欧普森沃克有限公司</t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</si>
  <si>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青稞酒; 清酒（日本米酒）; 白酒; 葡萄酒; 米酒</t>
    </r>
  </si>
  <si>
    <t>逸星光</t>
  </si>
  <si>
    <r>
      <t>晋江市盾博</t>
    </r>
    <r>
      <rPr>
        <sz val="11"/>
        <color theme="1"/>
        <rFont val="ＭＳ Ｐゴシック"/>
        <family val="3"/>
        <charset val="134"/>
        <scheme val="minor"/>
      </rPr>
      <t>师电</t>
    </r>
    <r>
      <rPr>
        <sz val="11"/>
        <color theme="1"/>
        <rFont val="ＭＳ Ｐゴシック"/>
        <family val="3"/>
        <charset val="128"/>
        <scheme val="minor"/>
      </rPr>
      <t>器有限公司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</si>
  <si>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白酒; 蜂蜜酒; 黄酒; 果酒（含酒精）; 米酒; 清酒（日本米酒）;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</si>
  <si>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文星昌旺</t>
  </si>
  <si>
    <r>
      <t>文星昌旺(海南)文化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</si>
  <si>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果酒; 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果酒（含酒精）</t>
    </r>
  </si>
  <si>
    <t>山水荷色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</si>
  <si>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市孔帝酒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</si>
  <si>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果酒（含酒精）; 黄酒;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</si>
  <si>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深圳市信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兄弟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</si>
  <si>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威士忌;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起泡白葡萄酒;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</si>
  <si>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涪山</t>
  </si>
  <si>
    <r>
      <t>何</t>
    </r>
    <r>
      <rPr>
        <sz val="11"/>
        <color theme="1"/>
        <rFont val="ＭＳ Ｐゴシック"/>
        <family val="3"/>
        <charset val="134"/>
        <scheme val="minor"/>
      </rPr>
      <t>烨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</si>
  <si>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食用酒精; 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</si>
  <si>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颜</t>
    </r>
    <r>
      <rPr>
        <sz val="11"/>
        <color theme="1"/>
        <rFont val="ＭＳ Ｐゴシック"/>
        <family val="3"/>
        <charset val="128"/>
        <scheme val="minor"/>
      </rPr>
      <t>小玫</t>
    </r>
  </si>
  <si>
    <r>
      <t>大理</t>
    </r>
    <r>
      <rPr>
        <sz val="11"/>
        <color theme="1"/>
        <rFont val="ＭＳ Ｐゴシック"/>
        <family val="3"/>
        <charset val="134"/>
        <scheme val="minor"/>
      </rPr>
      <t>诗远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</si>
  <si>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威士忌; 开胃酒; 清酒（日本米酒）;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</si>
  <si>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水本源</t>
  </si>
  <si>
    <r>
      <t>白酒;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利口酒; 葡萄酒; 食用酒精</t>
    </r>
  </si>
  <si>
    <t>JACKALOPE</t>
  </si>
  <si>
    <r>
      <t>凯尔</t>
    </r>
    <r>
      <rPr>
        <sz val="11"/>
        <color theme="1"/>
        <rFont val="ＭＳ Ｐゴシック"/>
        <family val="3"/>
        <charset val="128"/>
        <scheme val="minor"/>
      </rPr>
      <t>特国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交流(北京)有限公司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</si>
  <si>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杜松子酒;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</si>
  <si>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曾阿牛</t>
  </si>
  <si>
    <r>
      <t>成都小粮官酒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</si>
  <si>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梅酒; 高粱酒; 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烈酒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</si>
  <si>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养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</si>
  <si>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梁市离石区大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科技服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</si>
  <si>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汽酒; 葡萄酒;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</t>
    </r>
  </si>
  <si>
    <r>
      <t>吉林大学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白山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源与健康研究院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</si>
  <si>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</si>
  <si>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t>牧童令小金盖</t>
  </si>
  <si>
    <r>
      <t>山西汾禾酒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</si>
  <si>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黄酒; 青稞酒; 蒸煮提取物（利口酒和烈酒）; 白酒; 开胃酒; 食用酒精; 杜松子酒;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</si>
  <si>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竹仙枝</t>
  </si>
  <si>
    <r>
      <t>乐</t>
    </r>
    <r>
      <rPr>
        <sz val="11"/>
        <color theme="1"/>
        <rFont val="ＭＳ Ｐゴシック"/>
        <family val="3"/>
        <charset val="128"/>
        <scheme val="minor"/>
      </rPr>
      <t>山竹仙枝商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</si>
  <si>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青稞酒; 汽酒</t>
    </r>
  </si>
  <si>
    <r>
      <t>团</t>
    </r>
    <r>
      <rPr>
        <sz val="11"/>
        <color theme="1"/>
        <rFont val="ＭＳ Ｐゴシック"/>
        <family val="3"/>
        <charset val="128"/>
        <scheme val="minor"/>
      </rPr>
      <t>扣</t>
    </r>
  </si>
  <si>
    <r>
      <t>河北微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</si>
  <si>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蜂蜜酒; 葡萄酒; 白酒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</si>
  <si>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宝沟</t>
    </r>
  </si>
  <si>
    <t>张伟</t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</si>
  <si>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蜂蜜酒; 食用酒精; 葡萄酒; 高粱酒; 米酒; 青稞酒</t>
    </r>
  </si>
  <si>
    <r>
      <t>懂</t>
    </r>
    <r>
      <rPr>
        <sz val="11"/>
        <color theme="1"/>
        <rFont val="ＭＳ Ｐゴシック"/>
        <family val="3"/>
        <charset val="134"/>
        <scheme val="minor"/>
      </rPr>
      <t>闲</t>
    </r>
  </si>
  <si>
    <r>
      <t>程相</t>
    </r>
    <r>
      <rPr>
        <sz val="11"/>
        <color theme="1"/>
        <rFont val="ＭＳ Ｐゴシック"/>
        <family val="3"/>
        <charset val="134"/>
        <scheme val="minor"/>
      </rPr>
      <t>伦</t>
    </r>
  </si>
  <si>
    <r>
      <t>露酒;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米酒; 果酒; 烈酒; 黄酒</t>
    </r>
  </si>
  <si>
    <t>太佑</t>
  </si>
  <si>
    <r>
      <t>武圣酒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（日照）有限公司</t>
    </r>
  </si>
  <si>
    <r>
      <t>果酒（含酒精）; 白酒; 苦味酒; 伏特加酒; 蜂蜜酒; 开胃酒; 清酒; 威士忌;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</si>
  <si>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湘当友礼</t>
  </si>
  <si>
    <r>
      <t>岳麓山旅游文化开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</si>
  <si>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食用酒精;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</si>
  <si>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龘</t>
    </r>
    <r>
      <rPr>
        <sz val="11"/>
        <color theme="1"/>
        <rFont val="ＭＳ Ｐゴシック"/>
        <family val="3"/>
        <charset val="128"/>
        <scheme val="minor"/>
      </rPr>
      <t>嚞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</si>
  <si>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建祥</t>
    </r>
  </si>
  <si>
    <r>
      <t>米酒; 清酒;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蒸煮提取物（利口酒和烈酒）; 葡萄酒</t>
    </r>
  </si>
  <si>
    <r>
      <t>友</t>
    </r>
    <r>
      <rPr>
        <sz val="11"/>
        <color theme="1"/>
        <rFont val="ＭＳ Ｐゴシック"/>
        <family val="3"/>
        <charset val="134"/>
        <scheme val="minor"/>
      </rPr>
      <t>谊张</t>
    </r>
    <r>
      <rPr>
        <sz val="11"/>
        <color theme="1"/>
        <rFont val="ＭＳ Ｐゴシック"/>
        <family val="3"/>
        <charset val="128"/>
        <scheme val="minor"/>
      </rPr>
      <t>威</t>
    </r>
  </si>
  <si>
    <t>常燕</t>
  </si>
  <si>
    <r>
      <t>白酒;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威士忌; 开胃酒;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</si>
  <si>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t>英凰黔樽</t>
  </si>
  <si>
    <t>黄彧卓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</si>
  <si>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伏特加酒; 白酒; 米酒; 威士忌; 葡萄酒; 清酒（日本米酒）</t>
    </r>
  </si>
  <si>
    <t>酣客家藏珍品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</si>
  <si>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含酒精的气泡水;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葡萄酒</t>
    </r>
  </si>
  <si>
    <r>
      <t>艺</t>
    </r>
    <r>
      <rPr>
        <sz val="11"/>
        <color theme="1"/>
        <rFont val="ＭＳ Ｐゴシック"/>
        <family val="3"/>
        <charset val="128"/>
        <scheme val="minor"/>
      </rPr>
      <t>文小酒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</si>
  <si>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湖南冉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</si>
  <si>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咖啡利口酒; 甜酒; 白酒</t>
    </r>
  </si>
  <si>
    <t>秋生歌</t>
  </si>
  <si>
    <t>何秋生</t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</si>
  <si>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</si>
  <si>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潇</t>
    </r>
    <r>
      <rPr>
        <sz val="11"/>
        <color theme="1"/>
        <rFont val="ＭＳ Ｐゴシック"/>
        <family val="3"/>
        <charset val="128"/>
        <scheme val="minor"/>
      </rPr>
      <t>洒甄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（江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）控股有限公司</t>
    </r>
  </si>
  <si>
    <r>
      <t xml:space="preserve">黄酒;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清酒; 烈酒</t>
    </r>
  </si>
  <si>
    <t>沪君子</t>
  </si>
  <si>
    <r>
      <t xml:space="preserve">果酒（含酒精）; 清酒（日本米酒）; 烈酒;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</si>
  <si>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福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</si>
  <si>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</si>
  <si>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蟹蟹食玩文化有限公司</t>
    </r>
  </si>
  <si>
    <r>
      <t>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</si>
  <si>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曲</t>
    </r>
  </si>
  <si>
    <r>
      <t>开胃酒; 烈酒; 果酒（含酒精）; 黄酒; 白酒;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</si>
  <si>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孤独行</t>
  </si>
  <si>
    <r>
      <t>西双版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晟尚国</t>
    </r>
    <r>
      <rPr>
        <sz val="11"/>
        <color theme="1"/>
        <rFont val="ＭＳ Ｐゴシック"/>
        <family val="3"/>
        <charset val="134"/>
        <scheme val="minor"/>
      </rPr>
      <t>际进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</si>
  <si>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梨酒; 白酒; 开胃酒; 蜂蜜酒; 葡萄酒</t>
    </r>
  </si>
  <si>
    <t>春行舟下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</si>
  <si>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白酒; 果酒（含酒精）;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</si>
  <si>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慰青春</t>
  </si>
  <si>
    <r>
      <t>谱华</t>
    </r>
    <r>
      <rPr>
        <sz val="11"/>
        <color theme="1"/>
        <rFont val="ＭＳ Ｐゴシック"/>
        <family val="3"/>
        <charset val="128"/>
        <scheme val="minor"/>
      </rPr>
      <t>云媒网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</si>
  <si>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</si>
  <si>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海南黔郎天香商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</si>
  <si>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含酒精蛋奶酒</t>
    </r>
  </si>
  <si>
    <t>水粮源老作坊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</si>
  <si>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白干酒（中国白酒）; 果酒（含酒精）; 烈酒</t>
    </r>
  </si>
  <si>
    <t>功夫羊</t>
  </si>
  <si>
    <r>
      <t>巴哈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·阿布力孜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</si>
  <si>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烈性干酒;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清酒;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</t>
    </r>
  </si>
  <si>
    <t>冬瑞雪迎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</si>
  <si>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</si>
  <si>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子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</si>
  <si>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青稞酒; 米酒; 白干酒（中国白酒）; 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</si>
  <si>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r>
      <t>李宗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·珍</t>
    </r>
    <r>
      <rPr>
        <sz val="11"/>
        <color theme="1"/>
        <rFont val="ＭＳ Ｐゴシック"/>
        <family val="3"/>
        <charset val="134"/>
        <scheme val="minor"/>
      </rPr>
      <t>传</t>
    </r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</si>
  <si>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米酒; 汽酒;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</si>
  <si>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宋元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</si>
  <si>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民</t>
    </r>
  </si>
  <si>
    <r>
      <t>白酒; 威士忌; 黄酒; 葡萄酒; 米酒;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</t>
    </r>
  </si>
  <si>
    <r>
      <t>钢</t>
    </r>
    <r>
      <rPr>
        <sz val="11"/>
        <color theme="1"/>
        <rFont val="ＭＳ Ｐゴシック"/>
        <family val="3"/>
        <charset val="128"/>
        <scheme val="minor"/>
      </rPr>
      <t>炮金</t>
    </r>
  </si>
  <si>
    <r>
      <t xml:space="preserve">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杜松子酒; 朗姆酒;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</si>
  <si>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利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福旺</t>
    </r>
  </si>
  <si>
    <r>
      <t>抚</t>
    </r>
    <r>
      <rPr>
        <sz val="11"/>
        <color theme="1"/>
        <rFont val="ＭＳ Ｐゴシック"/>
        <family val="3"/>
        <charset val="128"/>
        <scheme val="minor"/>
      </rPr>
      <t>松</t>
    </r>
    <r>
      <rPr>
        <sz val="11"/>
        <color theme="1"/>
        <rFont val="ＭＳ Ｐゴシック"/>
        <family val="3"/>
        <charset val="134"/>
        <scheme val="minor"/>
      </rPr>
      <t>县龙</t>
    </r>
    <r>
      <rPr>
        <sz val="11"/>
        <color theme="1"/>
        <rFont val="ＭＳ Ｐゴシック"/>
        <family val="3"/>
        <charset val="128"/>
        <scheme val="minor"/>
      </rPr>
      <t>盛参茸有限公司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</si>
  <si>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果酒（含酒精）; 白酒; 刺五加酒;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</si>
  <si>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BII</t>
  </si>
  <si>
    <t>河北一然生物科技股份有限公司</t>
  </si>
  <si>
    <r>
      <t>甜果酒;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</t>
    </r>
  </si>
  <si>
    <t>仙行天下</t>
  </si>
  <si>
    <r>
      <t>袁永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</si>
  <si>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 xml:space="preserve">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黄酒; 果酒（含酒精）; 葡萄酒; 米酒; 青稞酒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</si>
  <si>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清酒（日本米酒）;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</si>
  <si>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和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</si>
  <si>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东鲜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信息科技有限公司</t>
    </r>
  </si>
  <si>
    <r>
      <t>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</si>
  <si>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夏扑流</t>
    </r>
    <r>
      <rPr>
        <sz val="11"/>
        <color theme="1"/>
        <rFont val="ＭＳ Ｐゴシック"/>
        <family val="3"/>
        <charset val="134"/>
        <scheme val="minor"/>
      </rPr>
      <t>莹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</si>
  <si>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餐后酒（利口酒和烈酒）; 白酒; 果酒（含酒精）</t>
    </r>
  </si>
  <si>
    <t>SCHIEFERBERG</t>
  </si>
  <si>
    <t>恩斯特-弗里德里希·洛森</t>
  </si>
  <si>
    <r>
      <t>葡萄酒; 白葡萄酒;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</si>
  <si>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沧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骄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</si>
  <si>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清酒; 葡萄酒; 果酒; 白酒</t>
    </r>
  </si>
  <si>
    <t>鹿火客</t>
  </si>
  <si>
    <r>
      <t>周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</si>
  <si>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</si>
  <si>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白鹿客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</si>
  <si>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</t>
    </r>
  </si>
  <si>
    <t>滇沙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</si>
  <si>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</si>
  <si>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t>上德</t>
  </si>
  <si>
    <r>
      <t>云南泰有味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</si>
  <si>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黄酒; 果酒（含酒精）;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</si>
  <si>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子曰吉亨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</si>
  <si>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望岳供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</si>
  <si>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果酒（含酒精）</t>
    </r>
  </si>
  <si>
    <r>
      <t>胜</t>
    </r>
    <r>
      <rPr>
        <sz val="11"/>
        <color theme="1"/>
        <rFont val="ＭＳ Ｐゴシック"/>
        <family val="3"/>
        <charset val="128"/>
        <scheme val="minor"/>
      </rPr>
      <t>者荣耀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</si>
  <si>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子辰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</si>
  <si>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果酒; 米酒; 汽酒; 黄酒; 葡萄酒</t>
    </r>
  </si>
  <si>
    <r>
      <t>呼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魅力</t>
    </r>
  </si>
  <si>
    <r>
      <t>呼</t>
    </r>
    <r>
      <rPr>
        <sz val="11"/>
        <color theme="1"/>
        <rFont val="ＭＳ Ｐゴシック"/>
        <family val="3"/>
        <charset val="134"/>
        <scheme val="minor"/>
      </rPr>
      <t>伦贝尔</t>
    </r>
    <r>
      <rPr>
        <sz val="11"/>
        <color theme="1"/>
        <rFont val="ＭＳ Ｐゴシック"/>
        <family val="3"/>
        <charset val="128"/>
        <scheme val="minor"/>
      </rPr>
      <t>市正天佑商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</si>
  <si>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果酒（含酒精）; 蒸煮提取物（利口酒和烈酒）;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</si>
  <si>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聚仙池</t>
  </si>
  <si>
    <r>
      <t xml:space="preserve">白酒; 清酒;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葡萄酒; 黄酒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</si>
  <si>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大</t>
    </r>
  </si>
  <si>
    <t>王高宝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</si>
  <si>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开胃酒; 米酒;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</si>
  <si>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韶光里</t>
  </si>
  <si>
    <r>
      <t>河南仰韶酒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</si>
  <si>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</t>
    </r>
  </si>
  <si>
    <r>
      <t>和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</si>
  <si>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>北京和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利餐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</si>
  <si>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开胃酒;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汽酒; 白酒</t>
    </r>
  </si>
  <si>
    <r>
      <t>衡昌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坊境界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</si>
  <si>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白酒; 白干酒（中国白酒）;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</si>
  <si>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晋良美瑜</t>
  </si>
  <si>
    <r>
      <t>山西晋瑜酒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</si>
  <si>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</si>
  <si>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公韵</t>
  </si>
  <si>
    <r>
      <t>钟</t>
    </r>
    <r>
      <rPr>
        <sz val="11"/>
        <color theme="1"/>
        <rFont val="ＭＳ Ｐゴシック"/>
        <family val="3"/>
        <charset val="128"/>
        <scheme val="minor"/>
      </rPr>
      <t>海波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</si>
  <si>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高粱酒; 果酒; 黄酒;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</si>
  <si>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PTWOBA</t>
  </si>
  <si>
    <t>凌光灼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</si>
  <si>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</t>
    </r>
  </si>
  <si>
    <r>
      <t>卓通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</t>
    </r>
  </si>
  <si>
    <r>
      <t>北京卓通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</si>
  <si>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果酒; 果酒（含酒精）; 黄酒;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</t>
    </r>
  </si>
  <si>
    <r>
      <t>洣</t>
    </r>
    <r>
      <rPr>
        <sz val="11"/>
        <color theme="1"/>
        <rFont val="ＭＳ Ｐゴシック"/>
        <family val="3"/>
        <charset val="128"/>
        <scheme val="minor"/>
      </rPr>
      <t>石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</si>
  <si>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欧粮源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</si>
  <si>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开胃酒; 威士忌;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</si>
  <si>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桂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</si>
  <si>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</t>
    </r>
  </si>
  <si>
    <t>嘉海博</t>
  </si>
  <si>
    <r>
      <t>南京嘉海博烟酒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</si>
  <si>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威士忌; 米酒; 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</si>
  <si>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山王小高</t>
  </si>
  <si>
    <t>吉林省山王食品有限公司</t>
  </si>
  <si>
    <r>
      <t xml:space="preserve">白干酒（中国白酒）;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食用酒精;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</si>
  <si>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馥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</si>
  <si>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浩斌</t>
    </r>
  </si>
  <si>
    <r>
      <t>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烈酒; 清酒（日本米酒）; 果酒（含酒精）; 葡萄酒</t>
    </r>
  </si>
  <si>
    <t>WORKSOUL</t>
  </si>
  <si>
    <t>丁炬</t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</si>
  <si>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薄荷酒; 威士忌; 朗姆酒</t>
    </r>
  </si>
  <si>
    <r>
      <t>神秘狂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</si>
  <si>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雅盛供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</si>
  <si>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</si>
  <si>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腾龙</t>
    </r>
    <r>
      <rPr>
        <sz val="11"/>
        <color theme="1"/>
        <rFont val="ＭＳ Ｐゴシック"/>
        <family val="3"/>
        <charset val="128"/>
        <scheme val="minor"/>
      </rPr>
      <t>祈福</t>
    </r>
  </si>
  <si>
    <r>
      <t>内蒙古隆</t>
    </r>
    <r>
      <rPr>
        <sz val="11"/>
        <color theme="1"/>
        <rFont val="ＭＳ Ｐゴシック"/>
        <family val="3"/>
        <charset val="134"/>
        <scheme val="minor"/>
      </rPr>
      <t>韦</t>
    </r>
    <r>
      <rPr>
        <sz val="11"/>
        <color theme="1"/>
        <rFont val="ＭＳ Ｐゴシック"/>
        <family val="3"/>
        <charset val="128"/>
        <scheme val="minor"/>
      </rPr>
      <t>智能商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</si>
  <si>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葡萄酒; 米酒; 高粱酒; 食用酒精</t>
    </r>
  </si>
  <si>
    <t>CATVE</t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</si>
  <si>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春市未来猫生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</si>
  <si>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利口酒; 威士忌; 白酒; 清酒; 烈酒</t>
    </r>
  </si>
  <si>
    <t>神凰天佑</t>
  </si>
  <si>
    <r>
      <t>成都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尚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</si>
  <si>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食用酒精; 开胃酒;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威士忌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</si>
  <si>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龙宫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</si>
  <si>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苹果酒;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米酒</t>
    </r>
  </si>
  <si>
    <t>HOUSEYOU</t>
  </si>
  <si>
    <r>
      <t>松雷国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</si>
  <si>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</si>
  <si>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t>好一磐</t>
  </si>
  <si>
    <t>吕宾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</si>
  <si>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黄酒; 白酒; 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</si>
  <si>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权</t>
    </r>
    <r>
      <rPr>
        <sz val="11"/>
        <color theme="1"/>
        <rFont val="ＭＳ Ｐゴシック"/>
        <family val="3"/>
        <charset val="128"/>
        <scheme val="minor"/>
      </rPr>
      <t>昱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</si>
  <si>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昱台酒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</si>
  <si>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</t>
    </r>
  </si>
  <si>
    <r>
      <t>愉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</si>
  <si>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韦</t>
    </r>
    <r>
      <rPr>
        <sz val="11"/>
        <color theme="1"/>
        <rFont val="ＭＳ Ｐゴシック"/>
        <family val="3"/>
        <charset val="128"/>
        <scheme val="minor"/>
      </rPr>
      <t>柳</t>
    </r>
    <r>
      <rPr>
        <sz val="11"/>
        <color theme="1"/>
        <rFont val="ＭＳ Ｐゴシック"/>
        <family val="3"/>
        <charset val="134"/>
        <scheme val="minor"/>
      </rPr>
      <t>连</t>
    </r>
  </si>
  <si>
    <r>
      <t>果酒（含酒精）; 开胃酒; 清酒（日本米酒）;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黄酒;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</si>
  <si>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小草</t>
    </r>
  </si>
  <si>
    <t>任芳霆</t>
  </si>
  <si>
    <r>
      <t xml:space="preserve">清酒（日本米酒）;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苹果酒; 葡萄酒; 汽酒</t>
    </r>
  </si>
  <si>
    <r>
      <t>晟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</si>
  <si>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州雷山松氏酒庄有限公司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</si>
  <si>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苦味酒;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</si>
  <si>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阿D呀</t>
  </si>
  <si>
    <r>
      <t>山西阳府井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</si>
  <si>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含酒精的气泡水; 高粱酒; 果酒（含酒精）;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</si>
  <si>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鲸杨</t>
  </si>
  <si>
    <t>李依柔</t>
  </si>
  <si>
    <r>
      <t>烈酒; 清酒; 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苹果酒; 白干酒（中国白酒）</t>
    </r>
  </si>
  <si>
    <t>筑春翔</t>
  </si>
  <si>
    <t>沈航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</si>
  <si>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</t>
    </r>
  </si>
  <si>
    <t>BLANCGI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</si>
  <si>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州白极酒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</si>
  <si>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</si>
  <si>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瑞</t>
    </r>
    <r>
      <rPr>
        <sz val="11"/>
        <color theme="1"/>
        <rFont val="ＭＳ Ｐゴシック"/>
        <family val="3"/>
        <charset val="134"/>
        <scheme val="minor"/>
      </rPr>
      <t>鹅农场</t>
    </r>
  </si>
  <si>
    <r>
      <t>上海瑞</t>
    </r>
    <r>
      <rPr>
        <sz val="11"/>
        <color theme="1"/>
        <rFont val="ＭＳ Ｐゴシック"/>
        <family val="3"/>
        <charset val="134"/>
        <scheme val="minor"/>
      </rPr>
      <t>鹅农业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</si>
  <si>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利口酒; 苦味酒;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开胃酒;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</t>
    </r>
  </si>
  <si>
    <t>中黛</t>
  </si>
  <si>
    <r>
      <t>葡萄酒;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汽酒; 白酒; 威士忌</t>
    </r>
  </si>
  <si>
    <t>沅美人</t>
  </si>
  <si>
    <r>
      <t>湖南桃李天下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</si>
  <si>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薄荷酒;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</si>
  <si>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伊埶堂</t>
  </si>
  <si>
    <r>
      <t>河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希波国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株式会社</t>
    </r>
  </si>
  <si>
    <r>
      <t xml:space="preserve">清酒（日本米酒）;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</si>
  <si>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龟</t>
    </r>
    <r>
      <rPr>
        <sz val="11"/>
        <color theme="1"/>
        <rFont val="ＭＳ Ｐゴシック"/>
        <family val="3"/>
        <charset val="128"/>
        <scheme val="minor"/>
      </rPr>
      <t>寿</t>
    </r>
    <r>
      <rPr>
        <sz val="11"/>
        <color theme="1"/>
        <rFont val="ＭＳ Ｐゴシック"/>
        <family val="3"/>
        <charset val="134"/>
        <scheme val="minor"/>
      </rPr>
      <t>济</t>
    </r>
  </si>
  <si>
    <t>董正玉</t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</si>
  <si>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威士忌; 开胃酒;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</si>
  <si>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香太子</t>
  </si>
  <si>
    <r>
      <t>奥普森（吉林）酒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</si>
  <si>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白酒;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</si>
  <si>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品琛酒</t>
  </si>
  <si>
    <t>杭州品琛健康科技有限公司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</si>
  <si>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果酒;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黄酒; 白酒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</si>
  <si>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江吟</t>
    </r>
  </si>
  <si>
    <r>
      <t xml:space="preserve">烈酒; 黄酒; 开胃酒; 葡萄酒; 果酒（含酒精）;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</si>
  <si>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基草</t>
    </r>
    <r>
      <rPr>
        <sz val="11"/>
        <color theme="1"/>
        <rFont val="ＭＳ Ｐゴシック"/>
        <family val="3"/>
        <charset val="134"/>
        <scheme val="minor"/>
      </rPr>
      <t>约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</si>
  <si>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州万康医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</si>
  <si>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汽酒; 米酒; 葡萄酒;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</si>
  <si>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首富海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</si>
  <si>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</si>
  <si>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伏特加酒;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</si>
  <si>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牟山前</t>
  </si>
  <si>
    <r>
      <t>河南厚疆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</si>
  <si>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薄荷酒;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茴香酒（利口酒）; 苹果酒; 茴芹酒（利口酒）;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</si>
  <si>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誉</t>
    </r>
  </si>
  <si>
    <r>
      <t>北京万</t>
    </r>
    <r>
      <rPr>
        <sz val="11"/>
        <color theme="1"/>
        <rFont val="ＭＳ Ｐゴシック"/>
        <family val="3"/>
        <charset val="134"/>
        <scheme val="minor"/>
      </rPr>
      <t>鸿铭</t>
    </r>
    <r>
      <rPr>
        <sz val="11"/>
        <color theme="1"/>
        <rFont val="ＭＳ Ｐゴシック"/>
        <family val="3"/>
        <charset val="128"/>
        <scheme val="minor"/>
      </rPr>
      <t>略品牌管理有限公司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</si>
  <si>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佐餐酒; 烈酒; 白酒; 利口酒;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葡萄酒</t>
    </r>
  </si>
  <si>
    <r>
      <t>柏思蒂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</si>
  <si>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口市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成酒水行</t>
    </r>
  </si>
  <si>
    <r>
      <t>白干酒（中国白酒）; 高粱酒; 食用酒精;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白酒</t>
    </r>
  </si>
  <si>
    <r>
      <t>和</t>
    </r>
    <r>
      <rPr>
        <sz val="11"/>
        <color theme="1"/>
        <rFont val="ＭＳ Ｐゴシック"/>
        <family val="3"/>
        <charset val="134"/>
        <scheme val="minor"/>
      </rPr>
      <t>鉴尧</t>
    </r>
    <r>
      <rPr>
        <sz val="11"/>
        <color theme="1"/>
        <rFont val="ＭＳ Ｐゴシック"/>
        <family val="3"/>
        <charset val="128"/>
        <scheme val="minor"/>
      </rPr>
      <t>尊</t>
    </r>
  </si>
  <si>
    <r>
      <t>河北心</t>
    </r>
    <r>
      <rPr>
        <sz val="11"/>
        <color theme="1"/>
        <rFont val="ＭＳ Ｐゴシック"/>
        <family val="3"/>
        <charset val="134"/>
        <scheme val="minor"/>
      </rPr>
      <t>鉴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</si>
  <si>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青稞酒; 米酒; 蒸煮提取物（利口酒和烈酒）; 葡萄酒; 朗姆酒; 清酒（日本米酒）;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</si>
  <si>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t>老森翁</t>
  </si>
  <si>
    <r>
      <t>吉林奕康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</si>
  <si>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朗姆酒; 白酒; 果酒; 伏特加酒; 葡萄酒; 黄酒</t>
    </r>
  </si>
  <si>
    <r>
      <t>来</t>
    </r>
    <r>
      <rPr>
        <sz val="11"/>
        <color theme="1"/>
        <rFont val="ＭＳ Ｐゴシック"/>
        <family val="3"/>
        <charset val="134"/>
        <scheme val="minor"/>
      </rPr>
      <t>时</t>
    </r>
  </si>
  <si>
    <r>
      <t>南通市未知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事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所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</si>
  <si>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</si>
  <si>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宴</t>
    </r>
  </si>
  <si>
    <r>
      <t>一两黄御酒（河南）酒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</si>
  <si>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白酒;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</si>
  <si>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宗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王守</t>
    </r>
    <r>
      <rPr>
        <sz val="11"/>
        <color theme="1"/>
        <rFont val="ＭＳ Ｐゴシック"/>
        <family val="3"/>
        <charset val="134"/>
        <scheme val="minor"/>
      </rPr>
      <t>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</si>
  <si>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州玉窖酒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</si>
  <si>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</si>
  <si>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t>古州大歌</t>
  </si>
  <si>
    <t>商圣科技（天津）有限公司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</si>
  <si>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</si>
  <si>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予膳</t>
    </r>
    <r>
      <rPr>
        <sz val="11"/>
        <color theme="1"/>
        <rFont val="ＭＳ Ｐゴシック"/>
        <family val="3"/>
        <charset val="134"/>
        <scheme val="minor"/>
      </rPr>
      <t>说</t>
    </r>
  </si>
  <si>
    <r>
      <t>北京膳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</si>
  <si>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</si>
  <si>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</t>
    </r>
  </si>
  <si>
    <t>田溪******************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</si>
  <si>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果酒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</si>
  <si>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臣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雀</t>
    </r>
  </si>
  <si>
    <r>
      <t xml:space="preserve">米酒; 开胃酒; 威士忌;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</si>
  <si>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河原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</si>
  <si>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付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</si>
  <si>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黄酒; 果酒; 青稞酒; 高粱酒; 食用酒精;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</si>
  <si>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土</t>
    </r>
    <r>
      <rPr>
        <sz val="11"/>
        <color theme="1"/>
        <rFont val="ＭＳ Ｐゴシック"/>
        <family val="3"/>
        <charset val="134"/>
        <scheme val="minor"/>
      </rPr>
      <t>鳄</t>
    </r>
  </si>
  <si>
    <r>
      <t>芜</t>
    </r>
    <r>
      <rPr>
        <sz val="11"/>
        <color theme="1"/>
        <rFont val="ＭＳ Ｐゴシック"/>
        <family val="3"/>
        <charset val="128"/>
        <scheme val="minor"/>
      </rPr>
      <t>湖荣筝建筑工程有限公司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</si>
  <si>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食用酒精; 白酒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</si>
  <si>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草</t>
    </r>
  </si>
  <si>
    <t>深圳市沃瑞盛科技有限公司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</si>
  <si>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果酒（含酒精）; 利口酒;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水果汽酒; 葡萄酒</t>
    </r>
  </si>
  <si>
    <t>雪藏粮</t>
  </si>
  <si>
    <r>
      <t>曲靖市荣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</si>
  <si>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食用酒精; 杜松子酒; 白酒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</si>
  <si>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凉泉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</si>
  <si>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凉泉科技有限公司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</si>
  <si>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</si>
  <si>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沁</t>
    </r>
    <r>
      <rPr>
        <sz val="11"/>
        <color theme="1"/>
        <rFont val="ＭＳ Ｐゴシック"/>
        <family val="3"/>
        <charset val="134"/>
        <scheme val="minor"/>
      </rPr>
      <t>乡红</t>
    </r>
  </si>
  <si>
    <r>
      <t>山西沁</t>
    </r>
    <r>
      <rPr>
        <sz val="11"/>
        <color theme="1"/>
        <rFont val="ＭＳ Ｐゴシック"/>
        <family val="3"/>
        <charset val="134"/>
        <scheme val="minor"/>
      </rPr>
      <t>乡红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</si>
  <si>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米酒; 开胃酒;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</si>
  <si>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绵</t>
  </si>
  <si>
    <r>
      <t>绵</t>
    </r>
    <r>
      <rPr>
        <sz val="11"/>
        <color theme="1"/>
        <rFont val="ＭＳ Ｐゴシック"/>
        <family val="3"/>
        <charset val="128"/>
        <scheme val="minor"/>
      </rPr>
      <t>竹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检验检测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</si>
  <si>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杜松子酒; 葡萄酒; 利口酒; 酸酒（低等葡萄酒）; 伏特加酒; 威士忌;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</si>
  <si>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朱</t>
    </r>
    <r>
      <rPr>
        <sz val="11"/>
        <color theme="1"/>
        <rFont val="ＭＳ Ｐゴシック"/>
        <family val="3"/>
        <charset val="134"/>
        <scheme val="minor"/>
      </rPr>
      <t>鹮</t>
    </r>
    <r>
      <rPr>
        <sz val="11"/>
        <color theme="1"/>
        <rFont val="ＭＳ Ｐゴシック"/>
        <family val="3"/>
        <charset val="128"/>
        <scheme val="minor"/>
      </rPr>
      <t>山水</t>
    </r>
  </si>
  <si>
    <r>
      <t>广州金脉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</si>
  <si>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清酒; 蜂蜜酒; 黄酒; 果酒; 青梅酒; 露酒;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米酒; 威士忌</t>
    </r>
  </si>
  <si>
    <r>
      <t>敦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宴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</si>
  <si>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双鑫包装制品有限公司</t>
    </r>
  </si>
  <si>
    <r>
      <t>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梅酒; 米酒;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</t>
    </r>
  </si>
  <si>
    <t>雄沛</t>
  </si>
  <si>
    <r>
      <t>张</t>
    </r>
    <r>
      <rPr>
        <sz val="11"/>
        <color theme="1"/>
        <rFont val="ＭＳ Ｐゴシック"/>
        <family val="3"/>
        <charset val="128"/>
        <scheme val="minor"/>
      </rPr>
      <t>霞</t>
    </r>
  </si>
  <si>
    <r>
      <t xml:space="preserve">威士忌; 果酒（含酒精）;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烈酒; 清酒（日本米酒）</t>
    </r>
  </si>
  <si>
    <t>鹿火草</t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</si>
  <si>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</si>
  <si>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利炮</t>
  </si>
  <si>
    <t>曾黎旗</t>
  </si>
  <si>
    <r>
      <t xml:space="preserve">白酒; 蒸煮提取物（利口酒和烈酒）;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</si>
  <si>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故香思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</si>
  <si>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柑香酒;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黄酒; 果酒（含酒精）; 清酒（日本米酒）</t>
    </r>
  </si>
  <si>
    <r>
      <t>璞</t>
    </r>
    <r>
      <rPr>
        <sz val="11"/>
        <color theme="1"/>
        <rFont val="ＭＳ Ｐゴシック"/>
        <family val="3"/>
        <charset val="134"/>
        <scheme val="minor"/>
      </rPr>
      <t>圆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</si>
  <si>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市誉禾酒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</si>
  <si>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</si>
  <si>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富泰泰</t>
  </si>
  <si>
    <r>
      <t>南京衣百服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</si>
  <si>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葡萄酒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</si>
  <si>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越</t>
    </r>
  </si>
  <si>
    <r>
      <t>申奢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(上海)有限公司</t>
    </r>
  </si>
  <si>
    <r>
      <t>米酒;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黄酒; 白酒; 葡萄酒</t>
    </r>
  </si>
  <si>
    <t>浦王</t>
  </si>
  <si>
    <r>
      <t>黄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</si>
  <si>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</si>
  <si>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卡蒂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菲克</t>
    </r>
  </si>
  <si>
    <r>
      <t xml:space="preserve">白干酒（中国白酒）; 米酒;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果酒;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</si>
  <si>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湘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福</t>
    </r>
  </si>
  <si>
    <t>李慎</t>
  </si>
  <si>
    <t>高粱酒; 米酒; 威士忌; 食用酒精; 黄酒; 清酒（日本米酒）; 烈酒; 烈性干酒; 白酒; 果酒</t>
  </si>
  <si>
    <r>
      <t>盖</t>
    </r>
    <r>
      <rPr>
        <sz val="11"/>
        <color theme="1"/>
        <rFont val="ＭＳ Ｐゴシック"/>
        <family val="3"/>
        <charset val="134"/>
        <scheme val="minor"/>
      </rPr>
      <t>过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</si>
  <si>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>吉林省亮</t>
    </r>
    <r>
      <rPr>
        <sz val="11"/>
        <color theme="1"/>
        <rFont val="ＭＳ Ｐゴシック"/>
        <family val="3"/>
        <charset val="134"/>
        <scheme val="minor"/>
      </rPr>
      <t>丽农业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</si>
  <si>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薄荷酒; 果酒（含酒精）; 米酒</t>
    </r>
  </si>
  <si>
    <r>
      <t>宋河粮液 宋</t>
    </r>
    <r>
      <rPr>
        <sz val="11"/>
        <color theme="1"/>
        <rFont val="ＭＳ Ｐゴシック"/>
        <family val="3"/>
        <charset val="134"/>
        <scheme val="minor"/>
      </rPr>
      <t>陆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</si>
  <si>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</si>
  <si>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谈门酿</t>
  </si>
  <si>
    <r>
      <t>谈庆</t>
    </r>
    <r>
      <rPr>
        <sz val="11"/>
        <color theme="1"/>
        <rFont val="ＭＳ Ｐゴシック"/>
        <family val="3"/>
        <charset val="128"/>
        <scheme val="minor"/>
      </rPr>
      <t>宁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</si>
  <si>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烈酒</t>
    </r>
  </si>
  <si>
    <t>多彩霞客路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</si>
  <si>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</si>
  <si>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</si>
  <si>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MAESTRO MEZQUILA</t>
  </si>
  <si>
    <r>
      <t>日夜耕耘（广州）酒</t>
    </r>
    <r>
      <rPr>
        <sz val="11"/>
        <color theme="1"/>
        <rFont val="ＭＳ Ｐゴシック"/>
        <family val="3"/>
        <charset val="134"/>
        <scheme val="minor"/>
      </rPr>
      <t>类贸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</si>
  <si>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佐餐酒; 白酒;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 xml:space="preserve">酒;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混合威士忌酒; 汽酒</t>
    </r>
  </si>
  <si>
    <r>
      <t>库</t>
    </r>
    <r>
      <rPr>
        <sz val="11"/>
        <color theme="1"/>
        <rFont val="ＭＳ Ｐゴシック"/>
        <family val="3"/>
        <charset val="128"/>
        <scheme val="minor"/>
      </rPr>
      <t>小潭</t>
    </r>
  </si>
  <si>
    <r>
      <t>新疆伊犁</t>
    </r>
    <r>
      <rPr>
        <sz val="11"/>
        <color theme="1"/>
        <rFont val="ＭＳ Ｐゴシック"/>
        <family val="3"/>
        <charset val="134"/>
        <scheme val="minor"/>
      </rPr>
      <t>库尔</t>
    </r>
    <r>
      <rPr>
        <sz val="11"/>
        <color theme="1"/>
        <rFont val="ＭＳ Ｐゴシック"/>
        <family val="3"/>
        <charset val="128"/>
        <scheme val="minor"/>
      </rPr>
      <t>德宁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</si>
  <si>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葡萄酒; 食用酒精; 白酒; 汽酒; 黄酒</t>
    </r>
  </si>
  <si>
    <t>察理德名仕</t>
  </si>
  <si>
    <r>
      <t>福州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</si>
  <si>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</si>
  <si>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t>小卿佳</t>
  </si>
  <si>
    <r>
      <t>宁波市阿拉吃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</si>
  <si>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清酒（日本米酒）;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</si>
  <si>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t>臻琪善坊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</si>
  <si>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省泗洪</t>
    </r>
    <r>
      <rPr>
        <sz val="11"/>
        <color theme="1"/>
        <rFont val="ＭＳ Ｐゴシック"/>
        <family val="3"/>
        <charset val="134"/>
        <scheme val="minor"/>
      </rPr>
      <t>县酿</t>
    </r>
    <r>
      <rPr>
        <sz val="11"/>
        <color theme="1"/>
        <rFont val="ＭＳ Ｐゴシック"/>
        <family val="3"/>
        <charset val="128"/>
        <scheme val="minor"/>
      </rPr>
      <t>酒食品有限公司</t>
    </r>
  </si>
  <si>
    <r>
      <t>白酒; 烈性干酒; 高粱酒;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烈酒;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</si>
  <si>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粟</t>
    </r>
    <r>
      <rPr>
        <sz val="11"/>
        <color theme="1"/>
        <rFont val="ＭＳ Ｐゴシック"/>
        <family val="3"/>
        <charset val="134"/>
        <scheme val="minor"/>
      </rPr>
      <t>说</t>
    </r>
    <r>
      <rPr>
        <sz val="11"/>
        <color theme="1"/>
        <rFont val="ＭＳ Ｐゴシック"/>
        <family val="3"/>
        <charset val="128"/>
        <scheme val="minor"/>
      </rPr>
      <t>商源</t>
    </r>
  </si>
  <si>
    <t>商丘国智数据科技有限公司</t>
  </si>
  <si>
    <r>
      <t xml:space="preserve">朗姆酒; 高粱酒; 白葡萄酒; 黄酒; 露酒;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烈酒; 白酒</t>
    </r>
  </si>
  <si>
    <r>
      <t>鹮</t>
    </r>
    <r>
      <rPr>
        <sz val="11"/>
        <color theme="1"/>
        <rFont val="ＭＳ Ｐゴシック"/>
        <family val="3"/>
        <charset val="128"/>
        <scheme val="minor"/>
      </rPr>
      <t>家山水</t>
    </r>
  </si>
  <si>
    <r>
      <t>威士忌; 露酒;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米酒; 白酒; 青梅酒; 清酒; 蜂蜜酒; 果酒; 黄酒</t>
    </r>
  </si>
  <si>
    <r>
      <t>昱</t>
    </r>
    <r>
      <rPr>
        <sz val="11"/>
        <color theme="1"/>
        <rFont val="ＭＳ Ｐゴシック"/>
        <family val="3"/>
        <charset val="134"/>
        <scheme val="minor"/>
      </rPr>
      <t>壶烧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</si>
  <si>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</t>
    </r>
  </si>
  <si>
    <t>BPJ</t>
  </si>
  <si>
    <t>黄彬彬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</si>
  <si>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白酒</t>
    </r>
  </si>
  <si>
    <r>
      <t>车</t>
    </r>
    <r>
      <rPr>
        <sz val="11"/>
        <color theme="1"/>
        <rFont val="ＭＳ Ｐゴシック"/>
        <family val="3"/>
        <charset val="128"/>
        <scheme val="minor"/>
      </rPr>
      <t>州白</t>
    </r>
  </si>
  <si>
    <t>任启来</t>
  </si>
  <si>
    <r>
      <t>米酒;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清酒; 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</si>
  <si>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五方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</si>
  <si>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杭州巨智文化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</si>
  <si>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烈酒;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米酒;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高粱酒</t>
    </r>
  </si>
  <si>
    <t>近星</t>
  </si>
  <si>
    <r>
      <t>玺</t>
    </r>
    <r>
      <rPr>
        <sz val="11"/>
        <color theme="1"/>
        <rFont val="ＭＳ Ｐゴシック"/>
        <family val="3"/>
        <charset val="128"/>
        <scheme val="minor"/>
      </rPr>
      <t>云台(宁夏)酒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</si>
  <si>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葡萄酒; 黄酒; 烈酒;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</t>
    </r>
  </si>
  <si>
    <r>
      <t>入画</t>
    </r>
    <r>
      <rPr>
        <sz val="11"/>
        <color theme="1"/>
        <rFont val="ＭＳ Ｐゴシック"/>
        <family val="3"/>
        <charset val="134"/>
        <scheme val="minor"/>
      </rPr>
      <t>寻诗</t>
    </r>
  </si>
  <si>
    <t>刘志国</t>
  </si>
  <si>
    <r>
      <t>利口酒;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米酒; 清酒（日本米酒）;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</si>
  <si>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烟台益心生物科技有限公司</t>
  </si>
  <si>
    <r>
      <t xml:space="preserve">果酒（含酒精）; 蜂蜜酒;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青稞酒; 黄酒</t>
    </r>
  </si>
  <si>
    <t>圣柏尼莎</t>
  </si>
  <si>
    <r>
      <t xml:space="preserve">米酒; 白干酒（中国白酒）; 葡萄酒;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食用酒精; 烈酒</t>
    </r>
  </si>
  <si>
    <t>岚贵龙</t>
  </si>
  <si>
    <r>
      <t>冯</t>
    </r>
    <r>
      <rPr>
        <sz val="11"/>
        <color theme="1"/>
        <rFont val="ＭＳ Ｐゴシック"/>
        <family val="3"/>
        <charset val="128"/>
        <scheme val="minor"/>
      </rPr>
      <t>小昆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</si>
  <si>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黄酒; 烈酒; 开胃酒; 白干酒（中国白酒）; 米酒; 高粱酒; 白酒</t>
    </r>
  </si>
  <si>
    <t>葚世原</t>
  </si>
  <si>
    <r>
      <t>上海瀚珠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</si>
  <si>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</si>
  <si>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漉澋</t>
    </r>
    <r>
      <rPr>
        <sz val="11"/>
        <color theme="1"/>
        <rFont val="ＭＳ Ｐゴシック"/>
        <family val="3"/>
        <charset val="134"/>
        <scheme val="minor"/>
      </rPr>
      <t>轩</t>
    </r>
  </si>
  <si>
    <t>黄明</t>
  </si>
  <si>
    <r>
      <t>食用酒精; 果酒（含酒精）; 开胃酒; 米酒; 蒸煮提取物（利口酒和烈酒）;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</si>
  <si>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屋企西岸品牌管理（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</si>
  <si>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</si>
  <si>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LINLIHAOSHICAI</t>
  </si>
  <si>
    <r>
      <t>湖南林立好食材供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</si>
  <si>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葡萄汽酒; 白干酒（中国白酒）;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起泡白葡萄酒;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</si>
  <si>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CASH BLUE</t>
  </si>
  <si>
    <r>
      <t>上海落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</si>
  <si>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威士忌; 白酒; 清酒（日本米酒）; 米酒;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</t>
    </r>
  </si>
  <si>
    <r>
      <t>无定情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</si>
  <si>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鄂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多斯市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里格酒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</si>
  <si>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白酒;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伏特加酒</t>
    </r>
  </si>
  <si>
    <r>
      <t>匠鑫</t>
    </r>
    <r>
      <rPr>
        <sz val="11"/>
        <color theme="1"/>
        <rFont val="ＭＳ Ｐゴシック"/>
        <family val="3"/>
        <charset val="134"/>
        <scheme val="minor"/>
      </rPr>
      <t>酿</t>
    </r>
  </si>
  <si>
    <t>彭敬鑫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</si>
  <si>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黄酒;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烈酒</t>
    </r>
  </si>
  <si>
    <r>
      <t>天下一庄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</si>
  <si>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枣</t>
    </r>
    <r>
      <rPr>
        <sz val="11"/>
        <color theme="1"/>
        <rFont val="ＭＳ Ｐゴシック"/>
        <family val="3"/>
        <charset val="128"/>
        <scheme val="minor"/>
      </rPr>
      <t>庄市天下第一庄酒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</si>
  <si>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烈酒; 果酒; 米酒;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</si>
  <si>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起运鼎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</si>
  <si>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</si>
  <si>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悦房陵</t>
  </si>
  <si>
    <r>
      <t>房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神武山珍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</si>
  <si>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蜂蜜酒;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</si>
  <si>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弘</t>
    </r>
    <r>
      <rPr>
        <sz val="11"/>
        <color theme="1"/>
        <rFont val="ＭＳ Ｐゴシック"/>
        <family val="3"/>
        <charset val="134"/>
        <scheme val="minor"/>
      </rPr>
      <t>贤</t>
    </r>
  </si>
  <si>
    <r>
      <t>国源酒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</si>
  <si>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白酒; 葡萄酒; 果酒; 烈酒;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</si>
  <si>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西湖梦</t>
    </r>
    <r>
      <rPr>
        <sz val="11"/>
        <color theme="1"/>
        <rFont val="ＭＳ Ｐゴシック"/>
        <family val="3"/>
        <charset val="134"/>
        <scheme val="minor"/>
      </rPr>
      <t>寻</t>
    </r>
  </si>
  <si>
    <r>
      <t>杭州入画</t>
    </r>
    <r>
      <rPr>
        <sz val="11"/>
        <color theme="1"/>
        <rFont val="ＭＳ Ｐゴシック"/>
        <family val="3"/>
        <charset val="134"/>
        <scheme val="minor"/>
      </rPr>
      <t>寻诗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</si>
  <si>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米酒; 伏特加酒</t>
    </r>
  </si>
  <si>
    <t>PIZZUTELLI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</si>
  <si>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莞市阿牛伯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</si>
  <si>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</si>
  <si>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松在</t>
    </r>
    <r>
      <rPr>
        <sz val="11"/>
        <color theme="1"/>
        <rFont val="ＭＳ Ｐゴシック"/>
        <family val="3"/>
        <charset val="134"/>
        <scheme val="minor"/>
      </rPr>
      <t>线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</si>
  <si>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果酒; 蜂蜜酒; 葡萄酒;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</t>
    </r>
  </si>
  <si>
    <t>FILDMEND</t>
  </si>
  <si>
    <r>
      <t>刘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聚</t>
    </r>
  </si>
  <si>
    <r>
      <t xml:space="preserve">清酒（日本米酒）; 果酒（含酒精）; 黄酒; 白酒; 蒸煮提取物（利口酒和烈酒）; 高粱酒;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日本梅子酒;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</si>
  <si>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瀛</t>
    </r>
    <r>
      <rPr>
        <sz val="11"/>
        <color theme="1"/>
        <rFont val="ＭＳ Ｐゴシック"/>
        <family val="3"/>
        <charset val="134"/>
        <scheme val="minor"/>
      </rPr>
      <t>顺沣</t>
    </r>
  </si>
  <si>
    <t>叶洪杰</t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</si>
  <si>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柑香酒;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</si>
  <si>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玲峰石</t>
  </si>
  <si>
    <r>
      <t>北京一品焦点品牌</t>
    </r>
    <r>
      <rPr>
        <sz val="11"/>
        <color theme="1"/>
        <rFont val="ＭＳ Ｐゴシック"/>
        <family val="3"/>
        <charset val="134"/>
        <scheme val="minor"/>
      </rPr>
      <t>设计顾问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</si>
  <si>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</si>
  <si>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夜光北</t>
  </si>
  <si>
    <r>
      <t>广州市知否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</si>
  <si>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白酒; 甜酒; 葡萄酒;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</si>
  <si>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津旗</t>
  </si>
  <si>
    <r>
      <t>天津市津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流香酒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</si>
  <si>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白酒; 果酒（含酒精）; 米酒;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</si>
  <si>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蜂蜜酒;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</si>
  <si>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万盛魁</t>
  </si>
  <si>
    <t>刘琦</t>
  </si>
  <si>
    <r>
      <t>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葡萄酒; 青稞酒; 白酒</t>
    </r>
  </si>
  <si>
    <t>DEVANRE</t>
  </si>
  <si>
    <r>
      <t>汕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市恒生泰物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</si>
  <si>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黄酒; 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</si>
  <si>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滇火</t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</si>
  <si>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</si>
  <si>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</si>
  <si>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</si>
  <si>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仙来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</si>
  <si>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李霄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</si>
  <si>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甜酒; 黄酒; 清酒（日本米酒）; 果酒（含酒精）;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</si>
  <si>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佳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</si>
  <si>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保定市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富盛商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</si>
  <si>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葡萄酒; 伏特加酒; 黄酒;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</si>
  <si>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盛世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安臻品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</si>
  <si>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西省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</si>
  <si>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含酒精蛋奶酒;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开胃酒; 白酒; 甘蔗汁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 xml:space="preserve">朗姆酒; 白干酒（中国白酒）;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</si>
  <si>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尹泉特</t>
  </si>
  <si>
    <r>
      <t>沈阳春和景明国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</si>
  <si>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汽酒</t>
    </r>
  </si>
  <si>
    <r>
      <t>宛刘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</si>
  <si>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焕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</si>
  <si>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白葡萄酒; 蒸煮提取物（利口酒和烈酒）;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</si>
  <si>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潜道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</si>
  <si>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江潜道投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</si>
  <si>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t>白酒; 白干酒（中国白酒）</t>
  </si>
  <si>
    <t>慕夸</t>
  </si>
  <si>
    <r>
      <t>周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</si>
  <si>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清酒（日本米酒）; 葡萄酒; 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</si>
  <si>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上海意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</si>
  <si>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食用酒精;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苹果酒; 朗姆酒;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</si>
  <si>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刺多宝</t>
  </si>
  <si>
    <r>
      <t>严</t>
    </r>
    <r>
      <rPr>
        <sz val="11"/>
        <color theme="1"/>
        <rFont val="ＭＳ Ｐゴシック"/>
        <family val="3"/>
        <charset val="128"/>
        <scheme val="minor"/>
      </rPr>
      <t>密菜</t>
    </r>
  </si>
  <si>
    <r>
      <t>白酒; 米酒;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</si>
  <si>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尧</t>
    </r>
    <r>
      <rPr>
        <sz val="11"/>
        <color theme="1"/>
        <rFont val="ＭＳ Ｐゴシック"/>
        <family val="3"/>
        <charset val="128"/>
        <scheme val="minor"/>
      </rPr>
      <t>舜双得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</si>
  <si>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菏</t>
    </r>
    <r>
      <rPr>
        <sz val="11"/>
        <color theme="1"/>
        <rFont val="ＭＳ Ｐゴシック"/>
        <family val="3"/>
        <charset val="134"/>
        <scheme val="minor"/>
      </rPr>
      <t>泽尧</t>
    </r>
    <r>
      <rPr>
        <sz val="11"/>
        <color theme="1"/>
        <rFont val="ＭＳ Ｐゴシック"/>
        <family val="3"/>
        <charset val="128"/>
        <scheme val="minor"/>
      </rPr>
      <t>舜生物科技有限公司</t>
    </r>
  </si>
  <si>
    <r>
      <t>果酒;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高粱酒; 佐餐酒; 伏特加酒; 米酒; 甜酒; 白酒</t>
    </r>
  </si>
  <si>
    <r>
      <t>威桶富俱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</si>
  <si>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格福特</t>
    </r>
    <r>
      <rPr>
        <sz val="11"/>
        <color theme="1"/>
        <rFont val="ＭＳ Ｐゴシック"/>
        <family val="3"/>
        <charset val="134"/>
        <scheme val="minor"/>
      </rPr>
      <t>爱尔兰</t>
    </r>
    <r>
      <rPr>
        <sz val="11"/>
        <color theme="1"/>
        <rFont val="ＭＳ Ｐゴシック"/>
        <family val="3"/>
        <charset val="128"/>
        <scheme val="minor"/>
      </rP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</si>
  <si>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</si>
  <si>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淄三招</t>
  </si>
  <si>
    <t>李世裕</t>
  </si>
  <si>
    <r>
      <t xml:space="preserve">米酒; 蜂蜜酒;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青梅酒; 水果汽酒; 果酒; 高粱酒; 白酒</t>
    </r>
  </si>
  <si>
    <t>衡昌金樽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</si>
  <si>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白干酒（中国白酒）;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青稞酒; 白酒</t>
    </r>
  </si>
  <si>
    <r>
      <t>盛世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安政品</t>
    </r>
  </si>
  <si>
    <r>
      <t>白干酒（中国白酒）; 含酒精蛋奶酒;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开胃酒; 食用酒精; 甘蔗汁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朗姆酒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</si>
  <si>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峪</t>
    </r>
  </si>
  <si>
    <r>
      <t>烟台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裕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</si>
  <si>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伏特加酒;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麦芽威士忌;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</si>
  <si>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福客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</si>
  <si>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市福客来酒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</si>
  <si>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露酒; 白酒; 苹果酒</t>
    </r>
  </si>
  <si>
    <t>ZWNA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</si>
  <si>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福到来商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</si>
  <si>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伏特加酒; 梨酒; 果酒（含酒精）; 葡萄酒</t>
    </r>
  </si>
  <si>
    <r>
      <t>叁</t>
    </r>
    <r>
      <rPr>
        <sz val="11"/>
        <color theme="1"/>
        <rFont val="ＭＳ Ｐゴシック"/>
        <family val="3"/>
        <charset val="128"/>
        <scheme val="minor"/>
      </rPr>
      <t>山得玖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</si>
  <si>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州市恒丰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</si>
  <si>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</si>
  <si>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盛世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安荣耀</t>
    </r>
  </si>
  <si>
    <r>
      <t>甘蔗汁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 xml:space="preserve">朗姆酒; 含酒精蛋奶酒; 开胃酒;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果酒</t>
    </r>
  </si>
  <si>
    <t>岱相逢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</si>
  <si>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岱相逢酒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</si>
  <si>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烈酒; 果酒（含酒精）; 葡萄酒; 黄酒; 白酒;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</si>
  <si>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酿顺</t>
    </r>
  </si>
  <si>
    <r>
      <t>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黄酒; 汽酒; 果酒;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</si>
  <si>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t>兴骄</t>
  </si>
  <si>
    <r>
      <t>王</t>
    </r>
    <r>
      <rPr>
        <sz val="11"/>
        <color theme="1"/>
        <rFont val="ＭＳ Ｐゴシック"/>
        <family val="3"/>
        <charset val="134"/>
        <scheme val="minor"/>
      </rPr>
      <t>艺颖</t>
    </r>
  </si>
  <si>
    <r>
      <t>果酒（含酒精）; 开胃酒; 清酒（日本米酒）; 烈酒;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</t>
    </r>
  </si>
  <si>
    <t>河箎公文包</t>
  </si>
  <si>
    <r>
      <t>桂林市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客</t>
    </r>
    <r>
      <rPr>
        <sz val="11"/>
        <color theme="1"/>
        <rFont val="ＭＳ Ｐゴシック"/>
        <family val="3"/>
        <charset val="134"/>
        <scheme val="minor"/>
      </rPr>
      <t>临贸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</si>
  <si>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青稞酒; 清酒（日本米酒）;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薄荷酒; 开胃酒; 果酒（含酒精）; 白酒</t>
    </r>
  </si>
  <si>
    <r>
      <t>胜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</si>
  <si>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</si>
  <si>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米酒</t>
    </r>
  </si>
  <si>
    <r>
      <t>金代青</t>
    </r>
    <r>
      <rPr>
        <sz val="11"/>
        <color theme="1"/>
        <rFont val="ＭＳ Ｐゴシック"/>
        <family val="3"/>
        <charset val="134"/>
        <scheme val="minor"/>
      </rPr>
      <t>砖</t>
    </r>
    <r>
      <rPr>
        <sz val="11"/>
        <color theme="1"/>
        <rFont val="ＭＳ Ｐゴシック"/>
        <family val="3"/>
        <charset val="128"/>
        <scheme val="minor"/>
      </rPr>
      <t>小窖</t>
    </r>
  </si>
  <si>
    <r>
      <t xml:space="preserve">白酒;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葡萄酒; 米酒</t>
    </r>
  </si>
  <si>
    <t>衡昌境界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</si>
  <si>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黄酒; 果酒; 葡萄酒</t>
    </r>
  </si>
  <si>
    <t>衡昌祥瑞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</si>
  <si>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葡萄酒; 白酒;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青稞酒</t>
    </r>
  </si>
  <si>
    <r>
      <t>岚贵</t>
    </r>
    <r>
      <rPr>
        <sz val="11"/>
        <color theme="1"/>
        <rFont val="ＭＳ Ｐゴシック"/>
        <family val="3"/>
        <charset val="128"/>
        <scheme val="minor"/>
      </rPr>
      <t>将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</si>
  <si>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米酒; 高粱酒; 白酒;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白干酒（中国白酒）; 开胃酒</t>
    </r>
  </si>
  <si>
    <t>甯淇</t>
  </si>
  <si>
    <r>
      <t>杨</t>
    </r>
    <r>
      <rPr>
        <sz val="11"/>
        <color theme="1"/>
        <rFont val="ＭＳ Ｐゴシック"/>
        <family val="3"/>
        <charset val="128"/>
        <scheme val="minor"/>
      </rPr>
      <t>忠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</si>
  <si>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</si>
  <si>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添福</t>
    </r>
    <r>
      <rPr>
        <sz val="11"/>
        <color theme="1"/>
        <rFont val="ＭＳ Ｐゴシック"/>
        <family val="3"/>
        <charset val="134"/>
        <scheme val="minor"/>
      </rPr>
      <t>财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</si>
  <si>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西梓溪文化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</si>
  <si>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果酒; 开胃酒;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食用酒精; 甘蔗汁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朗姆酒; 白干酒（中国白酒）; 含酒精蛋奶酒;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</si>
  <si>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一品</t>
    </r>
    <r>
      <rPr>
        <sz val="11"/>
        <color theme="1"/>
        <rFont val="ＭＳ Ｐゴシック"/>
        <family val="3"/>
        <charset val="129"/>
        <scheme val="minor"/>
      </rPr>
      <t>崶</t>
    </r>
    <r>
      <rPr>
        <sz val="11"/>
        <color theme="1"/>
        <rFont val="ＭＳ Ｐゴシック"/>
        <family val="3"/>
        <charset val="128"/>
        <scheme val="minor"/>
      </rPr>
      <t>古</t>
    </r>
  </si>
  <si>
    <t>嵇可鑫</t>
  </si>
  <si>
    <r>
      <t>白酒;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利口酒; 威士忌;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果酒（含酒精）</t>
    </r>
  </si>
  <si>
    <t>宴潮酩</t>
  </si>
  <si>
    <r>
      <t>中匝集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</si>
  <si>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</si>
  <si>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t>西葛人</t>
  </si>
  <si>
    <t>李峰</t>
  </si>
  <si>
    <r>
      <t>葡萄酒; 米酒; 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</si>
  <si>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谈</t>
    </r>
    <r>
      <rPr>
        <sz val="11"/>
        <color theme="1"/>
        <rFont val="ＭＳ Ｐゴシック"/>
        <family val="3"/>
        <charset val="128"/>
        <scheme val="minor"/>
      </rPr>
      <t>翁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</si>
  <si>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白酒; 葡萄酒; 烈酒;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</si>
  <si>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流沙</t>
    </r>
    <r>
      <rPr>
        <sz val="11"/>
        <color theme="1"/>
        <rFont val="ＭＳ Ｐゴシック"/>
        <family val="3"/>
        <charset val="134"/>
        <scheme val="minor"/>
      </rPr>
      <t>烁</t>
    </r>
    <r>
      <rPr>
        <sz val="11"/>
        <color theme="1"/>
        <rFont val="ＭＳ Ｐゴシック"/>
        <family val="3"/>
        <charset val="128"/>
        <scheme val="minor"/>
      </rPr>
      <t>金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</si>
  <si>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开胃酒; 食用酒精;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</si>
  <si>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玉井匠</t>
  </si>
  <si>
    <r>
      <t>铅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嘉</t>
    </r>
    <r>
      <rPr>
        <sz val="11"/>
        <color theme="1"/>
        <rFont val="ＭＳ Ｐゴシック"/>
        <family val="3"/>
        <charset val="134"/>
        <scheme val="minor"/>
      </rPr>
      <t>创电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</si>
  <si>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果酒（含酒精）; 葡萄酒;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</si>
  <si>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西安子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</si>
  <si>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露酒; 白酒; 米酒; 青稞酒;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葡萄酒</t>
    </r>
  </si>
  <si>
    <r>
      <t>小地方黔山</t>
    </r>
    <r>
      <rPr>
        <sz val="11"/>
        <color theme="1"/>
        <rFont val="ＭＳ Ｐゴシック"/>
        <family val="3"/>
        <charset val="134"/>
        <scheme val="minor"/>
      </rPr>
      <t>锅</t>
    </r>
    <r>
      <rPr>
        <sz val="11"/>
        <color theme="1"/>
        <rFont val="ＭＳ Ｐゴシック"/>
        <family val="3"/>
        <charset val="128"/>
        <scheme val="minor"/>
      </rPr>
      <t>物</t>
    </r>
  </si>
  <si>
    <t>刘世夫</t>
  </si>
  <si>
    <t>米酒; 梅酒; 果酒</t>
  </si>
  <si>
    <t>仰韶酉里</t>
  </si>
  <si>
    <r>
      <t>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</si>
  <si>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凯</t>
    </r>
    <r>
      <rPr>
        <sz val="11"/>
        <color theme="1"/>
        <rFont val="ＭＳ Ｐゴシック"/>
        <family val="3"/>
        <charset val="128"/>
        <scheme val="minor"/>
      </rPr>
      <t>富麦克斯</t>
    </r>
  </si>
  <si>
    <r>
      <t>酩品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（北京）有限公司</t>
    </r>
  </si>
  <si>
    <r>
      <t>葡萄酒; 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</si>
  <si>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宜康海</t>
    </r>
  </si>
  <si>
    <r>
      <t>深圳市康益安享科技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</si>
  <si>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利口酒; 米酒; 白葡萄酒;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</si>
  <si>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滇火客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</si>
  <si>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</si>
  <si>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昇沃隆</t>
    </r>
    <r>
      <rPr>
        <sz val="11"/>
        <color theme="1"/>
        <rFont val="ＭＳ Ｐゴシック"/>
        <family val="3"/>
        <charset val="134"/>
        <scheme val="minor"/>
      </rPr>
      <t>兴</t>
    </r>
  </si>
  <si>
    <t>内蒙古昇沃科技有限公司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</si>
  <si>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葡萄酒;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米酒; 黄酒; 清酒（日本米酒）</t>
    </r>
  </si>
  <si>
    <t>共逅水吧 GONGHOU</t>
  </si>
  <si>
    <r>
      <t xml:space="preserve">白酒; 烈酒; 果酒（含酒精）; 黄酒; 威士忌; 开胃酒;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</si>
  <si>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二七里</t>
  </si>
  <si>
    <r>
      <t>陈卫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</si>
  <si>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薄荷酒; 白酒; 果酒（含酒精）;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</t>
    </r>
  </si>
  <si>
    <t>常青盛</t>
  </si>
  <si>
    <r>
      <t>高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昌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</si>
  <si>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</t>
    </r>
  </si>
  <si>
    <t>七彩霞客路</t>
  </si>
  <si>
    <r>
      <t>白酒;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</si>
  <si>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毓秀人家</t>
  </si>
  <si>
    <t>吴海丰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</si>
  <si>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黄酒; 汽酒; 甜酒; 白酒; 果酒; 葡萄酒; 清酒; 露酒</t>
    </r>
  </si>
  <si>
    <r>
      <t>关信</t>
    </r>
    <r>
      <rPr>
        <sz val="11"/>
        <color theme="1"/>
        <rFont val="ＭＳ Ｐゴシック"/>
        <family val="3"/>
        <charset val="134"/>
        <scheme val="minor"/>
      </rPr>
      <t>义</t>
    </r>
  </si>
  <si>
    <t>刘伊然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</si>
  <si>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米酒;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</si>
  <si>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光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</si>
  <si>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威士忌;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白酒; 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</si>
  <si>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殊方享醴</t>
  </si>
  <si>
    <r>
      <t>北京鼎中</t>
    </r>
    <r>
      <rPr>
        <sz val="11"/>
        <color theme="1"/>
        <rFont val="ＭＳ Ｐゴシック"/>
        <family val="3"/>
        <charset val="134"/>
        <scheme val="minor"/>
      </rPr>
      <t>实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</si>
  <si>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烈酒;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</si>
  <si>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州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球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</si>
  <si>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田</t>
    </r>
    <r>
      <rPr>
        <sz val="11"/>
        <color theme="1"/>
        <rFont val="ＭＳ Ｐゴシック"/>
        <family val="3"/>
        <charset val="134"/>
        <scheme val="minor"/>
      </rPr>
      <t>应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</si>
  <si>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蒸煮提取物（利口酒和烈酒）;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</si>
  <si>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19PEAKS LEGEND</t>
  </si>
  <si>
    <r>
      <t>耀莱两点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尚（北京）</t>
    </r>
    <r>
      <rPr>
        <sz val="11"/>
        <color theme="1"/>
        <rFont val="ＭＳ Ｐゴシック"/>
        <family val="3"/>
        <charset val="134"/>
        <scheme val="minor"/>
      </rPr>
      <t>顾问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</si>
  <si>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果酒; 葡萄酒;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朗姆酒</t>
    </r>
  </si>
  <si>
    <t>渴渴达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</si>
  <si>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渴渴达企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</si>
  <si>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甜果酒;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果酒（含酒精）; 白酒; 米酒; 蒸煮提取物（利口酒和烈酒）; 伏特加酒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</si>
  <si>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斌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</si>
  <si>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高粱酒;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</t>
    </r>
  </si>
  <si>
    <t>固晶堂</t>
  </si>
  <si>
    <r>
      <t>深圳市来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健康管理有限公司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</si>
  <si>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蝮蛇酒;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开胃酒</t>
    </r>
  </si>
  <si>
    <t>梅岭紫清</t>
  </si>
  <si>
    <r>
      <t>江西省茗悦天下生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</si>
  <si>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食用酒精;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</si>
  <si>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念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</si>
  <si>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继华</t>
    </r>
  </si>
  <si>
    <r>
      <t xml:space="preserve">开胃酒; 威士忌; 烈酒;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</si>
  <si>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ZHUREK</t>
  </si>
  <si>
    <r>
      <t>等酒供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(上海)有限公司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</si>
  <si>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烈酒; 白酒; 混合威士忌酒;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</si>
  <si>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九微西西</t>
  </si>
  <si>
    <r>
      <t>石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国品健康管理有限公司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</si>
  <si>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含酒精的气泡水; 白酒; 葡萄酒; 清酒（日本米酒）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</si>
  <si>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禧美</t>
    </r>
  </si>
  <si>
    <t>江晁梅</t>
  </si>
  <si>
    <r>
      <t xml:space="preserve">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果酒; 清酒; 米酒; 黄酒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</si>
  <si>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双禧</t>
    </r>
  </si>
  <si>
    <r>
      <t xml:space="preserve">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清酒; 汽酒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</si>
  <si>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臣黑雀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</si>
  <si>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</si>
  <si>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悦福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</si>
  <si>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山区君悦福酒</t>
    </r>
    <r>
      <rPr>
        <sz val="11"/>
        <color theme="1"/>
        <rFont val="ＭＳ Ｐゴシック"/>
        <family val="3"/>
        <charset val="134"/>
        <scheme val="minor"/>
      </rPr>
      <t>业经营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</si>
  <si>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果酒; 伏特加酒; 食用酒精;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</si>
  <si>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辽</t>
    </r>
  </si>
  <si>
    <r>
      <t>内蒙古廿一酒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</si>
  <si>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</si>
  <si>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t>STEINSCHADEN</t>
  </si>
  <si>
    <r>
      <t>青田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骑</t>
    </r>
    <r>
      <rPr>
        <sz val="11"/>
        <color theme="1"/>
        <rFont val="ＭＳ Ｐゴシック"/>
        <family val="3"/>
        <charset val="128"/>
        <scheme val="minor"/>
      </rPr>
      <t>士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</si>
  <si>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葡萄汽酒; 开胃酒; 朗姆酒; 葡萄酒; 伏特加酒</t>
    </r>
  </si>
  <si>
    <t>九洲藏云海</t>
  </si>
  <si>
    <t>珠海度假村酒店有限公司</t>
  </si>
  <si>
    <r>
      <t>清酒（日本米酒）; 葡萄酒; 起泡白葡萄酒;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果酒（含酒精）</t>
    </r>
  </si>
  <si>
    <t>REDUVERSE</t>
  </si>
  <si>
    <r>
      <t>红</t>
    </r>
    <r>
      <rPr>
        <sz val="11"/>
        <color theme="1"/>
        <rFont val="ＭＳ Ｐゴシック"/>
        <family val="3"/>
        <charset val="128"/>
        <scheme val="minor"/>
      </rPr>
      <t>色酒堡（深圳）有限公司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</si>
  <si>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朗姆酒;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</t>
    </r>
  </si>
  <si>
    <r>
      <t>桂</t>
    </r>
    <r>
      <rPr>
        <sz val="11"/>
        <color theme="1"/>
        <rFont val="ＭＳ Ｐゴシック"/>
        <family val="3"/>
        <charset val="134"/>
        <scheme val="minor"/>
      </rPr>
      <t>题</t>
    </r>
    <r>
      <rPr>
        <sz val="11"/>
        <color theme="1"/>
        <rFont val="ＭＳ Ｐゴシック"/>
        <family val="3"/>
        <charset val="128"/>
        <scheme val="minor"/>
      </rPr>
      <t>追溯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光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</si>
  <si>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</si>
  <si>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白酒; 葡萄酒; 蒸煮提取物（利口酒和烈酒）;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</si>
  <si>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褚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庄园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</si>
  <si>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西道商文化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</si>
  <si>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葡萄酒; 白酒; 果酒（含酒精）; 开胃酒;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米酒; 蜂蜜酒</t>
    </r>
  </si>
  <si>
    <r>
      <t>蔻</t>
    </r>
    <r>
      <rPr>
        <sz val="11"/>
        <color theme="1"/>
        <rFont val="ＭＳ Ｐゴシック"/>
        <family val="3"/>
        <charset val="128"/>
        <scheme val="minor"/>
      </rPr>
      <t>第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</si>
  <si>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云之湾国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</si>
  <si>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伏特加酒; 葡萄酒; 黄酒;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朗姆酒;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</si>
  <si>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潮</t>
    </r>
  </si>
  <si>
    <t>崔向向</t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</si>
  <si>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烈酒; 葡萄酒; 白酒; 果酒（含酒精）</t>
    </r>
  </si>
  <si>
    <t>起山福地</t>
  </si>
  <si>
    <r>
      <t>山西焱黄之魂酒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</si>
  <si>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清酒（日本米酒）;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</si>
  <si>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新疆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克西酒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</si>
  <si>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葡萄酒; 黄酒; 米酒; 甘蔗制烈酒;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</si>
  <si>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孤氿</t>
  </si>
  <si>
    <r>
      <t>闫</t>
    </r>
    <r>
      <rPr>
        <sz val="11"/>
        <color theme="1"/>
        <rFont val="ＭＳ Ｐゴシック"/>
        <family val="3"/>
        <charset val="128"/>
        <scheme val="minor"/>
      </rPr>
      <t>景春</t>
    </r>
  </si>
  <si>
    <r>
      <t xml:space="preserve">葡萄酒; 白酒;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汽酒</t>
    </r>
  </si>
  <si>
    <r>
      <t>见</t>
    </r>
    <r>
      <rPr>
        <sz val="11"/>
        <color theme="1"/>
        <rFont val="ＭＳ Ｐゴシック"/>
        <family val="3"/>
        <charset val="128"/>
        <scheme val="minor"/>
      </rPr>
      <t>喜熊</t>
    </r>
  </si>
  <si>
    <r>
      <t>温州淘礼人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</si>
  <si>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葡萄酒; 果酒;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</si>
  <si>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听果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</si>
  <si>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杭州千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湖休</t>
    </r>
    <r>
      <rPr>
        <sz val="11"/>
        <color theme="1"/>
        <rFont val="ＭＳ Ｐゴシック"/>
        <family val="3"/>
        <charset val="134"/>
        <scheme val="minor"/>
      </rPr>
      <t>闲</t>
    </r>
    <r>
      <rPr>
        <sz val="11"/>
        <color theme="1"/>
        <rFont val="ＭＳ Ｐゴシック"/>
        <family val="3"/>
        <charset val="128"/>
        <scheme val="minor"/>
      </rPr>
      <t>体育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</si>
  <si>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</si>
  <si>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t>生命之舞</t>
  </si>
  <si>
    <r>
      <t>宁夏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熙酒庄有限公司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</si>
  <si>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酸酒（低等葡萄酒）; 开胃酒;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餐后酒（利口酒和烈酒）;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清酒（日本米...</t>
    </r>
  </si>
  <si>
    <t>竹留香</t>
  </si>
  <si>
    <r>
      <t>平阳</t>
    </r>
    <r>
      <rPr>
        <sz val="11"/>
        <color theme="1"/>
        <rFont val="ＭＳ Ｐゴシック"/>
        <family val="3"/>
        <charset val="134"/>
        <scheme val="minor"/>
      </rPr>
      <t>县鹤</t>
    </r>
    <r>
      <rPr>
        <sz val="11"/>
        <color theme="1"/>
        <rFont val="ＭＳ Ｐゴシック"/>
        <family val="3"/>
        <charset val="128"/>
        <scheme val="minor"/>
      </rPr>
      <t>翔酒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</si>
  <si>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清酒（日本米酒）;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</si>
  <si>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上金三宝</t>
  </si>
  <si>
    <r>
      <t>华</t>
    </r>
    <r>
      <rPr>
        <sz val="11"/>
        <color theme="1"/>
        <rFont val="ＭＳ Ｐゴシック"/>
        <family val="3"/>
        <charset val="128"/>
        <scheme val="minor"/>
      </rPr>
      <t>峻松</t>
    </r>
  </si>
  <si>
    <r>
      <t>葡萄酒; 开胃酒; 含酒精蛋奶酒;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</t>
    </r>
  </si>
  <si>
    <r>
      <t>天朝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</si>
  <si>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桃秀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</si>
  <si>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开胃酒;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</si>
  <si>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北魁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典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</si>
  <si>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宁北魁生</t>
    </r>
    <r>
      <rPr>
        <sz val="11"/>
        <color theme="1"/>
        <rFont val="ＭＳ Ｐゴシック"/>
        <family val="3"/>
        <charset val="134"/>
        <scheme val="minor"/>
      </rPr>
      <t>态酿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</si>
  <si>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汽酒; 米酒; 果酒（含酒精）; 葡萄酒; 青稞酒;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</si>
  <si>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大妙</t>
  </si>
  <si>
    <r>
      <t>杨</t>
    </r>
    <r>
      <rPr>
        <sz val="11"/>
        <color theme="1"/>
        <rFont val="ＭＳ Ｐゴシック"/>
        <family val="3"/>
        <charset val="128"/>
        <scheme val="minor"/>
      </rPr>
      <t>慧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</si>
  <si>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蜂蜜酒; 葡萄酒; 汽酒; 清酒（日本米酒）</t>
    </r>
  </si>
  <si>
    <t>臻九九醉芙蓉</t>
  </si>
  <si>
    <r>
      <t>环</t>
    </r>
    <r>
      <rPr>
        <sz val="11"/>
        <color theme="1"/>
        <rFont val="ＭＳ Ｐゴシック"/>
        <family val="3"/>
        <charset val="128"/>
        <scheme val="minor"/>
      </rPr>
      <t>球佳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</si>
  <si>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白干酒（中国白酒）;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</t>
    </r>
  </si>
  <si>
    <t>莎露特 ALLA SALUTE</t>
  </si>
  <si>
    <r>
      <t>弗朗西斯科·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泰拉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</si>
  <si>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朗姆酒</t>
    </r>
  </si>
  <si>
    <r>
      <t>菲斯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斯</t>
    </r>
  </si>
  <si>
    <t>广州芙芬生物科技有限公司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</si>
  <si>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薄荷酒;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</si>
  <si>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继艺</t>
    </r>
    <r>
      <rPr>
        <sz val="11"/>
        <color theme="1"/>
        <rFont val="ＭＳ Ｐゴシック"/>
        <family val="3"/>
        <charset val="128"/>
        <scheme val="minor"/>
      </rPr>
      <t>臻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</si>
  <si>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来香酒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</si>
  <si>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果酒（含酒精）; 白酒; 高粱酒; 米酒</t>
    </r>
  </si>
  <si>
    <r>
      <t>怀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王子</t>
    </r>
  </si>
  <si>
    <r>
      <t>白酒;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</si>
  <si>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洪</t>
    </r>
    <r>
      <rPr>
        <sz val="11"/>
        <color theme="1"/>
        <rFont val="ＭＳ Ｐゴシック"/>
        <family val="3"/>
        <charset val="134"/>
        <scheme val="minor"/>
      </rPr>
      <t>圆</t>
    </r>
  </si>
  <si>
    <t>洪增全******************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</si>
  <si>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果酒（含酒精）;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</si>
  <si>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奕潭</t>
  </si>
  <si>
    <r>
      <t>张艺</t>
    </r>
    <r>
      <rPr>
        <sz val="11"/>
        <color theme="1"/>
        <rFont val="ＭＳ Ｐゴシック"/>
        <family val="3"/>
        <charset val="128"/>
        <scheme val="minor"/>
      </rPr>
      <t>媛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</si>
  <si>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果酒; 米酒; 葡萄酒; 汽酒; 烈酒</t>
    </r>
  </si>
  <si>
    <t>九洲藏天海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</si>
  <si>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起泡白葡萄酒; 烈酒;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</si>
  <si>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瑞美甄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柔雅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</si>
  <si>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瑞美（北京）健康科技有限公司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</si>
  <si>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酸酒（低等葡萄酒）;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</si>
  <si>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避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谷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</si>
  <si>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寿仙谷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</si>
  <si>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</si>
  <si>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沃源漠宝</t>
  </si>
  <si>
    <r>
      <t>鄂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多斯市沃源生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</si>
  <si>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威士忌; 米酒;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</si>
  <si>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融舟</t>
  </si>
  <si>
    <r>
      <t>深圳市雅加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包装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</si>
  <si>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汽酒; 食用酒精; 黄酒; 白酒; 米酒; 白干酒（中国白酒）; 五加皮酒（中国混合烈酒）</t>
    </r>
  </si>
  <si>
    <t>妃武夷</t>
  </si>
  <si>
    <r>
      <t>河南家有好商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</si>
  <si>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</si>
  <si>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仁青源老酒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</si>
  <si>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山西仁青源酒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</si>
  <si>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食用酒精; 高粱酒; 露酒</t>
    </r>
  </si>
  <si>
    <t>笮食匠人</t>
  </si>
  <si>
    <r>
      <t>攀枝花市花城山水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</si>
  <si>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苹果酒;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</si>
  <si>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刘冬泉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</si>
  <si>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葡萄酒; 伏特加酒;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</si>
  <si>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巴渝</t>
    </r>
    <r>
      <rPr>
        <sz val="11"/>
        <color theme="1"/>
        <rFont val="ＭＳ Ｐゴシック"/>
        <family val="3"/>
        <charset val="134"/>
        <scheme val="minor"/>
      </rPr>
      <t>乌镇</t>
    </r>
  </si>
  <si>
    <r>
      <t>中合泰富（重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</si>
  <si>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甜酒; 葡萄酒; 佐餐酒;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天然汽酒; 白酒; 日式甜米酒; 甜果酒;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</si>
  <si>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某巽</t>
  </si>
  <si>
    <t>麻昌祝</t>
  </si>
  <si>
    <r>
      <t>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白酒; 果酒（含酒精）; 米酒</t>
    </r>
  </si>
  <si>
    <t>唐子城</t>
  </si>
  <si>
    <r>
      <t>扬</t>
    </r>
    <r>
      <rPr>
        <sz val="11"/>
        <color theme="1"/>
        <rFont val="ＭＳ Ｐゴシック"/>
        <family val="3"/>
        <charset val="128"/>
        <scheme val="minor"/>
      </rPr>
      <t>州和美城</t>
    </r>
    <r>
      <rPr>
        <sz val="11"/>
        <color theme="1"/>
        <rFont val="ＭＳ Ｐゴシック"/>
        <family val="3"/>
        <charset val="134"/>
        <scheme val="minor"/>
      </rPr>
      <t>镇发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</si>
  <si>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</si>
  <si>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r>
      <t>赵记浓</t>
    </r>
    <r>
      <rPr>
        <sz val="11"/>
        <color theme="1"/>
        <rFont val="ＭＳ Ｐゴシック"/>
        <family val="3"/>
        <charset val="128"/>
        <scheme val="minor"/>
      </rPr>
      <t>家女</t>
    </r>
  </si>
  <si>
    <t>赵军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</si>
  <si>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混合威士忌酒; 果酒;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</si>
  <si>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王羽帆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</si>
  <si>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青稞酒;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</si>
  <si>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南坪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</si>
  <si>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</si>
  <si>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高粱酒;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</si>
  <si>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桂</t>
    </r>
    <r>
      <rPr>
        <sz val="11"/>
        <color theme="1"/>
        <rFont val="ＭＳ Ｐゴシック"/>
        <family val="3"/>
        <charset val="134"/>
        <scheme val="minor"/>
      </rPr>
      <t>济</t>
    </r>
  </si>
  <si>
    <r>
      <t>刁耀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</si>
  <si>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水果汽酒;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</si>
  <si>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知酒公</t>
  </si>
  <si>
    <t>毛新元</t>
  </si>
  <si>
    <r>
      <t>开胃酒; 白干酒（中国白酒）; 白酒; 果酒（含酒精）; 黄酒; 烈酒;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米酒</t>
    </r>
  </si>
  <si>
    <t>皇征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</si>
  <si>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市皇征酒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</si>
  <si>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</si>
  <si>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主心骨</t>
  </si>
  <si>
    <r>
      <t>河北楷里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壹生物科技有限公司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</si>
  <si>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</si>
  <si>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氏阿南</t>
    </r>
  </si>
  <si>
    <t>陈红娇</t>
  </si>
  <si>
    <r>
      <t>开胃酒;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</si>
  <si>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臻品卡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尼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</si>
  <si>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宏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酒厂有限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</si>
  <si>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</t>
    </r>
  </si>
  <si>
    <t>丹霞碧玻</t>
  </si>
  <si>
    <r>
      <t>郑</t>
    </r>
    <r>
      <rPr>
        <sz val="11"/>
        <color theme="1"/>
        <rFont val="ＭＳ Ｐゴシック"/>
        <family val="3"/>
        <charset val="128"/>
        <scheme val="minor"/>
      </rPr>
      <t>立</t>
    </r>
    <r>
      <rPr>
        <sz val="11"/>
        <color theme="1"/>
        <rFont val="ＭＳ Ｐゴシック"/>
        <family val="3"/>
        <charset val="134"/>
        <scheme val="minor"/>
      </rPr>
      <t>举</t>
    </r>
  </si>
  <si>
    <r>
      <t xml:space="preserve">葡萄酒;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</si>
  <si>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武迎当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</si>
  <si>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廖日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</si>
  <si>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米酒; 烈酒; 甜果酒; 甜酒; 梅酒; 白酒;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</si>
  <si>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君淘沙</t>
  </si>
  <si>
    <r>
      <t>范小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</si>
  <si>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黄酒;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食用酒精; 白酒; 高粱酒; 五加皮酒（中国混合烈酒）; 蒸煮提取物（利口酒和烈酒）</t>
    </r>
  </si>
  <si>
    <t>守玉</t>
  </si>
  <si>
    <r>
      <t>浙江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源信息技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</si>
  <si>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黄酒;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</si>
  <si>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千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年</t>
    </r>
  </si>
  <si>
    <r>
      <t>浙江政宇酒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</si>
  <si>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黄酒;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</si>
  <si>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AINO WHITE</t>
  </si>
  <si>
    <r>
      <t>陈晓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</si>
  <si>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薄荷酒; 威士忌; 果酒（含酒精）;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伏特加酒; 含酒精的气泡水</t>
    </r>
  </si>
  <si>
    <t>檬香趣</t>
  </si>
  <si>
    <t>深圳市檬香趣食品有限公司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</si>
  <si>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果酒（含酒精）; 蜂蜜酒;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</si>
  <si>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冠芝一品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</si>
  <si>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天泰灵芝有限公司</t>
    </r>
  </si>
  <si>
    <r>
      <t xml:space="preserve">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</t>
    </r>
  </si>
  <si>
    <r>
      <t>桂</t>
    </r>
    <r>
      <rPr>
        <sz val="11"/>
        <color theme="1"/>
        <rFont val="ＭＳ Ｐゴシック"/>
        <family val="3"/>
        <charset val="134"/>
        <scheme val="minor"/>
      </rPr>
      <t>题</t>
    </r>
    <r>
      <rPr>
        <sz val="11"/>
        <color theme="1"/>
        <rFont val="ＭＳ Ｐゴシック"/>
        <family val="3"/>
        <charset val="128"/>
        <scheme val="minor"/>
      </rPr>
      <t>无双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</si>
  <si>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</si>
  <si>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凤鸣龙</t>
    </r>
    <r>
      <rPr>
        <sz val="11"/>
        <color theme="1"/>
        <rFont val="ＭＳ Ｐゴシック"/>
        <family val="3"/>
        <charset val="128"/>
        <scheme val="minor"/>
      </rPr>
      <t>行天下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</si>
  <si>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夏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奇国酒（北京）酒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</si>
  <si>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</si>
  <si>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康曼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酒庄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</si>
  <si>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涵</t>
    </r>
  </si>
  <si>
    <r>
      <t>威士忌; 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</si>
  <si>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永和流</t>
    </r>
    <r>
      <rPr>
        <sz val="11"/>
        <color theme="1"/>
        <rFont val="ＭＳ Ｐゴシック"/>
        <family val="3"/>
        <charset val="134"/>
        <scheme val="minor"/>
      </rPr>
      <t>觞</t>
    </r>
  </si>
  <si>
    <t>丁来荣</t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</si>
  <si>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清酒; 高粱酒; 米酒; 甜酒; 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</si>
  <si>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珍天成酒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</si>
  <si>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葡萄酒; 青稞酒; 白干酒(中国白酒);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白酒; 老酒(中国蒸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烈酒); 蝮蛇酒</t>
    </r>
  </si>
  <si>
    <t>AGERLHOF</t>
  </si>
  <si>
    <r>
      <t>朗姆酒; 伏特加酒; 甜酒; 葡萄汽酒;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开胃酒</t>
    </r>
  </si>
  <si>
    <r>
      <t>礼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渡</t>
    </r>
  </si>
  <si>
    <t>秦大姑</t>
  </si>
  <si>
    <r>
      <t>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</si>
  <si>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孚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扉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</si>
  <si>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通化市亦博商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</si>
  <si>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水果汽酒;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果酒; 青梅酒;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</si>
  <si>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乘</t>
    </r>
    <r>
      <rPr>
        <sz val="11"/>
        <color theme="1"/>
        <rFont val="ＭＳ Ｐゴシック"/>
        <family val="3"/>
        <charset val="134"/>
        <scheme val="minor"/>
      </rPr>
      <t>龙腾飞</t>
    </r>
  </si>
  <si>
    <r>
      <t xml:space="preserve">米酒;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黄酒; 汽酒</t>
    </r>
  </si>
  <si>
    <r>
      <t>诺</t>
    </r>
    <r>
      <rPr>
        <sz val="11"/>
        <color theme="1"/>
        <rFont val="ＭＳ Ｐゴシック"/>
        <family val="3"/>
        <charset val="128"/>
        <scheme val="minor"/>
      </rPr>
      <t>因达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</si>
  <si>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</si>
  <si>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尊品晋香</t>
  </si>
  <si>
    <r>
      <t>冀宏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</si>
  <si>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烈酒;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食用酒精; 葡萄酒</t>
    </r>
  </si>
  <si>
    <r>
      <t>黎便</t>
    </r>
    <r>
      <rPr>
        <sz val="11"/>
        <color theme="1"/>
        <rFont val="ＭＳ Ｐゴシック"/>
        <family val="3"/>
        <charset val="134"/>
        <scheme val="minor"/>
      </rPr>
      <t>邻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</si>
  <si>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鹏飞</t>
    </r>
  </si>
  <si>
    <r>
      <t xml:space="preserve">葡萄酒; 果酒（含酒精）; 威士忌; 米酒;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</si>
  <si>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昊运</t>
  </si>
  <si>
    <r>
      <t>宁夏</t>
    </r>
    <r>
      <rPr>
        <sz val="11"/>
        <color theme="1"/>
        <rFont val="ＭＳ Ｐゴシック"/>
        <family val="3"/>
        <charset val="134"/>
        <scheme val="minor"/>
      </rPr>
      <t>红玛</t>
    </r>
    <r>
      <rPr>
        <sz val="11"/>
        <color theme="1"/>
        <rFont val="ＭＳ Ｐゴシック"/>
        <family val="3"/>
        <charset val="128"/>
        <scheme val="minor"/>
      </rPr>
      <t>瑙枸杞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</si>
  <si>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朗姆酒; 伏特加酒; 果酒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</si>
  <si>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税悦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税科技研究院有限公司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</si>
  <si>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黄酒; 米酒;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</si>
  <si>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九洲藏</t>
  </si>
  <si>
    <r>
      <t>果酒（含酒精）; 葡萄酒; 清酒（日本米酒）;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白酒; 起泡白葡萄酒;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</si>
  <si>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祥存古窖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</si>
  <si>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市祥存酒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</si>
  <si>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白干酒（中国白酒）;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</si>
  <si>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t>蜀亮</t>
  </si>
  <si>
    <t>董德述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</si>
  <si>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黄酒; 甜酒; 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果酒（含酒精）</t>
    </r>
  </si>
  <si>
    <t>GZPJ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</si>
  <si>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州品界酒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</si>
  <si>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</si>
  <si>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尚上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文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</si>
  <si>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州尚上教育科技有限公司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</si>
  <si>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黄酒; 米酒; 白酒; 清酒（日本米酒）</t>
    </r>
  </si>
  <si>
    <r>
      <t>俭</t>
    </r>
    <r>
      <rPr>
        <sz val="11"/>
        <color theme="1"/>
        <rFont val="ＭＳ Ｐゴシック"/>
        <family val="3"/>
        <charset val="128"/>
        <scheme val="minor"/>
      </rPr>
      <t>俑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</si>
  <si>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</si>
  <si>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初台</t>
  </si>
  <si>
    <r>
      <t>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白酒;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</si>
  <si>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里金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凰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</si>
  <si>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仁利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</si>
  <si>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露酒; 果酒;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</si>
  <si>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大仁佳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</si>
  <si>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程</t>
    </r>
    <r>
      <rPr>
        <sz val="11"/>
        <color theme="1"/>
        <rFont val="ＭＳ Ｐゴシック"/>
        <family val="3"/>
        <charset val="134"/>
        <scheme val="minor"/>
      </rPr>
      <t>泽红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</si>
  <si>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米酒; 蒸煮提取物（利口酒和烈酒）; 食用酒精; 白酒</t>
    </r>
  </si>
  <si>
    <t>甄川道</t>
  </si>
  <si>
    <r>
      <t>曲阜市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品生物科技有限公司</t>
    </r>
  </si>
  <si>
    <r>
      <t xml:space="preserve">利口酒; 米酒; 黄酒;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</si>
  <si>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双果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</si>
  <si>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清酒（日本米酒）;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葡萄酒; 白酒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</si>
  <si>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瑀</t>
    </r>
  </si>
  <si>
    <t>宁夏卓萃包装有限公司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</si>
  <si>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甜酒; 米酒;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白酒</t>
    </r>
  </si>
  <si>
    <t>食与膳 FOOD AND MEALS</t>
  </si>
  <si>
    <r>
      <t>临</t>
    </r>
    <r>
      <rPr>
        <sz val="11"/>
        <color theme="1"/>
        <rFont val="ＭＳ Ｐゴシック"/>
        <family val="3"/>
        <charset val="128"/>
        <scheme val="minor"/>
      </rPr>
      <t>沂</t>
    </r>
    <r>
      <rPr>
        <sz val="11"/>
        <color theme="1"/>
        <rFont val="ＭＳ Ｐゴシック"/>
        <family val="3"/>
        <charset val="134"/>
        <scheme val="minor"/>
      </rPr>
      <t>鸿兴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</si>
  <si>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利口酒;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</si>
  <si>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上天峰 酒</t>
  </si>
  <si>
    <t>江西南昌上天峰酒厂</t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</si>
  <si>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青稞酒; 果酒; 黄酒;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高粱酒</t>
    </r>
  </si>
  <si>
    <t>弦林</t>
  </si>
  <si>
    <r>
      <t>荟语</t>
    </r>
    <r>
      <rPr>
        <sz val="11"/>
        <color theme="1"/>
        <rFont val="ＭＳ Ｐゴシック"/>
        <family val="3"/>
        <charset val="128"/>
        <scheme val="minor"/>
      </rPr>
      <t>（惠州）科技有限公司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</si>
  <si>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苦味酒; 青稞酒; 葡萄酒; 白酒; 米酒; 果酒（含酒精）; 蜂蜜酒</t>
    </r>
  </si>
  <si>
    <t>崇小白</t>
  </si>
  <si>
    <r>
      <t>江西</t>
    </r>
    <r>
      <rPr>
        <sz val="11"/>
        <color theme="1"/>
        <rFont val="ＭＳ Ｐゴシック"/>
        <family val="3"/>
        <charset val="134"/>
        <scheme val="minor"/>
      </rPr>
      <t>赣</t>
    </r>
    <r>
      <rPr>
        <sz val="11"/>
        <color theme="1"/>
        <rFont val="ＭＳ Ｐゴシック"/>
        <family val="3"/>
        <charset val="128"/>
        <scheme val="minor"/>
      </rPr>
      <t>仁堂酒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</si>
  <si>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清酒; 白酒; 开胃酒;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</si>
  <si>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福老</t>
    </r>
    <r>
      <rPr>
        <sz val="11"/>
        <color theme="1"/>
        <rFont val="ＭＳ Ｐゴシック"/>
        <family val="3"/>
        <charset val="134"/>
        <scheme val="minor"/>
      </rPr>
      <t>铁</t>
    </r>
  </si>
  <si>
    <t>杜海涛</t>
  </si>
  <si>
    <r>
      <t>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</si>
  <si>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醴霆</t>
  </si>
  <si>
    <t>王佳玲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</si>
  <si>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</si>
  <si>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喀</t>
    </r>
    <r>
      <rPr>
        <sz val="11"/>
        <color theme="1"/>
        <rFont val="ＭＳ Ｐゴシック"/>
        <family val="3"/>
        <charset val="129"/>
        <scheme val="minor"/>
      </rPr>
      <t>旮</t>
    </r>
    <r>
      <rPr>
        <sz val="11"/>
        <color theme="1"/>
        <rFont val="ＭＳ Ｐゴシック"/>
        <family val="3"/>
        <charset val="128"/>
        <scheme val="minor"/>
      </rPr>
      <t>印象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</si>
  <si>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州卡迪博科技有限公司</t>
    </r>
  </si>
  <si>
    <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果酒;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天然汽酒;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</t>
    </r>
  </si>
  <si>
    <t>卡帕蒂姆</t>
  </si>
  <si>
    <r>
      <t>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</si>
  <si>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嘉久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</si>
  <si>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宁吉喆商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</si>
  <si>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葡萄酒; 露酒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</si>
  <si>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中瑰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</si>
  <si>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威士忌; 清酒;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汽酒; 米酒</t>
    </r>
  </si>
  <si>
    <t>黔隆美</t>
  </si>
  <si>
    <r>
      <t xml:space="preserve">白酒; 黄酒;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汽酒; 果酒</t>
    </r>
  </si>
  <si>
    <t>碧迎名</t>
  </si>
  <si>
    <r>
      <t>古</t>
    </r>
    <r>
      <rPr>
        <sz val="11"/>
        <color theme="1"/>
        <rFont val="ＭＳ Ｐゴシック"/>
        <family val="3"/>
        <charset val="134"/>
        <scheme val="minor"/>
      </rPr>
      <t>蔺县</t>
    </r>
    <r>
      <rPr>
        <sz val="11"/>
        <color theme="1"/>
        <rFont val="ＭＳ Ｐゴシック"/>
        <family val="3"/>
        <charset val="128"/>
        <scheme val="minor"/>
      </rPr>
      <t>碧迎酒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</si>
  <si>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果酒（含酒精）;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</si>
  <si>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北魁私藏</t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</si>
  <si>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果酒（含酒精）;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米酒</t>
    </r>
  </si>
  <si>
    <t>和禾苑版本</t>
  </si>
  <si>
    <r>
      <t>和禾苑（北京）商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</si>
  <si>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</si>
  <si>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天下 SINGLE MT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</si>
  <si>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天下酒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</si>
  <si>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白酒; 食用酒精; 清酒（日本米酒）; 伏特加酒</t>
    </r>
  </si>
  <si>
    <r>
      <t>RODGE TRUNKING 洛爵</t>
    </r>
    <r>
      <rPr>
        <sz val="11"/>
        <color theme="1"/>
        <rFont val="ＭＳ Ｐゴシック"/>
        <family val="3"/>
        <charset val="134"/>
        <scheme val="minor"/>
      </rPr>
      <t>长颈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</si>
  <si>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卡拉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</si>
  <si>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伏特加酒; 白酒;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</si>
  <si>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酒吧零零</t>
  </si>
  <si>
    <r>
      <t>保定京宏福酒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</si>
  <si>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黄酒; 利口酒; 米酒; 青稞酒</t>
    </r>
  </si>
  <si>
    <t>曾宜品</t>
  </si>
  <si>
    <r>
      <t>曾凡</t>
    </r>
    <r>
      <rPr>
        <sz val="11"/>
        <color theme="1"/>
        <rFont val="ＭＳ Ｐゴシック"/>
        <family val="3"/>
        <charset val="134"/>
        <scheme val="minor"/>
      </rPr>
      <t>银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</si>
  <si>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汽酒;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</t>
    </r>
  </si>
  <si>
    <t>未来幸福</t>
  </si>
  <si>
    <r>
      <t>钧飞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管理(上海)有限公司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</si>
  <si>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青稞酒; 葡萄酒; 白酒</t>
    </r>
  </si>
  <si>
    <t>云商萄园</t>
  </si>
  <si>
    <r>
      <t>买买</t>
    </r>
    <r>
      <rPr>
        <sz val="11"/>
        <color theme="1"/>
        <rFont val="ＭＳ Ｐゴシック"/>
        <family val="3"/>
        <charset val="128"/>
        <scheme val="minor"/>
      </rPr>
      <t>提艾力·艾沙</t>
    </r>
  </si>
  <si>
    <r>
      <t>起泡白葡萄酒;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不起泡葡萄酒;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葡萄汽酒;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葡萄酒; 加烈葡萄酒</t>
    </r>
  </si>
  <si>
    <r>
      <t>知己乃一</t>
    </r>
    <r>
      <rPr>
        <sz val="11"/>
        <color theme="1"/>
        <rFont val="ＭＳ Ｐゴシック"/>
        <family val="3"/>
        <charset val="134"/>
        <scheme val="minor"/>
      </rPr>
      <t>壶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</si>
  <si>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市来一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</si>
  <si>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高粱酒;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葡萄酒</t>
    </r>
  </si>
  <si>
    <t>SIGHARDT DONABAUM</t>
  </si>
  <si>
    <r>
      <t>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葡萄汽酒;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甜酒; 开胃酒;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</si>
  <si>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采桂</t>
  </si>
  <si>
    <r>
      <t>张</t>
    </r>
    <r>
      <rPr>
        <sz val="11"/>
        <color theme="1"/>
        <rFont val="ＭＳ Ｐゴシック"/>
        <family val="3"/>
        <charset val="128"/>
        <scheme val="minor"/>
      </rPr>
      <t>家口智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</si>
  <si>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汽酒; 白酒; 黄酒; 米酒; 开胃酒; 果酒(含酒精);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利口酒; 梅酒; 葡萄酒</t>
    </r>
  </si>
  <si>
    <t>老秦凉都</t>
  </si>
  <si>
    <r>
      <t>杭州佬秦餐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</si>
  <si>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烈酒; 黄酒; 清酒; 果酒</t>
    </r>
  </si>
  <si>
    <t>川小熊</t>
  </si>
  <si>
    <t>吴子燚</t>
  </si>
  <si>
    <r>
      <t>白酒; 高粱酒; 果酒（含酒精）; 青稞酒; 梅酒; 露酒;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</si>
  <si>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和川八</t>
  </si>
  <si>
    <r>
      <t>山西省安</t>
    </r>
    <r>
      <rPr>
        <sz val="11"/>
        <color theme="1"/>
        <rFont val="ＭＳ Ｐゴシック"/>
        <family val="3"/>
        <charset val="134"/>
        <scheme val="minor"/>
      </rPr>
      <t>泽县</t>
    </r>
    <r>
      <rPr>
        <sz val="11"/>
        <color theme="1"/>
        <rFont val="ＭＳ Ｐゴシック"/>
        <family val="3"/>
        <charset val="128"/>
        <scheme val="minor"/>
      </rPr>
      <t>和川</t>
    </r>
    <r>
      <rPr>
        <sz val="11"/>
        <color theme="1"/>
        <rFont val="ＭＳ Ｐゴシック"/>
        <family val="3"/>
        <charset val="134"/>
        <scheme val="minor"/>
      </rPr>
      <t>蔺</t>
    </r>
    <r>
      <rPr>
        <sz val="11"/>
        <color theme="1"/>
        <rFont val="ＭＳ Ｐゴシック"/>
        <family val="3"/>
        <charset val="128"/>
        <scheme val="minor"/>
      </rPr>
      <t>泉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</si>
  <si>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汽酒; 蒸煮提取物（利口酒和烈酒）;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黄酒</t>
    </r>
  </si>
  <si>
    <t>和川捌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</si>
  <si>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汽酒; 白酒; 蒸煮提取物（利口酒和烈酒）</t>
    </r>
  </si>
  <si>
    <t>画印西湖</t>
  </si>
  <si>
    <r>
      <t>高邑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烟雨朦茶叶商</t>
    </r>
    <r>
      <rPr>
        <sz val="11"/>
        <color theme="1"/>
        <rFont val="ＭＳ Ｐゴシック"/>
        <family val="3"/>
        <charset val="134"/>
        <scheme val="minor"/>
      </rPr>
      <t>贸经营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</si>
  <si>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 xml:space="preserve">米酒; 清酒（日本米酒）; 白酒; 葡萄酒; 果酒（含酒精）; 伏特加酒;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</si>
  <si>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沣</t>
    </r>
    <r>
      <rPr>
        <sz val="11"/>
        <color theme="1"/>
        <rFont val="ＭＳ Ｐゴシック"/>
        <family val="3"/>
        <charset val="128"/>
        <scheme val="minor"/>
      </rPr>
      <t>渭福多</t>
    </r>
  </si>
  <si>
    <r>
      <t>西安</t>
    </r>
    <r>
      <rPr>
        <sz val="11"/>
        <color theme="1"/>
        <rFont val="ＭＳ Ｐゴシック"/>
        <family val="3"/>
        <charset val="134"/>
        <scheme val="minor"/>
      </rPr>
      <t>沣</t>
    </r>
    <r>
      <rPr>
        <sz val="11"/>
        <color theme="1"/>
        <rFont val="ＭＳ Ｐゴシック"/>
        <family val="3"/>
        <charset val="128"/>
        <scheme val="minor"/>
      </rPr>
      <t>渭城市服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</si>
  <si>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食用酒精; 白酒; 烈酒;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</si>
  <si>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小敏</t>
    </r>
  </si>
  <si>
    <r>
      <t>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葡萄酒;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</si>
  <si>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棏樽</t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</si>
  <si>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市得樽酒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</si>
  <si>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汽酒;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</t>
    </r>
  </si>
  <si>
    <t>芋冶</t>
  </si>
  <si>
    <r>
      <t>陈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银</t>
    </r>
  </si>
  <si>
    <r>
      <t xml:space="preserve">白酒; 果酒（含酒精）; 黄酒; 利口酒; 酸酒（低等葡萄酒）;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蒸煮提取物（利口酒和烈酒）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</si>
  <si>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城德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福包</t>
    </r>
  </si>
  <si>
    <r>
      <t>德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食品（常州）有限公司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</si>
  <si>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葡萄酒; 黄酒</t>
    </r>
  </si>
  <si>
    <t>阿吉那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</si>
  <si>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清酒（日本米酒）; 果酒（含酒精）; 葡萄酒</t>
    </r>
  </si>
  <si>
    <t>橘光影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</si>
  <si>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</si>
  <si>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叁</t>
    </r>
    <r>
      <rPr>
        <sz val="11"/>
        <color theme="1"/>
        <rFont val="ＭＳ Ｐゴシック"/>
        <family val="3"/>
        <charset val="128"/>
        <scheme val="minor"/>
      </rPr>
      <t>衫</t>
    </r>
    <r>
      <rPr>
        <sz val="11"/>
        <color theme="1"/>
        <rFont val="ＭＳ Ｐゴシック"/>
        <family val="3"/>
        <charset val="134"/>
        <scheme val="minor"/>
      </rPr>
      <t>绘</t>
    </r>
  </si>
  <si>
    <r>
      <t>四川云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天下</t>
    </r>
    <r>
      <rPr>
        <sz val="11"/>
        <color theme="1"/>
        <rFont val="ＭＳ Ｐゴシック"/>
        <family val="3"/>
        <charset val="134"/>
        <scheme val="minor"/>
      </rPr>
      <t>软</t>
    </r>
    <r>
      <rPr>
        <sz val="11"/>
        <color theme="1"/>
        <rFont val="ＭＳ Ｐゴシック"/>
        <family val="3"/>
        <charset val="128"/>
        <scheme val="minor"/>
      </rPr>
      <t>件科技有限公司</t>
    </r>
  </si>
  <si>
    <r>
      <t xml:space="preserve">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米酒; 甜酒; 葡萄酒;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</si>
  <si>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吴廷瑜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</si>
  <si>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州老吴公酒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</si>
  <si>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蜂蜜酒; 烈酒;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</si>
  <si>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周运恒通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</si>
  <si>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东潍县</t>
    </r>
    <r>
      <rPr>
        <sz val="11"/>
        <color theme="1"/>
        <rFont val="ＭＳ Ｐゴシック"/>
        <family val="3"/>
        <charset val="128"/>
        <scheme val="minor"/>
      </rPr>
      <t>景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</si>
  <si>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伏特加酒;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朗姆酒; 白酒; 果酒（含酒精）</t>
    </r>
  </si>
  <si>
    <r>
      <t>白酒; 起泡白葡萄酒; 烈酒;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</si>
  <si>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普生 TAPUSUN</t>
    </r>
  </si>
  <si>
    <r>
      <t>洛阳善适堡生物技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</si>
  <si>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水果汽酒;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</si>
  <si>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师</t>
    </r>
    <r>
      <rPr>
        <sz val="11"/>
        <color theme="1"/>
        <rFont val="ＭＳ Ｐゴシック"/>
        <family val="3"/>
        <charset val="128"/>
        <scheme val="minor"/>
      </rPr>
      <t>石范儿</t>
    </r>
  </si>
  <si>
    <r>
      <t>三化一</t>
    </r>
    <r>
      <rPr>
        <sz val="11"/>
        <color theme="1"/>
        <rFont val="ＭＳ Ｐゴシック"/>
        <family val="3"/>
        <charset val="134"/>
        <scheme val="minor"/>
      </rPr>
      <t>权产</t>
    </r>
    <r>
      <rPr>
        <sz val="11"/>
        <color theme="1"/>
        <rFont val="ＭＳ Ｐゴシック"/>
        <family val="3"/>
        <charset val="128"/>
        <scheme val="minor"/>
      </rPr>
      <t>教技能服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（江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</si>
  <si>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</si>
  <si>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北魁南果特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</si>
  <si>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 xml:space="preserve">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汽酒;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</t>
    </r>
  </si>
  <si>
    <r>
      <t>北魁魁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</si>
  <si>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果酒（含酒精）; 青稞酒</t>
    </r>
  </si>
  <si>
    <r>
      <t>吉蠲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饎</t>
    </r>
  </si>
  <si>
    <r>
      <t>釜阳春酒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</si>
  <si>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</si>
  <si>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雅</t>
    </r>
    <r>
      <rPr>
        <sz val="11"/>
        <color theme="1"/>
        <rFont val="ＭＳ Ｐゴシック"/>
        <family val="3"/>
        <charset val="134"/>
        <scheme val="minor"/>
      </rPr>
      <t>绣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</si>
  <si>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西洛雪品牌管理有限公司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</si>
  <si>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</si>
  <si>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樽迎圣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</si>
  <si>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汽酒; 果酒; 葡萄酒; 黄酒;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</si>
  <si>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世界竹</t>
  </si>
  <si>
    <r>
      <t xml:space="preserve">白酒;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</si>
  <si>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仙境元峰</t>
  </si>
  <si>
    <r>
      <t>烟台元峰生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</si>
  <si>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黄酒; 利口酒;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烈酒; 葡萄酒</t>
    </r>
  </si>
  <si>
    <t>焙芝芯</t>
  </si>
  <si>
    <t>焙芝芯（广州）食品有限公司</t>
  </si>
  <si>
    <r>
      <t>米酒; 蜂蜜酒; 果酒（含酒精）; 伏特加酒; 威士忌; 苹果酒;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</si>
  <si>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 xml:space="preserve">威士忌;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</t>
    </r>
  </si>
  <si>
    <r>
      <t>永</t>
    </r>
    <r>
      <rPr>
        <sz val="11"/>
        <color theme="1"/>
        <rFont val="ＭＳ Ｐゴシック"/>
        <family val="3"/>
        <charset val="134"/>
        <scheme val="minor"/>
      </rPr>
      <t>鹰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</si>
  <si>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仁山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</si>
  <si>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威士忌; 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</si>
  <si>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海洪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</si>
  <si>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米酒; 利口酒</t>
    </r>
  </si>
  <si>
    <t>什字里</t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</si>
  <si>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</si>
  <si>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r>
      <t>选</t>
    </r>
    <r>
      <rPr>
        <sz val="11"/>
        <color theme="1"/>
        <rFont val="ＭＳ Ｐゴシック"/>
        <family val="3"/>
        <charset val="128"/>
        <scheme val="minor"/>
      </rPr>
      <t>宜</t>
    </r>
    <r>
      <rPr>
        <sz val="11"/>
        <color theme="1"/>
        <rFont val="ＭＳ Ｐゴシック"/>
        <family val="3"/>
        <charset val="134"/>
        <scheme val="minor"/>
      </rPr>
      <t>选</t>
    </r>
  </si>
  <si>
    <t>江水泳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</si>
  <si>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</si>
  <si>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昙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</si>
  <si>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林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泓</t>
    </r>
  </si>
  <si>
    <r>
      <t xml:space="preserve">米酒; 白酒; 果酒; 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</si>
  <si>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牵</t>
    </r>
    <r>
      <rPr>
        <sz val="11"/>
        <color theme="1"/>
        <rFont val="ＭＳ Ｐゴシック"/>
        <family val="3"/>
        <charset val="128"/>
        <scheme val="minor"/>
      </rPr>
      <t>易</t>
    </r>
    <r>
      <rPr>
        <sz val="11"/>
        <color theme="1"/>
        <rFont val="ＭＳ Ｐゴシック"/>
        <family val="3"/>
        <charset val="134"/>
        <scheme val="minor"/>
      </rPr>
      <t>赢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</si>
  <si>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</t>
    </r>
    <r>
      <rPr>
        <sz val="11"/>
        <color theme="1"/>
        <rFont val="ＭＳ Ｐゴシック"/>
        <family val="3"/>
        <charset val="134"/>
        <scheme val="minor"/>
      </rPr>
      <t>码</t>
    </r>
    <r>
      <rPr>
        <sz val="11"/>
        <color theme="1"/>
        <rFont val="ＭＳ Ｐゴシック"/>
        <family val="3"/>
        <charset val="128"/>
        <scheme val="minor"/>
      </rPr>
      <t>高商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</si>
  <si>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烈酒; 葡萄酒; 米酒;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</si>
  <si>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粤</t>
    </r>
    <r>
      <rPr>
        <sz val="11"/>
        <color theme="1"/>
        <rFont val="ＭＳ Ｐゴシック"/>
        <family val="3"/>
        <charset val="134"/>
        <scheme val="minor"/>
      </rPr>
      <t>飘</t>
    </r>
    <r>
      <rPr>
        <sz val="11"/>
        <color theme="1"/>
        <rFont val="ＭＳ Ｐゴシック"/>
        <family val="3"/>
        <charset val="128"/>
        <scheme val="minor"/>
      </rPr>
      <t>地域</t>
    </r>
  </si>
  <si>
    <r>
      <t>广州拾茶</t>
    </r>
    <r>
      <rPr>
        <sz val="11"/>
        <color theme="1"/>
        <rFont val="ＭＳ Ｐゴシック"/>
        <family val="3"/>
        <charset val="134"/>
        <scheme val="minor"/>
      </rPr>
      <t>柠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</si>
  <si>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</si>
  <si>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众蓁文化 ZHONG ZHEN CULTURE</t>
  </si>
  <si>
    <r>
      <t>深圳市新百合投</t>
    </r>
    <r>
      <rPr>
        <sz val="11"/>
        <color theme="1"/>
        <rFont val="ＭＳ Ｐゴシック"/>
        <family val="3"/>
        <charset val="134"/>
        <scheme val="minor"/>
      </rPr>
      <t>资发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</si>
  <si>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餐后酒（利口酒和烈酒）; 威士忌; 薄荷酒;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白葡萄酒; 果酒（含酒精）; 朗姆酒;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</si>
  <si>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HAKKA ROYAL</t>
  </si>
  <si>
    <r>
      <t>广州新客府餐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</si>
  <si>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餐后酒（利口酒和烈酒）; 开胃酒; 利口酒</t>
    </r>
  </si>
  <si>
    <t>赓农</t>
  </si>
  <si>
    <t>王沙沙</t>
  </si>
  <si>
    <r>
      <t>米酒;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</si>
  <si>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果林立</t>
  </si>
  <si>
    <r>
      <t>邵阳市林立</t>
    </r>
    <r>
      <rPr>
        <sz val="11"/>
        <color theme="1"/>
        <rFont val="ＭＳ Ｐゴシック"/>
        <family val="3"/>
        <charset val="134"/>
        <scheme val="minor"/>
      </rPr>
      <t>农业综</t>
    </r>
    <r>
      <rPr>
        <sz val="11"/>
        <color theme="1"/>
        <rFont val="ＭＳ Ｐゴシック"/>
        <family val="3"/>
        <charset val="128"/>
        <scheme val="minor"/>
      </rPr>
      <t>合开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</si>
  <si>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起泡白葡萄酒; 白干酒（中国白酒）;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</si>
  <si>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奔南来北往富</t>
  </si>
  <si>
    <r>
      <t>罗</t>
    </r>
    <r>
      <rPr>
        <sz val="11"/>
        <color theme="1"/>
        <rFont val="ＭＳ Ｐゴシック"/>
        <family val="3"/>
        <charset val="128"/>
        <scheme val="minor"/>
      </rPr>
      <t>三元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</si>
  <si>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伏特加酒; 果酒（含酒精）; 葡萄酒; 朗姆酒; 薄荷酒; 米酒; 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</si>
  <si>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蒙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花田</t>
    </r>
  </si>
  <si>
    <r>
      <t>北京云</t>
    </r>
    <r>
      <rPr>
        <sz val="11"/>
        <color theme="1"/>
        <rFont val="ＭＳ Ｐゴシック"/>
        <family val="3"/>
        <charset val="134"/>
        <scheme val="minor"/>
      </rPr>
      <t>纵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</si>
  <si>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</si>
  <si>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膜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</si>
  <si>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三人行汽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</si>
  <si>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</si>
  <si>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r>
      <t>谱华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</si>
  <si>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黄酒; 果酒（含酒精）; 葡萄酒;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</t>
    </r>
  </si>
  <si>
    <r>
      <t>梅花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云鹿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</si>
  <si>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百涛</t>
    </r>
  </si>
  <si>
    <r>
      <t xml:space="preserve">果酒（含酒精）; 利口酒; 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米酒</t>
    </r>
  </si>
  <si>
    <r>
      <t>兖</t>
    </r>
    <r>
      <rPr>
        <sz val="11"/>
        <color theme="1"/>
        <rFont val="ＭＳ Ｐゴシック"/>
        <family val="3"/>
        <charset val="128"/>
        <scheme val="minor"/>
      </rPr>
      <t>孟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</si>
  <si>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柏学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</si>
  <si>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 xml:space="preserve">黄酒; 烈酒; 开胃酒; 米酒; 苹果酒; 食用酒精; 利口酒;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</si>
  <si>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继艺</t>
    </r>
    <r>
      <rPr>
        <sz val="11"/>
        <color theme="1"/>
        <rFont val="ＭＳ Ｐゴシック"/>
        <family val="3"/>
        <charset val="128"/>
        <scheme val="minor"/>
      </rPr>
      <t>精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</si>
  <si>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混合威士忌酒;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酸酒（低等葡萄酒）; 白酒; 葡萄酒; 甜果酒</t>
    </r>
  </si>
  <si>
    <r>
      <t>陇</t>
    </r>
    <r>
      <rPr>
        <sz val="11"/>
        <color theme="1"/>
        <rFont val="ＭＳ Ｐゴシック"/>
        <family val="3"/>
        <charset val="128"/>
        <scheme val="minor"/>
      </rPr>
      <t>佑道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</si>
  <si>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淘</t>
    </r>
    <r>
      <rPr>
        <sz val="11"/>
        <color theme="1"/>
        <rFont val="ＭＳ Ｐゴシック"/>
        <family val="3"/>
        <charset val="134"/>
        <scheme val="minor"/>
      </rPr>
      <t>乐时</t>
    </r>
    <r>
      <rPr>
        <sz val="11"/>
        <color theme="1"/>
        <rFont val="ＭＳ Ｐゴシック"/>
        <family val="3"/>
        <charset val="128"/>
        <scheme val="minor"/>
      </rPr>
      <t>代商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</si>
  <si>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</si>
  <si>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BOUDOU</t>
  </si>
  <si>
    <r>
      <t>深圳卓誉品牌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</si>
  <si>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威士忌; 含酒精的气泡水;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</si>
  <si>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YG</t>
  </si>
  <si>
    <t>河北玉果食品科技有限公司</t>
  </si>
  <si>
    <r>
      <t>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</si>
  <si>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鄱娘</t>
  </si>
  <si>
    <r>
      <t>陶神</t>
    </r>
    <r>
      <rPr>
        <sz val="11"/>
        <color theme="1"/>
        <rFont val="ＭＳ Ｐゴシック"/>
        <family val="3"/>
        <charset val="134"/>
        <scheme val="minor"/>
      </rPr>
      <t>赐</t>
    </r>
  </si>
  <si>
    <r>
      <t>清酒; 葡萄酒; 威士忌; 米酒; 黄酒; 果酒;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甜酒</t>
    </r>
  </si>
  <si>
    <t>九洲藏星海</t>
  </si>
  <si>
    <r>
      <t>清酒（日本米酒）; 起泡白葡萄酒;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果酒（含酒精）; 葡萄酒</t>
    </r>
  </si>
  <si>
    <t>秋橘响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</si>
  <si>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白酒; 葡萄酒; 米酒;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</si>
  <si>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MIANPINHAOWU</t>
  </si>
  <si>
    <r>
      <t>绵</t>
    </r>
    <r>
      <rPr>
        <sz val="11"/>
        <color theme="1"/>
        <rFont val="ＭＳ Ｐゴシック"/>
        <family val="3"/>
        <charset val="128"/>
        <scheme val="minor"/>
      </rPr>
      <t>阳造名特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食品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</si>
  <si>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蜂蜜酒; 米酒; 青梅酒; 果酒; 高粱酒;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</si>
  <si>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桑野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</si>
  <si>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>开胃酒; 清酒（日本米酒）; 烈酒; 黄酒;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</si>
  <si>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t>杏古玖</t>
  </si>
  <si>
    <r>
      <t>武小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</si>
  <si>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葡萄酒; 黄酒; 白酒; 食用酒精; 清酒（日本米酒）</t>
    </r>
  </si>
  <si>
    <r>
      <t>京都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逍遥</t>
    </r>
  </si>
  <si>
    <r>
      <t>北京皇家京都酒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</si>
  <si>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</si>
  <si>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小粱可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</si>
  <si>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粱会数字科技有限公司</t>
    </r>
  </si>
  <si>
    <r>
      <t>葡萄酒; 开胃酒;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黄酒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</si>
  <si>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禾</t>
    </r>
    <r>
      <rPr>
        <sz val="11"/>
        <color theme="1"/>
        <rFont val="ＭＳ Ｐゴシック"/>
        <family val="3"/>
        <charset val="134"/>
        <scheme val="minor"/>
      </rPr>
      <t>图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</si>
  <si>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万福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</si>
  <si>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果酒（含酒精）; 黄酒; 白酒; 烈酒; 葡萄酒; 威士忌</t>
    </r>
  </si>
  <si>
    <r>
      <t>利多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</si>
  <si>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>朗姆酒; 黄酒; 葡萄酒; 果酒（含酒精）; 伏特加酒; 米酒;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</si>
  <si>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洞小二</t>
  </si>
  <si>
    <t>吴成碧</t>
  </si>
  <si>
    <r>
      <t>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</si>
  <si>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鲜贩</t>
  </si>
  <si>
    <r>
      <t>卢</t>
    </r>
    <r>
      <rPr>
        <sz val="11"/>
        <color theme="1"/>
        <rFont val="ＭＳ Ｐゴシック"/>
        <family val="3"/>
        <charset val="128"/>
        <scheme val="minor"/>
      </rPr>
      <t>静雯</t>
    </r>
  </si>
  <si>
    <t>果酒; 汽酒; 白酒; 米酒; 食用酒精; 清酒; 黄酒; 甜酒; 葡萄酒; 开胃酒</t>
  </si>
  <si>
    <t>福鑫果</t>
  </si>
  <si>
    <r>
      <t>湖北硒品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</si>
  <si>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黄酒; 白酒; 米酒;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</si>
  <si>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RIEPL</t>
  </si>
  <si>
    <r>
      <t>朗姆酒; 果酒（含酒精）; 葡萄酒; 伏特加酒;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甜酒; 葡萄汽酒</t>
    </r>
  </si>
  <si>
    <r>
      <t>馋</t>
    </r>
    <r>
      <rPr>
        <sz val="11"/>
        <color theme="1"/>
        <rFont val="ＭＳ Ｐゴシック"/>
        <family val="3"/>
        <charset val="128"/>
        <scheme val="minor"/>
      </rPr>
      <t>盅猫</t>
    </r>
  </si>
  <si>
    <t>朱振宇</t>
  </si>
  <si>
    <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葡萄酒; 伏特加酒; 青稞酒; 威士忌; 汽酒; 黄酒</t>
    </r>
  </si>
  <si>
    <t>梁澄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</si>
  <si>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清酒（日本米酒）; 白酒; 威士忌; 开胃酒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</si>
  <si>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文正公</t>
    </r>
  </si>
  <si>
    <r>
      <t>焦作佰勤管家物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</si>
  <si>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开胃酒; 白酒; 米酒; 果酒（含酒精）; 葡萄酒</t>
    </r>
  </si>
  <si>
    <t>RUSSO BALTIQUE</t>
  </si>
  <si>
    <t>北京点名科技有限公司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</si>
  <si>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杜松子酒; 白酒; 朗姆酒; 伏特加酒;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</si>
  <si>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御酒人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</si>
  <si>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莞市御酒人酒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</si>
  <si>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米酒; 白酒; 梨酒; 青稞酒;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清酒（日本米酒）</t>
    </r>
  </si>
  <si>
    <t>品味稀都</t>
  </si>
  <si>
    <r>
      <t>建始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硒福</t>
    </r>
    <r>
      <rPr>
        <sz val="11"/>
        <color theme="1"/>
        <rFont val="ＭＳ Ｐゴシック"/>
        <family val="3"/>
        <charset val="134"/>
        <scheme val="minor"/>
      </rPr>
      <t>农业产业发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</si>
  <si>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清酒（日本米酒）;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果酒（含酒精）; 葡萄酒; 白酒</t>
    </r>
  </si>
  <si>
    <r>
      <t>品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</si>
  <si>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为华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</si>
  <si>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威士忌; 葡萄酒; 伏特加酒;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</si>
  <si>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万通</t>
    </r>
  </si>
  <si>
    <t>浙江松盛园食品有限公司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</si>
  <si>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</t>
    </r>
  </si>
  <si>
    <t>美大美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</si>
  <si>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闻</t>
    </r>
    <r>
      <rPr>
        <sz val="11"/>
        <color theme="1"/>
        <rFont val="ＭＳ Ｐゴシック"/>
        <family val="3"/>
        <charset val="128"/>
        <scheme val="minor"/>
      </rPr>
      <t>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</si>
  <si>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果酒（含酒精）;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</si>
  <si>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柚惑</t>
  </si>
  <si>
    <r>
      <t>郑</t>
    </r>
    <r>
      <rPr>
        <sz val="11"/>
        <color theme="1"/>
        <rFont val="ＭＳ Ｐゴシック"/>
        <family val="3"/>
        <charset val="128"/>
        <scheme val="minor"/>
      </rPr>
      <t>臻</t>
    </r>
  </si>
  <si>
    <r>
      <t>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果酒（含酒精）; 葡萄酒; 蜂蜜酒</t>
    </r>
  </si>
  <si>
    <r>
      <t>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仙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</si>
  <si>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艾森</t>
    </r>
    <r>
      <rPr>
        <sz val="11"/>
        <color theme="1"/>
        <rFont val="ＭＳ Ｐゴシック"/>
        <family val="3"/>
        <charset val="134"/>
        <scheme val="minor"/>
      </rPr>
      <t>维尔</t>
    </r>
    <r>
      <rPr>
        <sz val="11"/>
        <color theme="1"/>
        <rFont val="ＭＳ Ｐゴシック"/>
        <family val="3"/>
        <charset val="128"/>
        <scheme val="minor"/>
      </rPr>
      <t>（北京）蜂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</si>
  <si>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白干酒（中国白酒）; 白酒; 葡萄酒; 果酒;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蜂蜜酒;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开胃酒</t>
    </r>
  </si>
  <si>
    <t>仁福心</t>
  </si>
  <si>
    <t>王利平</t>
  </si>
  <si>
    <r>
      <t xml:space="preserve">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清酒; 葡萄酒; 汽酒;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</si>
  <si>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磊春堂</t>
  </si>
  <si>
    <r>
      <t>广西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沐仁和中草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</si>
  <si>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白酒;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佐餐酒; 米酒; 汽酒; 果酒（含酒精）</t>
    </r>
  </si>
  <si>
    <t>莱埃</t>
  </si>
  <si>
    <r>
      <t>世歌（青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</si>
  <si>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蒸煮提取物（利口酒和烈酒）; 食用酒精;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</si>
  <si>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鸾</t>
    </r>
    <r>
      <rPr>
        <sz val="11"/>
        <color theme="1"/>
        <rFont val="ＭＳ Ｐゴシック"/>
        <family val="3"/>
        <charset val="128"/>
        <scheme val="minor"/>
      </rPr>
      <t>湘子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</si>
  <si>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清</t>
    </r>
    <r>
      <rPr>
        <sz val="11"/>
        <color theme="1"/>
        <rFont val="ＭＳ Ｐゴシック"/>
        <family val="3"/>
        <charset val="134"/>
        <scheme val="minor"/>
      </rPr>
      <t>沣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</si>
  <si>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葡萄酒</t>
    </r>
  </si>
  <si>
    <r>
      <t>腾</t>
    </r>
    <r>
      <rPr>
        <sz val="11"/>
        <color theme="1"/>
        <rFont val="ＭＳ Ｐゴシック"/>
        <family val="3"/>
        <charset val="128"/>
        <scheme val="minor"/>
      </rPr>
      <t>牛山</t>
    </r>
  </si>
  <si>
    <t>刘建新</t>
  </si>
  <si>
    <r>
      <t>清酒（日本米酒）; 果酒;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黄酒</t>
    </r>
  </si>
  <si>
    <t>牧大牛</t>
  </si>
  <si>
    <t>上海希遐广告有限公司</t>
  </si>
  <si>
    <r>
      <t>果酒; 葡萄酒; 米酒; 食用酒精;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</si>
  <si>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果大王</t>
  </si>
  <si>
    <r>
      <t>蜀国春酒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</si>
  <si>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果酒（含酒精）;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汽酒;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</si>
  <si>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冉尼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</si>
  <si>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蒸煮提取物（利口酒和烈酒）; 米酒;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开胃酒</t>
    </r>
  </si>
  <si>
    <r>
      <t>泛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</si>
  <si>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泛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（上海）供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</si>
  <si>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汽酒; 白酒;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</si>
  <si>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致菱一品</t>
  </si>
  <si>
    <r>
      <t>致菱达（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</si>
  <si>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</si>
  <si>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枫</t>
    </r>
    <r>
      <rPr>
        <sz val="11"/>
        <color theme="1"/>
        <rFont val="ＭＳ Ｐゴシック"/>
        <family val="3"/>
        <charset val="128"/>
        <scheme val="minor"/>
      </rPr>
      <t>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</si>
  <si>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果酒; 白酒; 蒸煮提取物（利口酒和烈酒）; 高粱酒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</si>
  <si>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吉祥</t>
    </r>
  </si>
  <si>
    <r>
      <t>顾</t>
    </r>
    <r>
      <rPr>
        <sz val="11"/>
        <color theme="1"/>
        <rFont val="ＭＳ Ｐゴシック"/>
        <family val="3"/>
        <charset val="128"/>
        <scheme val="minor"/>
      </rPr>
      <t>万芬</t>
    </r>
  </si>
  <si>
    <r>
      <t xml:space="preserve">伏特加酒; 清酒（日本米酒）; 烈酒; 朗姆酒;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果酒（含酒精）</t>
    </r>
  </si>
  <si>
    <t>山角州</t>
  </si>
  <si>
    <r>
      <t>蒋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金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</si>
  <si>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烈酒; 葡萄酒;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开胃酒; 黄酒</t>
    </r>
  </si>
  <si>
    <t>玉米熊 CORN BEAR</t>
  </si>
  <si>
    <r>
      <t>成都和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酒店管理有限公司</t>
    </r>
  </si>
  <si>
    <r>
      <t>果酒;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</t>
    </r>
  </si>
  <si>
    <t>致明德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</si>
  <si>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稳贵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</si>
  <si>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清酒（日本米酒）; 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青稞酒; 白干酒（中国白酒）; 黄酒</t>
    </r>
  </si>
  <si>
    <r>
      <t>希</t>
    </r>
    <r>
      <rPr>
        <sz val="11"/>
        <color theme="1"/>
        <rFont val="ＭＳ Ｐゴシック"/>
        <family val="3"/>
        <charset val="134"/>
        <scheme val="minor"/>
      </rPr>
      <t>尔顿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</si>
  <si>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州希</t>
    </r>
    <r>
      <rPr>
        <sz val="11"/>
        <color theme="1"/>
        <rFont val="ＭＳ Ｐゴシック"/>
        <family val="3"/>
        <charset val="134"/>
        <scheme val="minor"/>
      </rPr>
      <t>尔顿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</si>
  <si>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青稞酒;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</si>
  <si>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希</t>
    </r>
    <r>
      <rPr>
        <sz val="11"/>
        <color theme="1"/>
        <rFont val="ＭＳ Ｐゴシック"/>
        <family val="3"/>
        <charset val="134"/>
        <scheme val="minor"/>
      </rPr>
      <t>尔顿</t>
    </r>
    <r>
      <rPr>
        <sz val="11"/>
        <color theme="1"/>
        <rFont val="ＭＳ Ｐゴシック"/>
        <family val="3"/>
        <charset val="128"/>
        <scheme val="minor"/>
      </rPr>
      <t>古</t>
    </r>
  </si>
  <si>
    <r>
      <t>白酒; 食用酒精;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青稞酒</t>
    </r>
  </si>
  <si>
    <t>富裕黑土情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</si>
  <si>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江省富裕老窖酒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</si>
  <si>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伏特加酒;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</si>
  <si>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古盛河</t>
  </si>
  <si>
    <r>
      <t>宿迁窑台商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</si>
  <si>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食用酒精; 米酒; 利口酒; 烈酒;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</si>
  <si>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汀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力</t>
    </r>
  </si>
  <si>
    <t>翁光佑</t>
  </si>
  <si>
    <r>
      <t>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伏特加酒</t>
    </r>
  </si>
  <si>
    <t>覃建品酒坊</t>
  </si>
  <si>
    <t>覃建品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</si>
  <si>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米酒; 蜂蜜酒; 葡萄酒;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</si>
  <si>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r>
      <t>摩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</si>
  <si>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江西摩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</si>
  <si>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梅酒; 米酒; 伏特加酒; 黄酒</t>
    </r>
  </si>
  <si>
    <t>醉行拾</t>
  </si>
  <si>
    <r>
      <t>陆远</t>
    </r>
    <r>
      <rPr>
        <sz val="11"/>
        <color theme="1"/>
        <rFont val="ＭＳ Ｐゴシック"/>
        <family val="3"/>
        <charset val="128"/>
        <scheme val="minor"/>
      </rPr>
      <t>洪</t>
    </r>
  </si>
  <si>
    <r>
      <t>果酒（含酒精）; 餐后酒（利口酒和烈酒）;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</si>
  <si>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t>水洌</t>
  </si>
  <si>
    <r>
      <t xml:space="preserve">梨酒; 白酒; 青稞酒; 葡萄酒; 米酒;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清酒（日本米酒）</t>
    </r>
  </si>
  <si>
    <r>
      <t>闪电</t>
    </r>
    <r>
      <rPr>
        <sz val="11"/>
        <color theme="1"/>
        <rFont val="ＭＳ Ｐゴシック"/>
        <family val="3"/>
        <charset val="128"/>
        <scheme val="minor"/>
      </rPr>
      <t>壹玖</t>
    </r>
  </si>
  <si>
    <r>
      <t>江西派友企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家俱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部有限公司</t>
    </r>
  </si>
  <si>
    <r>
      <t>蜂蜜酒;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白干酒（中国白酒）; 葡萄酒</t>
    </r>
  </si>
  <si>
    <t>班惠</t>
  </si>
  <si>
    <r>
      <t>吉林溢福园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</si>
  <si>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刺五加酒; 葡萄酒; 白酒; 果酒; 开胃酒</t>
    </r>
  </si>
  <si>
    <t>儒修</t>
  </si>
  <si>
    <r>
      <t>何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芬</t>
    </r>
  </si>
  <si>
    <r>
      <t>果酒（含酒精）;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</si>
  <si>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t>关夫人</t>
  </si>
  <si>
    <r>
      <t>山西春秋文化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</si>
  <si>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</si>
  <si>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五</t>
    </r>
    <r>
      <rPr>
        <sz val="11"/>
        <color theme="1"/>
        <rFont val="ＭＳ Ｐゴシック"/>
        <family val="3"/>
        <charset val="134"/>
        <scheme val="minor"/>
      </rPr>
      <t>爷</t>
    </r>
    <r>
      <rPr>
        <sz val="11"/>
        <color theme="1"/>
        <rFont val="ＭＳ Ｐゴシック"/>
        <family val="3"/>
        <charset val="128"/>
        <scheme val="minor"/>
      </rPr>
      <t>出川</t>
    </r>
  </si>
  <si>
    <r>
      <t>南京川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仔企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</si>
  <si>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>食用酒精;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</si>
  <si>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吉冰裕</t>
  </si>
  <si>
    <r>
      <t>罗显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</si>
  <si>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</si>
  <si>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班睿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</si>
  <si>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果酒（含酒精）;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</si>
  <si>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中宦</t>
  </si>
  <si>
    <r>
      <t>张兴</t>
    </r>
    <r>
      <rPr>
        <sz val="11"/>
        <color theme="1"/>
        <rFont val="ＭＳ Ｐゴシック"/>
        <family val="3"/>
        <charset val="128"/>
        <scheme val="minor"/>
      </rPr>
      <t>念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</si>
  <si>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烈酒; 威士忌; 青稞酒; 米酒</t>
    </r>
  </si>
  <si>
    <t>XIU CHUN FANG</t>
  </si>
  <si>
    <r>
      <t>宜春市秀春坊酒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</si>
  <si>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</si>
  <si>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弘格</t>
  </si>
  <si>
    <r>
      <t xml:space="preserve">朗姆酒; 烈性干酒;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伏特加酒; 白酒; 威士忌; 果酒（含酒精）</t>
    </r>
  </si>
  <si>
    <r>
      <t>麦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情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</si>
  <si>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鑫福</t>
    </r>
    <r>
      <rPr>
        <sz val="11"/>
        <color theme="1"/>
        <rFont val="ＭＳ Ｐゴシック"/>
        <family val="3"/>
        <charset val="134"/>
        <scheme val="minor"/>
      </rPr>
      <t>缘酿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</si>
  <si>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米酒; 食用酒精;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果酒</t>
    </r>
  </si>
  <si>
    <r>
      <t>盐</t>
    </r>
    <r>
      <rPr>
        <sz val="11"/>
        <color theme="1"/>
        <rFont val="ＭＳ Ｐゴシック"/>
        <family val="3"/>
        <charset val="128"/>
        <scheme val="minor"/>
      </rPr>
      <t>工古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</si>
  <si>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醉好客酒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</si>
  <si>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开胃酒;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白酒;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苦味酒</t>
    </r>
  </si>
  <si>
    <r>
      <t>众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众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基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</si>
  <si>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硕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</si>
  <si>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高粱酒; 白酒; 白干酒（中国白酒）;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</si>
  <si>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淳蜜</t>
  </si>
  <si>
    <r>
      <t>淳安千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湖千蜂郡种蜂养殖有限公司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</si>
  <si>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果酒; 甜酒; 蜂蜜酒; 米酒; 白酒; 葡萄酒; 梅酒; 露酒</t>
    </r>
  </si>
  <si>
    <r>
      <t>汇兴</t>
    </r>
    <r>
      <rPr>
        <sz val="11"/>
        <color theme="1"/>
        <rFont val="ＭＳ Ｐゴシック"/>
        <family val="3"/>
        <charset val="128"/>
        <scheme val="minor"/>
      </rPr>
      <t>昌</t>
    </r>
  </si>
  <si>
    <r>
      <t>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</si>
  <si>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r>
      <t>大司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丞</t>
    </r>
  </si>
  <si>
    <r>
      <t>河南状元郎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</si>
  <si>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薄荷酒; 青稞酒</t>
    </r>
  </si>
  <si>
    <t>去春山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</si>
  <si>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州赤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良典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</si>
  <si>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米酒;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</t>
    </r>
  </si>
  <si>
    <r>
      <t>名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集</t>
    </r>
  </si>
  <si>
    <r>
      <t>河北好酒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尚供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</si>
  <si>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食用酒精;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葡萄酒; 米酒</t>
    </r>
  </si>
  <si>
    <r>
      <t>添</t>
    </r>
    <r>
      <rPr>
        <sz val="11"/>
        <color theme="1"/>
        <rFont val="ＭＳ Ｐゴシック"/>
        <family val="3"/>
        <charset val="134"/>
        <scheme val="minor"/>
      </rPr>
      <t>财凤</t>
    </r>
  </si>
  <si>
    <r>
      <t>查</t>
    </r>
    <r>
      <rPr>
        <sz val="11"/>
        <color theme="1"/>
        <rFont val="ＭＳ Ｐゴシック"/>
        <family val="3"/>
        <charset val="128"/>
        <scheme val="minor"/>
      </rPr>
      <t>达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</si>
  <si>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葡萄酒; 米酒; 果酒（含酒精）; 黄酒; 高粱酒; 烈酒; 露酒; 白酒</t>
    </r>
  </si>
  <si>
    <r>
      <t>乡</t>
    </r>
    <r>
      <rPr>
        <sz val="11"/>
        <color theme="1"/>
        <rFont val="ＭＳ Ｐゴシック"/>
        <family val="3"/>
        <charset val="128"/>
        <scheme val="minor"/>
      </rPr>
      <t>都神藤</t>
    </r>
  </si>
  <si>
    <r>
      <t>新疆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</si>
  <si>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加烈葡萄酒;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葡萄酒; 烈酒; 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</si>
  <si>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托拉索</t>
    </r>
    <r>
      <rPr>
        <sz val="11"/>
        <color theme="1"/>
        <rFont val="ＭＳ Ｐゴシック"/>
        <family val="3"/>
        <charset val="134"/>
        <scheme val="minor"/>
      </rPr>
      <t>飓风</t>
    </r>
    <r>
      <rPr>
        <sz val="11"/>
        <color theme="1"/>
        <rFont val="ＭＳ Ｐゴシック"/>
        <family val="3"/>
        <charset val="128"/>
        <scheme val="minor"/>
      </rPr>
      <t>酒庄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</si>
  <si>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</si>
  <si>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t>粱愿</t>
  </si>
  <si>
    <r>
      <t>宝清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粱愿酒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</si>
  <si>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甜果酒; 白酒; 甜酒; 黄酒; 米酒; 果酒（含酒精）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</si>
  <si>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果山</t>
    </r>
  </si>
  <si>
    <r>
      <t>彭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儿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</si>
  <si>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青梅酒;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</si>
  <si>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赛鲁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</si>
  <si>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</si>
  <si>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莫</t>
    </r>
    <r>
      <rPr>
        <sz val="11"/>
        <color theme="1"/>
        <rFont val="ＭＳ Ｐゴシック"/>
        <family val="3"/>
        <charset val="134"/>
        <scheme val="minor"/>
      </rPr>
      <t>雾</t>
    </r>
  </si>
  <si>
    <r>
      <t>尹</t>
    </r>
    <r>
      <rPr>
        <sz val="11"/>
        <color theme="1"/>
        <rFont val="ＭＳ Ｐゴシック"/>
        <family val="3"/>
        <charset val="134"/>
        <scheme val="minor"/>
      </rPr>
      <t>绍红</t>
    </r>
  </si>
  <si>
    <r>
      <t>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</si>
  <si>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大黔</t>
    </r>
  </si>
  <si>
    <r>
      <t>米酒;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果酒（含酒精）</t>
    </r>
  </si>
  <si>
    <t>小菠兔</t>
  </si>
  <si>
    <r>
      <t>宁德市小菠兔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</si>
  <si>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</si>
  <si>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梨九娘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</si>
  <si>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盛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</si>
  <si>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威士忌; 果酒（含酒精）; 葡萄酒; 米酒;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</si>
  <si>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思路小富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</si>
  <si>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肖</t>
    </r>
    <r>
      <rPr>
        <sz val="11"/>
        <color theme="1"/>
        <rFont val="ＭＳ Ｐゴシック"/>
        <family val="3"/>
        <charset val="134"/>
        <scheme val="minor"/>
      </rPr>
      <t>钰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</si>
  <si>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葡萄酒; 蜂蜜酒; 黄酒; 青稞酒; 果酒（含酒精）; 苹果酒; 米酒; 白酒</t>
    </r>
  </si>
  <si>
    <t>捆品</t>
  </si>
  <si>
    <r>
      <t xml:space="preserve">葡萄酒;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威士忌; 果酒（含酒精）;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</si>
  <si>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喜事猫</t>
  </si>
  <si>
    <r>
      <t>内蒙古云上草原科技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</si>
  <si>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</si>
  <si>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鹭岛</t>
    </r>
    <r>
      <rPr>
        <sz val="11"/>
        <color theme="1"/>
        <rFont val="ＭＳ Ｐゴシック"/>
        <family val="3"/>
        <charset val="128"/>
        <scheme val="minor"/>
      </rPr>
      <t>一心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</si>
  <si>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门鹭岛</t>
    </r>
    <r>
      <rPr>
        <sz val="11"/>
        <color theme="1"/>
        <rFont val="ＭＳ Ｐゴシック"/>
        <family val="3"/>
        <charset val="128"/>
        <scheme val="minor"/>
      </rPr>
      <t>一心餐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</si>
  <si>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果酒; 青梅酒;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威士忌; 伏特加酒; 葡萄酒; 米酒</t>
    </r>
  </si>
  <si>
    <r>
      <t>烟台帝伯仕自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机有限公司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</si>
  <si>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青稞酒;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</t>
    </r>
  </si>
  <si>
    <t>明六御窖</t>
  </si>
  <si>
    <r>
      <t>四川吉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客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</si>
  <si>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果酒（含酒精）</t>
    </r>
  </si>
  <si>
    <t>助众力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</si>
  <si>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烈酒; 白酒; 青稞酒; 食用酒精; 白干酒（中国白酒）; 葡萄酒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</si>
  <si>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29"/>
        <scheme val="minor"/>
      </rPr>
      <t>孬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</si>
  <si>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兰兰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</si>
  <si>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果酒（含酒精）; 黄酒; 威士忌; 开胃酒;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水果汽酒</t>
    </r>
  </si>
  <si>
    <t>SHENG BO LI</t>
  </si>
  <si>
    <r>
      <t>上海圣伯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健康科技有限公司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</si>
  <si>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</si>
  <si>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r>
      <t>八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八喜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</si>
  <si>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</si>
  <si>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果酒（含酒精）;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白酒</t>
    </r>
  </si>
  <si>
    <t>兮酉</t>
  </si>
  <si>
    <r>
      <t>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白酒</t>
    </r>
  </si>
  <si>
    <r>
      <t>沦</t>
    </r>
    <r>
      <rPr>
        <sz val="11"/>
        <color theme="1"/>
        <rFont val="ＭＳ Ｐゴシック"/>
        <family val="3"/>
        <charset val="128"/>
        <scheme val="minor"/>
      </rPr>
      <t>迪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</si>
  <si>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食用酒精; 米酒; 葡萄酒; 果酒（含酒精）</t>
    </r>
  </si>
  <si>
    <r>
      <t>臸窖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</si>
  <si>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t>黄达芬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</si>
  <si>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清酒（日本米酒）; 葡萄酒</t>
    </r>
  </si>
  <si>
    <t>金窖涎</t>
  </si>
  <si>
    <r>
      <t>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清酒（日本米酒）; 果酒（含酒精）</t>
    </r>
  </si>
  <si>
    <t>清匠清花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</si>
  <si>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</si>
  <si>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</t>
    </r>
  </si>
  <si>
    <r>
      <t>专</t>
    </r>
    <r>
      <rPr>
        <sz val="11"/>
        <color theme="1"/>
        <rFont val="ＭＳ Ｐゴシック"/>
        <family val="3"/>
        <charset val="128"/>
        <scheme val="minor"/>
      </rPr>
      <t>大夫 HASDOHTUR</t>
    </r>
  </si>
  <si>
    <r>
      <t>马纳</t>
    </r>
    <r>
      <rPr>
        <sz val="11"/>
        <color theme="1"/>
        <rFont val="ＭＳ Ｐゴシック"/>
        <family val="3"/>
        <charset val="128"/>
        <scheme val="minor"/>
      </rPr>
      <t>斯江·阿卜杜喀迪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</si>
  <si>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蜂蜜酒;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高粱酒;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</si>
  <si>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果酒（含酒精）; 蜂蜜酒;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开胃酒</t>
    </r>
  </si>
  <si>
    <r>
      <t>叹</t>
    </r>
    <r>
      <rPr>
        <sz val="11"/>
        <color theme="1"/>
        <rFont val="ＭＳ Ｐゴシック"/>
        <family val="3"/>
        <charset val="128"/>
        <scheme val="minor"/>
      </rPr>
      <t>之</t>
    </r>
  </si>
  <si>
    <r>
      <t>四川省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官</t>
    </r>
    <r>
      <rPr>
        <sz val="11"/>
        <color theme="1"/>
        <rFont val="ＭＳ Ｐゴシック"/>
        <family val="3"/>
        <charset val="134"/>
        <scheme val="minor"/>
      </rPr>
      <t>记忆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</si>
  <si>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果酒（含酒精）; 白酒; 蒸煮提取物（利口酒和烈酒）; 葡萄酒;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</si>
  <si>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擂捲</t>
  </si>
  <si>
    <t>成都八益家具股份有限公司</t>
  </si>
  <si>
    <r>
      <t xml:space="preserve">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威士忌</t>
    </r>
  </si>
  <si>
    <r>
      <t>卧</t>
    </r>
    <r>
      <rPr>
        <sz val="11"/>
        <color theme="1"/>
        <rFont val="ＭＳ Ｐゴシック"/>
        <family val="3"/>
        <charset val="134"/>
        <scheme val="minor"/>
      </rPr>
      <t>龙蕴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</si>
  <si>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食用酒精; 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</si>
  <si>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幸醍</t>
  </si>
  <si>
    <t>上海科帛信息科技工作室</t>
  </si>
  <si>
    <r>
      <t>蜂蜜酒;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餐后酒（利口酒和烈酒）;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梅酒; 米酒; 汽酒</t>
    </r>
  </si>
  <si>
    <r>
      <t>川</t>
    </r>
    <r>
      <rPr>
        <sz val="11"/>
        <color theme="1"/>
        <rFont val="ＭＳ Ｐゴシック"/>
        <family val="3"/>
        <charset val="134"/>
        <scheme val="minor"/>
      </rPr>
      <t>页</t>
    </r>
  </si>
  <si>
    <r>
      <t>束童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</si>
  <si>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青稞酒; 黄酒; 烈酒; 食用酒精; 白酒; 朗姆酒; 清酒（日本米酒）</t>
    </r>
  </si>
  <si>
    <r>
      <t>日照市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港区壮志水果种植家庭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</si>
  <si>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利口酒;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</si>
  <si>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亚细亚</t>
    </r>
    <r>
      <rPr>
        <sz val="11"/>
        <color theme="1"/>
        <rFont val="ＭＳ Ｐゴシック"/>
        <family val="3"/>
        <charset val="128"/>
        <scheme val="minor"/>
      </rPr>
      <t>黄金梅</t>
    </r>
  </si>
  <si>
    <r>
      <t>古浪</t>
    </r>
    <r>
      <rPr>
        <sz val="11"/>
        <color theme="1"/>
        <rFont val="ＭＳ Ｐゴシック"/>
        <family val="3"/>
        <charset val="134"/>
        <scheme val="minor"/>
      </rPr>
      <t>亚细亚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</si>
  <si>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高粱酒; 果酒（含酒精）; 食用酒精;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</si>
  <si>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泰迪士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</si>
  <si>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德道合供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</si>
  <si>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青梅酒;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</si>
  <si>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魔方</t>
    </r>
  </si>
  <si>
    <r>
      <t>盘锦</t>
    </r>
    <r>
      <rPr>
        <sz val="11"/>
        <color theme="1"/>
        <rFont val="ＭＳ Ｐゴシック"/>
        <family val="3"/>
        <charset val="128"/>
        <scheme val="minor"/>
      </rPr>
      <t>金秀泰酒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</si>
  <si>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</si>
  <si>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西</t>
    </r>
    <r>
      <rPr>
        <sz val="11"/>
        <color theme="1"/>
        <rFont val="ＭＳ Ｐゴシック"/>
        <family val="3"/>
        <charset val="134"/>
        <scheme val="minor"/>
      </rPr>
      <t>嘚</t>
    </r>
    <r>
      <rPr>
        <sz val="11"/>
        <color theme="1"/>
        <rFont val="ＭＳ Ｐゴシック"/>
        <family val="3"/>
        <charset val="128"/>
        <scheme val="minor"/>
      </rPr>
      <t>隆</t>
    </r>
    <r>
      <rPr>
        <sz val="11"/>
        <color theme="1"/>
        <rFont val="ＭＳ Ｐゴシック"/>
        <family val="3"/>
        <charset val="134"/>
        <scheme val="minor"/>
      </rPr>
      <t>东锵</t>
    </r>
  </si>
  <si>
    <r>
      <t>西泠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道（杭州）文化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</si>
  <si>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</si>
  <si>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寅芳</t>
  </si>
  <si>
    <r>
      <t>山西静升王氏酒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</si>
  <si>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汽酒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</si>
  <si>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九一</t>
    </r>
  </si>
  <si>
    <r>
      <t>新蔡</t>
    </r>
    <r>
      <rPr>
        <sz val="11"/>
        <color theme="1"/>
        <rFont val="ＭＳ Ｐゴシック"/>
        <family val="3"/>
        <charset val="134"/>
        <scheme val="minor"/>
      </rPr>
      <t>县张</t>
    </r>
    <r>
      <rPr>
        <sz val="11"/>
        <color theme="1"/>
        <rFont val="ＭＳ Ｐゴシック"/>
        <family val="3"/>
        <charset val="128"/>
        <scheme val="minor"/>
      </rPr>
      <t>九一食品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</si>
  <si>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白酒;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</si>
  <si>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温沛思</t>
  </si>
  <si>
    <r>
      <t>广州温沛思智能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器有限公司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</si>
  <si>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果酒（含酒精）; 米酒; 伏特加酒; 朗姆酒;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</si>
  <si>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戴</t>
    </r>
    <r>
      <rPr>
        <sz val="11"/>
        <color theme="1"/>
        <rFont val="ＭＳ Ｐゴシック"/>
        <family val="3"/>
        <charset val="134"/>
        <scheme val="minor"/>
      </rPr>
      <t>罗</t>
    </r>
  </si>
  <si>
    <r>
      <t>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</si>
  <si>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向吟</t>
  </si>
  <si>
    <t>台州市黄岩向与食膳坊</t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</si>
  <si>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白酒; 果酒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</si>
  <si>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斯巴达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</si>
  <si>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青梅酒; 威士忌;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</t>
    </r>
  </si>
  <si>
    <r>
      <t>沙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液（湖北）酒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</si>
  <si>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米酒; 露酒;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葡萄酒; 餐后酒（利口酒和烈酒）</t>
    </r>
  </si>
  <si>
    <r>
      <t>湖北省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柑源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</si>
  <si>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伏特加酒;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白酒; 米酒; 食用酒精</t>
    </r>
  </si>
  <si>
    <t>助之梦</t>
  </si>
  <si>
    <r>
      <t xml:space="preserve">青稞酒;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白干酒（中国白酒）; 烈酒</t>
    </r>
  </si>
  <si>
    <t>吉旺民</t>
  </si>
  <si>
    <r>
      <t>杭州盛得佳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</si>
  <si>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伏特加酒;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米酒; 黄酒</t>
    </r>
  </si>
  <si>
    <t>锡萨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</si>
  <si>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</si>
  <si>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嬴政合</t>
  </si>
  <si>
    <r>
      <t>徐画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</si>
  <si>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果酒（含酒精）; 蜂蜜酒</t>
    </r>
  </si>
  <si>
    <r>
      <t>河北灯梨</t>
    </r>
    <r>
      <rPr>
        <sz val="11"/>
        <color theme="1"/>
        <rFont val="ＭＳ Ｐゴシック"/>
        <family val="3"/>
        <charset val="134"/>
        <scheme val="minor"/>
      </rPr>
      <t>报废</t>
    </r>
    <r>
      <rPr>
        <sz val="11"/>
        <color theme="1"/>
        <rFont val="ＭＳ Ｐゴシック"/>
        <family val="3"/>
        <charset val="128"/>
        <scheme val="minor"/>
      </rPr>
      <t>汽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回收有限公司</t>
    </r>
  </si>
  <si>
    <r>
      <t xml:space="preserve">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威士忌; 利口酒;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</si>
  <si>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康泰惠民园 KINGTIME BENEFITING PLACE</t>
  </si>
  <si>
    <r>
      <t>乌兰</t>
    </r>
    <r>
      <rPr>
        <sz val="11"/>
        <color theme="1"/>
        <rFont val="ＭＳ Ｐゴシック"/>
        <family val="3"/>
        <charset val="128"/>
        <scheme val="minor"/>
      </rPr>
      <t>察布市康泰惠民园</t>
    </r>
    <r>
      <rPr>
        <sz val="11"/>
        <color theme="1"/>
        <rFont val="ＭＳ Ｐゴシック"/>
        <family val="3"/>
        <charset val="134"/>
        <scheme val="minor"/>
      </rPr>
      <t>农贸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</si>
  <si>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含酒精的气泡水; 食用酒精;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</si>
  <si>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粉色魔方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</si>
  <si>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清酒（日本米酒）;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</si>
  <si>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川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仔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</si>
  <si>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</si>
  <si>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赤</t>
    </r>
    <r>
      <rPr>
        <sz val="11"/>
        <color theme="1"/>
        <rFont val="ＭＳ Ｐゴシック"/>
        <family val="3"/>
        <charset val="134"/>
        <scheme val="minor"/>
      </rPr>
      <t>润发</t>
    </r>
  </si>
  <si>
    <r>
      <t>舒永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</si>
  <si>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苹果酒;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米酒</t>
    </r>
  </si>
  <si>
    <r>
      <t>过</t>
    </r>
    <r>
      <rPr>
        <sz val="11"/>
        <color theme="1"/>
        <rFont val="ＭＳ Ｐゴシック"/>
        <family val="3"/>
        <charset val="128"/>
        <scheme val="minor"/>
      </rPr>
      <t>重山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</si>
  <si>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善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</si>
  <si>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清酒; 米酒; 葡萄酒; 烈酒; 露酒;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</si>
  <si>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渡云帆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</si>
  <si>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好丰酒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</si>
  <si>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</si>
  <si>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静王寅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</si>
  <si>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黄酒; 青稞酒; 米酒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</si>
  <si>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</si>
  <si>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</si>
  <si>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黄酒; 果酒; 白干酒（中国白酒）; 五加皮酒（中国混合烈酒）; 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</si>
  <si>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水墨九洲</t>
  </si>
  <si>
    <r>
      <t>练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</si>
  <si>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果酒; 烈酒; 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白干酒（中国白酒）</t>
    </r>
  </si>
  <si>
    <t>中隋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</si>
  <si>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葡萄酒;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烈酒</t>
    </r>
  </si>
  <si>
    <t>浙味来</t>
  </si>
  <si>
    <r>
      <t>诺尔</t>
    </r>
    <r>
      <rPr>
        <sz val="11"/>
        <color theme="1"/>
        <rFont val="ＭＳ Ｐゴシック"/>
        <family val="3"/>
        <charset val="128"/>
        <scheme val="minor"/>
      </rPr>
      <t>森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</si>
  <si>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</si>
  <si>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粮九庄</t>
  </si>
  <si>
    <r>
      <t>果酒（含酒精）; 米酒;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</si>
  <si>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兴秾</t>
    </r>
    <r>
      <rPr>
        <sz val="11"/>
        <color theme="1"/>
        <rFont val="ＭＳ Ｐゴシック"/>
        <family val="3"/>
        <charset val="128"/>
        <scheme val="minor"/>
      </rPr>
      <t>沃野</t>
    </r>
  </si>
  <si>
    <r>
      <t>兴秾</t>
    </r>
    <r>
      <rPr>
        <sz val="11"/>
        <color theme="1"/>
        <rFont val="ＭＳ Ｐゴシック"/>
        <family val="3"/>
        <charset val="128"/>
        <scheme val="minor"/>
      </rPr>
      <t>沃野（山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</si>
  <si>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</si>
  <si>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t>三达里</t>
  </si>
  <si>
    <t>刘香</t>
  </si>
  <si>
    <r>
      <t>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</si>
  <si>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沛一号</t>
    </r>
  </si>
  <si>
    <t>张焕</t>
  </si>
  <si>
    <r>
      <t>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梅酒; 清酒;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黄酒</t>
    </r>
  </si>
  <si>
    <t>克黎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</si>
  <si>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葡萄酒; 开胃酒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</si>
  <si>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酒悠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</si>
  <si>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州省多</t>
    </r>
    <r>
      <rPr>
        <sz val="11"/>
        <color theme="1"/>
        <rFont val="ＭＳ Ｐゴシック"/>
        <family val="3"/>
        <charset val="134"/>
        <scheme val="minor"/>
      </rPr>
      <t>渔电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</si>
  <si>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青梅酒; 青稞酒;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白酒; 高粱酒</t>
    </r>
  </si>
  <si>
    <t>康健奕昇</t>
  </si>
  <si>
    <r>
      <t>葡萄酒; 威士忌;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</si>
  <si>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r>
      <t>卧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岩</t>
    </r>
  </si>
  <si>
    <t>李碧浩</t>
  </si>
  <si>
    <r>
      <t>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威士忌; 蜂蜜酒; 高粱酒; 蒸煮提取物（利口酒和烈酒）;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</si>
  <si>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靓</t>
    </r>
    <r>
      <rPr>
        <sz val="11"/>
        <color theme="1"/>
        <rFont val="ＭＳ Ｐゴシック"/>
        <family val="3"/>
        <charset val="128"/>
        <scheme val="minor"/>
      </rPr>
      <t>朝御品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</si>
  <si>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州知酒堂酒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售股份有限公司</t>
    </r>
  </si>
  <si>
    <r>
      <t xml:space="preserve">利口酒;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</si>
  <si>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宜庄堡</t>
  </si>
  <si>
    <r>
      <t>安徽水木云山文化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</si>
  <si>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黄酒; 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薄荷酒;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米酒</t>
    </r>
  </si>
  <si>
    <t>中尹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</si>
  <si>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青稞酒; 白酒; 葡萄酒; 米酒; 烈酒;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</si>
  <si>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熹</t>
    </r>
    <r>
      <rPr>
        <sz val="11"/>
        <color theme="1"/>
        <rFont val="ＭＳ Ｐゴシック"/>
        <family val="3"/>
        <charset val="129"/>
        <scheme val="minor"/>
      </rPr>
      <t>噗</t>
    </r>
  </si>
  <si>
    <r>
      <t>南京温德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瓦文化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</si>
  <si>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烈酒; 葡萄酒; 清酒（日本米酒）;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</si>
  <si>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UPPER BUND</t>
  </si>
  <si>
    <r>
      <t>深圳市本</t>
    </r>
    <r>
      <rPr>
        <sz val="11"/>
        <color theme="1"/>
        <rFont val="ＭＳ Ｐゴシック"/>
        <family val="3"/>
        <charset val="134"/>
        <scheme val="minor"/>
      </rPr>
      <t>质设计顾问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</si>
  <si>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</si>
  <si>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阿滴答答阿滴廊</t>
  </si>
  <si>
    <r>
      <t>阿滴答答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品（淮安）有限公司</t>
    </r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</si>
  <si>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</si>
  <si>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ROSETI</t>
  </si>
  <si>
    <r>
      <t>北京欧洲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尚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</si>
  <si>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开胃酒; 葡萄酒; 果酒（含酒精）; 白酒;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</si>
  <si>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爷</t>
    </r>
    <r>
      <rPr>
        <sz val="11"/>
        <color theme="1"/>
        <rFont val="ＭＳ Ｐゴシック"/>
        <family val="3"/>
        <charset val="128"/>
        <scheme val="minor"/>
      </rPr>
      <t>哈哈</t>
    </r>
  </si>
  <si>
    <r>
      <t>天津佐泰科技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</si>
  <si>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白干酒（中国白酒）;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</si>
  <si>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湖北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投城市运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</si>
  <si>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清酒（日本米酒）; 伏特加酒; 米酒;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食用酒精</t>
    </r>
  </si>
  <si>
    <r>
      <t>热</t>
    </r>
    <r>
      <rPr>
        <sz val="11"/>
        <color theme="1"/>
        <rFont val="ＭＳ Ｐゴシック"/>
        <family val="3"/>
        <charset val="128"/>
        <scheme val="minor"/>
      </rPr>
      <t>力启源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</si>
  <si>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力启源科技有限公司</t>
    </r>
  </si>
  <si>
    <r>
      <t>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蜂蜜酒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</si>
  <si>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州仁睿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</si>
  <si>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苹果酒; 葡萄酒;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果酒（含酒精）</t>
    </r>
  </si>
  <si>
    <t>道道道小梁</t>
  </si>
  <si>
    <r>
      <t>裕承（深圳）网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</si>
  <si>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</si>
  <si>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r>
      <t>引</t>
    </r>
    <r>
      <rPr>
        <sz val="11"/>
        <color theme="1"/>
        <rFont val="ＭＳ Ｐゴシック"/>
        <family val="3"/>
        <charset val="134"/>
        <scheme val="minor"/>
      </rPr>
      <t>凤创</t>
    </r>
    <r>
      <rPr>
        <sz val="11"/>
        <color theme="1"/>
        <rFont val="ＭＳ Ｐゴシック"/>
        <family val="3"/>
        <charset val="128"/>
        <scheme val="minor"/>
      </rPr>
      <t>梦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</si>
  <si>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川市金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区青年企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合会</t>
    </r>
  </si>
  <si>
    <r>
      <t>白酒; 青稞酒;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黄酒</t>
    </r>
  </si>
  <si>
    <t>酉材家</t>
  </si>
  <si>
    <t>郭丰瑞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</si>
  <si>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清酒（日本米酒）</t>
    </r>
  </si>
  <si>
    <t>洽小白</t>
  </si>
  <si>
    <r>
      <t>严</t>
    </r>
    <r>
      <rPr>
        <sz val="11"/>
        <color theme="1"/>
        <rFont val="ＭＳ Ｐゴシック"/>
        <family val="3"/>
        <charset val="128"/>
        <scheme val="minor"/>
      </rPr>
      <t>崇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</si>
  <si>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米酒; 蜂蜜酒;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</si>
  <si>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金匠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 xml:space="preserve"> 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</si>
  <si>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市醉粮心酒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</si>
  <si>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白酒; 果酒（含酒精）; 米酒;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</si>
  <si>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怡泰宜康</t>
  </si>
  <si>
    <r>
      <t>内蒙古怡泰宜康康养科技开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</si>
  <si>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</si>
  <si>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张辅</t>
    </r>
    <r>
      <rPr>
        <sz val="11"/>
        <color theme="1"/>
        <rFont val="ＭＳ Ｐゴシック"/>
        <family val="3"/>
        <charset val="128"/>
        <scheme val="minor"/>
      </rPr>
      <t>榕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</si>
  <si>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青稞酒;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</si>
  <si>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福密</t>
  </si>
  <si>
    <r>
      <t>君品珍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</si>
  <si>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青稞酒; 开胃酒; 白酒; 葡萄酒; 梨酒; 黄酒; 利口酒; 米酒</t>
    </r>
  </si>
  <si>
    <r>
      <t>领</t>
    </r>
    <r>
      <rPr>
        <sz val="11"/>
        <color theme="1"/>
        <rFont val="ＭＳ Ｐゴシック"/>
        <family val="3"/>
        <charset val="128"/>
        <scheme val="minor"/>
      </rPr>
      <t>霆生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</si>
  <si>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展</t>
    </r>
    <r>
      <rPr>
        <sz val="11"/>
        <color theme="1"/>
        <rFont val="ＭＳ Ｐゴシック"/>
        <family val="3"/>
        <charset val="134"/>
        <scheme val="minor"/>
      </rPr>
      <t>创汇</t>
    </r>
    <r>
      <rPr>
        <sz val="11"/>
        <color theme="1"/>
        <rFont val="ＭＳ Ｐゴシック"/>
        <family val="3"/>
        <charset val="128"/>
        <scheme val="minor"/>
      </rPr>
      <t>通企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</si>
  <si>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</si>
  <si>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籣清</t>
    </r>
  </si>
  <si>
    <r>
      <t>元</t>
    </r>
    <r>
      <rPr>
        <sz val="11"/>
        <color theme="1"/>
        <rFont val="ＭＳ Ｐゴシック"/>
        <family val="3"/>
        <charset val="134"/>
        <scheme val="minor"/>
      </rPr>
      <t>谋红</t>
    </r>
    <r>
      <rPr>
        <sz val="11"/>
        <color theme="1"/>
        <rFont val="ＭＳ Ｐゴシック"/>
        <family val="3"/>
        <charset val="128"/>
        <scheme val="minor"/>
      </rPr>
      <t>尾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</si>
  <si>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</si>
  <si>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正酒力坊</t>
  </si>
  <si>
    <t>汪海涛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</si>
  <si>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黄酒</t>
    </r>
  </si>
  <si>
    <t>擂卷</t>
  </si>
  <si>
    <r>
      <t xml:space="preserve">开胃酒;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葡萄酒; 威士忌; 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</si>
  <si>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新羊牧叶羊小萌</t>
  </si>
  <si>
    <r>
      <t>汤</t>
    </r>
    <r>
      <rPr>
        <sz val="11"/>
        <color theme="1"/>
        <rFont val="ＭＳ Ｐゴシック"/>
        <family val="3"/>
        <charset val="128"/>
        <scheme val="minor"/>
      </rPr>
      <t>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新羊牧叶畜牧养殖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</si>
  <si>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米酒</t>
    </r>
  </si>
  <si>
    <r>
      <t>浙江甄</t>
    </r>
    <r>
      <rPr>
        <sz val="11"/>
        <color theme="1"/>
        <rFont val="ＭＳ Ｐゴシック"/>
        <family val="3"/>
        <charset val="134"/>
        <scheme val="minor"/>
      </rPr>
      <t>诚农产</t>
    </r>
    <r>
      <rPr>
        <sz val="11"/>
        <color theme="1"/>
        <rFont val="ＭＳ Ｐゴシック"/>
        <family val="3"/>
        <charset val="128"/>
        <scheme val="minor"/>
      </rPr>
      <t>品科技有限公司</t>
    </r>
  </si>
  <si>
    <r>
      <t>茴芹酒（利口酒）; 茴香酒（利口酒）;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苹果酒; 柑香酒; 薄荷酒; 果酒（含酒精）;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</si>
  <si>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希</t>
    </r>
    <r>
      <rPr>
        <sz val="11"/>
        <color theme="1"/>
        <rFont val="ＭＳ Ｐゴシック"/>
        <family val="3"/>
        <charset val="134"/>
        <scheme val="minor"/>
      </rPr>
      <t>尔顿</t>
    </r>
    <r>
      <rPr>
        <sz val="11"/>
        <color theme="1"/>
        <rFont val="ＭＳ Ｐゴシック"/>
        <family val="3"/>
        <charset val="128"/>
        <scheme val="minor"/>
      </rPr>
      <t>名</t>
    </r>
  </si>
  <si>
    <r>
      <t>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</si>
  <si>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佤</t>
    </r>
    <r>
      <rPr>
        <sz val="11"/>
        <color theme="1"/>
        <rFont val="ＭＳ Ｐゴシック"/>
        <family val="3"/>
        <charset val="134"/>
        <scheme val="minor"/>
      </rPr>
      <t>罗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</si>
  <si>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果酒（含酒精）; 葡萄酒</t>
    </r>
  </si>
  <si>
    <t>黑魔方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</si>
  <si>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</si>
  <si>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运恒通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</si>
  <si>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米酒; 食用酒精; 白酒;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</si>
  <si>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狄客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</si>
  <si>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蒸煮提取物（利口酒和烈酒）</t>
    </r>
  </si>
  <si>
    <r>
      <t>骆</t>
    </r>
    <r>
      <rPr>
        <sz val="11"/>
        <color theme="1"/>
        <rFont val="ＭＳ Ｐゴシック"/>
        <family val="3"/>
        <charset val="128"/>
        <scheme val="minor"/>
      </rPr>
      <t>斯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</si>
  <si>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</si>
  <si>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酿问</t>
    </r>
  </si>
  <si>
    <r>
      <t>蒋梦</t>
    </r>
    <r>
      <rPr>
        <sz val="11"/>
        <color theme="1"/>
        <rFont val="ＭＳ Ｐゴシック"/>
        <family val="3"/>
        <charset val="134"/>
        <scheme val="minor"/>
      </rPr>
      <t>娇</t>
    </r>
  </si>
  <si>
    <r>
      <t>汽酒;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葡萄酒; 白酒</t>
    </r>
  </si>
  <si>
    <r>
      <t>问</t>
    </r>
    <r>
      <rPr>
        <sz val="11"/>
        <color theme="1"/>
        <rFont val="ＭＳ Ｐゴシック"/>
        <family val="3"/>
        <charset val="128"/>
        <scheme val="minor"/>
      </rPr>
      <t>道御</t>
    </r>
    <r>
      <rPr>
        <sz val="11"/>
        <color theme="1"/>
        <rFont val="ＭＳ Ｐゴシック"/>
        <family val="3"/>
        <charset val="129"/>
        <scheme val="minor"/>
      </rPr>
      <t>燊</t>
    </r>
  </si>
  <si>
    <r>
      <t>佳木斯市灵云</t>
    </r>
    <r>
      <rPr>
        <sz val="11"/>
        <color theme="1"/>
        <rFont val="ＭＳ Ｐゴシック"/>
        <family val="3"/>
        <charset val="134"/>
        <scheme val="minor"/>
      </rPr>
      <t>阁电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</si>
  <si>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葡萄酒;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开胃酒;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</si>
  <si>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江梦令</t>
  </si>
  <si>
    <t>焦冬阳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</si>
  <si>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开胃酒; 威士忌; 烈酒</t>
    </r>
  </si>
  <si>
    <t>䤉台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</si>
  <si>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榜台酒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</si>
  <si>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米酒; 黄酒;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</si>
  <si>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翠戎坊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</si>
  <si>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翠供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</si>
  <si>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苦味酒</t>
    </r>
  </si>
  <si>
    <r>
      <t>单</t>
    </r>
    <r>
      <rPr>
        <sz val="11"/>
        <color theme="1"/>
        <rFont val="ＭＳ Ｐゴシック"/>
        <family val="3"/>
        <charset val="128"/>
        <scheme val="minor"/>
      </rPr>
      <t>太</t>
    </r>
  </si>
  <si>
    <r>
      <t>张胧</t>
    </r>
    <r>
      <rPr>
        <sz val="11"/>
        <color theme="1"/>
        <rFont val="ＭＳ Ｐゴシック"/>
        <family val="3"/>
        <charset val="128"/>
        <scheme val="minor"/>
      </rPr>
      <t>允</t>
    </r>
  </si>
  <si>
    <r>
      <t>白酒; 黄酒; 米酒;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蜂蜜酒</t>
    </r>
  </si>
  <si>
    <t>仙村美</t>
  </si>
  <si>
    <r>
      <t>清流</t>
    </r>
    <r>
      <rPr>
        <sz val="11"/>
        <color theme="1"/>
        <rFont val="ＭＳ Ｐゴシック"/>
        <family val="3"/>
        <charset val="134"/>
        <scheme val="minor"/>
      </rPr>
      <t>县龙</t>
    </r>
    <r>
      <rPr>
        <sz val="11"/>
        <color theme="1"/>
        <rFont val="ＭＳ Ｐゴシック"/>
        <family val="3"/>
        <charset val="128"/>
        <scheme val="minor"/>
      </rPr>
      <t>津</t>
    </r>
    <r>
      <rPr>
        <sz val="11"/>
        <color theme="1"/>
        <rFont val="ＭＳ Ｐゴシック"/>
        <family val="3"/>
        <charset val="134"/>
        <scheme val="minor"/>
      </rPr>
      <t>镇终</t>
    </r>
    <r>
      <rPr>
        <sz val="11"/>
        <color theme="1"/>
        <rFont val="ＭＳ Ｐゴシック"/>
        <family val="3"/>
        <charset val="128"/>
        <scheme val="minor"/>
      </rPr>
      <t>都</t>
    </r>
    <r>
      <rPr>
        <sz val="11"/>
        <color theme="1"/>
        <rFont val="ＭＳ Ｐゴシック"/>
        <family val="3"/>
        <charset val="134"/>
        <scheme val="minor"/>
      </rPr>
      <t>训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</si>
  <si>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奶油利口酒; 葡萄酒; 黄酒; 清酒;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</si>
  <si>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湘窖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匠甄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</si>
  <si>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湖南湘窖酒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</si>
  <si>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白酒; 利口酒;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</si>
  <si>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赢</t>
    </r>
    <r>
      <rPr>
        <sz val="11"/>
        <color theme="1"/>
        <rFont val="ＭＳ Ｐゴシック"/>
        <family val="3"/>
        <charset val="128"/>
        <scheme val="minor"/>
      </rPr>
      <t>养</t>
    </r>
    <r>
      <rPr>
        <sz val="11"/>
        <color theme="1"/>
        <rFont val="ＭＳ Ｐゴシック"/>
        <family val="3"/>
        <charset val="134"/>
        <scheme val="minor"/>
      </rPr>
      <t>态</t>
    </r>
  </si>
  <si>
    <t>上海众鹿健康管理有限公司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</si>
  <si>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食用酒精; 果酒（含酒精）; 清酒（日本米酒）; 白酒</t>
    </r>
  </si>
  <si>
    <t>晟彩</t>
  </si>
  <si>
    <t>李晶晶（*****************X）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</si>
  <si>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果酒; 葡萄酒; 白酒; 青稞酒;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米酒; 黄酒</t>
    </r>
  </si>
  <si>
    <t>淡水之交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</si>
  <si>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州盛永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</si>
  <si>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果酒（含酒精）; 开胃酒; 白酒; 高粱酒;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</si>
  <si>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松子壳</t>
  </si>
  <si>
    <r>
      <t>松子壳（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州）云商科技有限公司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</si>
  <si>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柑香酒; 烈酒;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</si>
  <si>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松杭甄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</si>
  <si>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浙江松杭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</si>
  <si>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清酒; 白酒; 开胃酒; 苹果酒;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</t>
    </r>
  </si>
  <si>
    <r>
      <t>钰</t>
    </r>
    <r>
      <rPr>
        <sz val="11"/>
        <color theme="1"/>
        <rFont val="ＭＳ Ｐゴシック"/>
        <family val="3"/>
        <charset val="128"/>
        <scheme val="minor"/>
      </rPr>
      <t>兔到</t>
    </r>
  </si>
  <si>
    <t>凌涛</t>
  </si>
  <si>
    <r>
      <t xml:space="preserve">葡萄酒;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高粱酒;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</si>
  <si>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见辉</t>
    </r>
    <r>
      <rPr>
        <sz val="11"/>
        <color theme="1"/>
        <rFont val="ＭＳ Ｐゴシック"/>
        <family val="3"/>
        <charset val="128"/>
        <scheme val="minor"/>
      </rPr>
      <t>煌</t>
    </r>
  </si>
  <si>
    <t>郭金盈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</si>
  <si>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葡萄酒</t>
    </r>
  </si>
  <si>
    <r>
      <t>欢</t>
    </r>
    <r>
      <rPr>
        <sz val="11"/>
        <color theme="1"/>
        <rFont val="ＭＳ Ｐゴシック"/>
        <family val="3"/>
        <charset val="128"/>
        <scheme val="minor"/>
      </rPr>
      <t>聚今朝</t>
    </r>
  </si>
  <si>
    <r>
      <t>羲和（</t>
    </r>
    <r>
      <rPr>
        <sz val="11"/>
        <color theme="1"/>
        <rFont val="ＭＳ Ｐゴシック"/>
        <family val="3"/>
        <charset val="134"/>
        <scheme val="minor"/>
      </rPr>
      <t>郑</t>
    </r>
    <r>
      <rPr>
        <sz val="11"/>
        <color theme="1"/>
        <rFont val="ＭＳ Ｐゴシック"/>
        <family val="3"/>
        <charset val="128"/>
        <scheme val="minor"/>
      </rPr>
      <t>州）文化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</si>
  <si>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</si>
  <si>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r>
      <t>河南容之成医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</si>
  <si>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</si>
  <si>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粮脊山高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</si>
  <si>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七子建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</si>
  <si>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朗姆酒; 伏特加酒;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</si>
  <si>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卓筒</t>
  </si>
  <si>
    <r>
      <t>四川卓筒老井酒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</si>
  <si>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酸酒（低等葡萄酒）;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甜果酒; 烈酒; 白酒; 葡萄酒; 威士忌;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</si>
  <si>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颍轩</t>
    </r>
  </si>
  <si>
    <t>杨远</t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</si>
  <si>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开胃酒</t>
    </r>
  </si>
  <si>
    <t>固特瑞</t>
  </si>
  <si>
    <r>
      <t>夏建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</si>
  <si>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青稞酒; 葡萄酒; 米酒; 白酒; 威士忌</t>
    </r>
  </si>
  <si>
    <t>大喜牌大憙酒 小喜牌小憙酒</t>
  </si>
  <si>
    <t>中国双喜（控股）股份有限公司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</si>
  <si>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清酒;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米酒</t>
    </r>
  </si>
  <si>
    <t>BEN STEVENSON</t>
  </si>
  <si>
    <r>
      <t>深圳市</t>
    </r>
    <r>
      <rPr>
        <sz val="11"/>
        <color theme="1"/>
        <rFont val="ＭＳ Ｐゴシック"/>
        <family val="3"/>
        <charset val="129"/>
        <scheme val="minor"/>
      </rPr>
      <t>喵</t>
    </r>
    <r>
      <rPr>
        <sz val="11"/>
        <color theme="1"/>
        <rFont val="ＭＳ Ｐゴシック"/>
        <family val="3"/>
        <charset val="128"/>
        <scheme val="minor"/>
      </rPr>
      <t>跑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</si>
  <si>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威士忌; 开胃酒</t>
    </r>
  </si>
  <si>
    <r>
      <t xml:space="preserve">葡萄酒; 米酒; 白酒;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</si>
  <si>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鸥</t>
    </r>
    <r>
      <rPr>
        <sz val="11"/>
        <color theme="1"/>
        <rFont val="ＭＳ Ｐゴシック"/>
        <family val="3"/>
        <charset val="128"/>
        <scheme val="minor"/>
      </rPr>
      <t>落</t>
    </r>
  </si>
  <si>
    <r>
      <t>上海斗西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</si>
  <si>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青稞酒; 清酒; 葡萄酒; 白酒; 汽酒; 米酒</t>
    </r>
  </si>
  <si>
    <t>三金聚</t>
  </si>
  <si>
    <r>
      <t>北京中市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</si>
  <si>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蒸煮提取物（利口酒和烈酒）; 果酒（含酒精）</t>
    </r>
  </si>
  <si>
    <r>
      <t>艺</t>
    </r>
    <r>
      <rPr>
        <sz val="11"/>
        <color theme="1"/>
        <rFont val="ＭＳ Ｐゴシック"/>
        <family val="3"/>
        <charset val="128"/>
        <scheme val="minor"/>
      </rPr>
      <t>起去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</si>
  <si>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沙市彩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唐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</si>
  <si>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葡萄酒; 清酒（日本米酒）;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</si>
  <si>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南启山</t>
  </si>
  <si>
    <r>
      <t>深圳市南启山健康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</si>
  <si>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酸酒（低等葡萄酒）</t>
    </r>
  </si>
  <si>
    <r>
      <t>琼</t>
    </r>
    <r>
      <rPr>
        <sz val="11"/>
        <color theme="1"/>
        <rFont val="ＭＳ Ｐゴシック"/>
        <family val="3"/>
        <charset val="128"/>
        <scheme val="minor"/>
      </rPr>
      <t>匠仙</t>
    </r>
  </si>
  <si>
    <r>
      <t>海南真喜会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</si>
  <si>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</si>
  <si>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培煜</t>
  </si>
  <si>
    <t>马晓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</si>
  <si>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</t>
    </r>
  </si>
  <si>
    <t>拉蒙特侯爵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</si>
  <si>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清酒; 果酒; 白酒; 烈酒; 黄酒; 开胃酒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</si>
  <si>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运恒通</t>
    </r>
  </si>
  <si>
    <r>
      <t>葡萄酒;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食用酒精; 朗姆酒; 果酒（含酒精）; 米酒</t>
    </r>
  </si>
  <si>
    <t>峰帽岭</t>
  </si>
  <si>
    <r>
      <t>莲</t>
    </r>
    <r>
      <rPr>
        <sz val="11"/>
        <color theme="1"/>
        <rFont val="ＭＳ Ｐゴシック"/>
        <family val="3"/>
        <charset val="128"/>
        <scheme val="minor"/>
      </rPr>
      <t>花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特色</t>
    </r>
    <r>
      <rPr>
        <sz val="11"/>
        <color theme="1"/>
        <rFont val="ＭＳ Ｐゴシック"/>
        <family val="3"/>
        <charset val="134"/>
        <scheme val="minor"/>
      </rPr>
      <t>传统农产</t>
    </r>
    <r>
      <rPr>
        <sz val="11"/>
        <color theme="1"/>
        <rFont val="ＭＳ Ｐゴシック"/>
        <family val="3"/>
        <charset val="128"/>
        <scheme val="minor"/>
      </rPr>
      <t>品生</t>
    </r>
    <r>
      <rPr>
        <sz val="11"/>
        <color theme="1"/>
        <rFont val="ＭＳ Ｐゴシック"/>
        <family val="3"/>
        <charset val="134"/>
        <scheme val="minor"/>
      </rPr>
      <t>产专业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</si>
  <si>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白酒;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</si>
  <si>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延三珍</t>
  </si>
  <si>
    <r>
      <t>石祥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</si>
  <si>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 xml:space="preserve">开胃酒;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白酒; 米酒; 汽酒;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</si>
  <si>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翠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庭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</si>
  <si>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梁鑫酒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</si>
  <si>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蒸煮提取物（利口酒和烈酒）; 高粱酒;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</si>
  <si>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千回西域酒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</si>
  <si>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苦味酒;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开胃酒;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</si>
  <si>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仙窖天下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</si>
  <si>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</t>
    </r>
  </si>
  <si>
    <t>HUANGGONGYANJIU</t>
  </si>
  <si>
    <r>
      <t>郝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</si>
  <si>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葡萄酒;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</si>
  <si>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北京听和网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</si>
  <si>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混合威士忌酒;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麦芽威士忌; 果酒（含酒精）;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汽酒</t>
    </r>
  </si>
  <si>
    <t>三金隆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</si>
  <si>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葡萄酒; 蒸煮提取物（利口酒和烈酒）</t>
    </r>
  </si>
  <si>
    <r>
      <t>花</t>
    </r>
    <r>
      <rPr>
        <sz val="11"/>
        <color theme="1"/>
        <rFont val="ＭＳ Ｐゴシック"/>
        <family val="3"/>
        <charset val="134"/>
        <scheme val="minor"/>
      </rPr>
      <t>巅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</si>
  <si>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增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</si>
  <si>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</si>
  <si>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笃</t>
    </r>
    <r>
      <rPr>
        <sz val="11"/>
        <color theme="1"/>
        <rFont val="ＭＳ Ｐゴシック"/>
        <family val="3"/>
        <charset val="128"/>
        <scheme val="minor"/>
      </rPr>
      <t>雅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</si>
  <si>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义简</t>
    </r>
    <r>
      <rPr>
        <sz val="11"/>
        <color theme="1"/>
        <rFont val="ＭＳ Ｐゴシック"/>
        <family val="3"/>
        <charset val="128"/>
        <scheme val="minor"/>
      </rPr>
      <t>合酒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</si>
  <si>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露酒; 白酒;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</si>
  <si>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寿小二</t>
  </si>
  <si>
    <r>
      <t>闵</t>
    </r>
    <r>
      <rPr>
        <sz val="11"/>
        <color theme="1"/>
        <rFont val="ＭＳ Ｐゴシック"/>
        <family val="3"/>
        <charset val="128"/>
        <scheme val="minor"/>
      </rPr>
      <t>川</t>
    </r>
  </si>
  <si>
    <r>
      <t xml:space="preserve">葡萄酒; 清酒（日本米酒）; 黄酒;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白酒</t>
    </r>
  </si>
  <si>
    <r>
      <t>至界大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</si>
  <si>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上海六力文化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</si>
  <si>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白酒; 白干酒（中国白酒）; 清酒; 烈酒</t>
    </r>
  </si>
  <si>
    <r>
      <t>厒</t>
    </r>
    <r>
      <rPr>
        <sz val="11"/>
        <color theme="1"/>
        <rFont val="ＭＳ Ｐゴシック"/>
        <family val="3"/>
        <charset val="128"/>
        <scheme val="minor"/>
      </rPr>
      <t>川</t>
    </r>
  </si>
  <si>
    <t>深圳宇禾健康科技有限公司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</si>
  <si>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草莓酒; 蝮蛇酒; 果酒; 白酒; 开胃酒; 青梅酒; 蜂蜜酒;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</si>
  <si>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碧</t>
    </r>
    <r>
      <rPr>
        <sz val="11"/>
        <color theme="1"/>
        <rFont val="ＭＳ Ｐゴシック"/>
        <family val="3"/>
        <charset val="134"/>
        <scheme val="minor"/>
      </rPr>
      <t>钰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</si>
  <si>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敏芝</t>
    </r>
  </si>
  <si>
    <r>
      <t xml:space="preserve">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黄酒; 白酒; 蜂蜜酒; 开胃酒; 果酒</t>
    </r>
  </si>
  <si>
    <r>
      <t>龙</t>
    </r>
    <r>
      <rPr>
        <sz val="11"/>
        <color theme="1"/>
        <rFont val="ＭＳ Ｐゴシック"/>
        <family val="3"/>
        <charset val="129"/>
        <scheme val="minor"/>
      </rPr>
      <t>燊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</si>
  <si>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庆泽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</si>
  <si>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黄酒; 开胃酒;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</si>
  <si>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老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的海静故事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</si>
  <si>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国恩</t>
    </r>
  </si>
  <si>
    <r>
      <t>烈酒;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烈性干酒;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葡萄酒</t>
    </r>
  </si>
  <si>
    <t>山雄</t>
  </si>
  <si>
    <r>
      <t>通化万通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</si>
  <si>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</si>
  <si>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美窖天下</t>
  </si>
  <si>
    <r>
      <t>白酒; 高粱酒;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</si>
  <si>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云白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</t>
    </r>
  </si>
  <si>
    <r>
      <t>大理雪邦山商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</si>
  <si>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开胃酒; 葡萄酒; 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青稞酒</t>
    </r>
  </si>
  <si>
    <t>高凉聚谷</t>
  </si>
  <si>
    <t>吴小云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</si>
  <si>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</si>
  <si>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粤粱</t>
  </si>
  <si>
    <r>
      <t>罗</t>
    </r>
    <r>
      <rPr>
        <sz val="11"/>
        <color theme="1"/>
        <rFont val="ＭＳ Ｐゴシック"/>
        <family val="3"/>
        <charset val="128"/>
        <scheme val="minor"/>
      </rPr>
      <t>岳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</si>
  <si>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白酒; 清酒;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</si>
  <si>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r>
      <t>涧</t>
    </r>
    <r>
      <rPr>
        <sz val="11"/>
        <color theme="1"/>
        <rFont val="ＭＳ Ｐゴシック"/>
        <family val="3"/>
        <charset val="128"/>
        <scheme val="minor"/>
      </rPr>
      <t>上韵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</si>
  <si>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州味染酒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</si>
  <si>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黄酒; 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蜂蜜酒</t>
    </r>
  </si>
  <si>
    <r>
      <t>贞</t>
    </r>
    <r>
      <rPr>
        <sz val="11"/>
        <color theme="1"/>
        <rFont val="ＭＳ Ｐゴシック"/>
        <family val="3"/>
        <charset val="128"/>
        <scheme val="minor"/>
      </rPr>
      <t>君子</t>
    </r>
  </si>
  <si>
    <r>
      <t>山西真君子酒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</si>
  <si>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食用酒精;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</si>
  <si>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何以非凡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</si>
  <si>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东华</t>
    </r>
    <r>
      <rPr>
        <sz val="11"/>
        <color theme="1"/>
        <rFont val="ＭＳ Ｐゴシック"/>
        <family val="3"/>
        <charset val="128"/>
        <scheme val="minor"/>
      </rPr>
      <t>枝春酒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</si>
  <si>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</si>
  <si>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萃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养</t>
    </r>
  </si>
  <si>
    <t>吴荣光</t>
  </si>
  <si>
    <r>
      <t xml:space="preserve">葡萄酒; 白酒; 果酒（含酒精）; 开胃酒;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蜂蜜酒</t>
    </r>
  </si>
  <si>
    <t>湾里香</t>
  </si>
  <si>
    <r>
      <t>陈</t>
    </r>
    <r>
      <rPr>
        <sz val="11"/>
        <color theme="1"/>
        <rFont val="ＭＳ Ｐゴシック"/>
        <family val="3"/>
        <charset val="128"/>
        <scheme val="minor"/>
      </rPr>
      <t>新平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</si>
  <si>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高粱酒; 青梅酒;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烈性干酒;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</si>
  <si>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呄正昉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</si>
  <si>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苹果酒; 葡萄酒; 露酒; 果酒（含酒精）;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</si>
  <si>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钢</t>
    </r>
    <r>
      <rPr>
        <sz val="11"/>
        <color theme="1"/>
        <rFont val="ＭＳ Ｐゴシック"/>
        <family val="3"/>
        <charset val="128"/>
        <scheme val="minor"/>
      </rPr>
      <t>敲酒 酒 GANGQIANJIU</t>
    </r>
  </si>
  <si>
    <t>文元均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</si>
  <si>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烈酒;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高粱酒;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</si>
  <si>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古芳芝</t>
  </si>
  <si>
    <r>
      <t>王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南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</si>
  <si>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开胃酒;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</si>
  <si>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夏千景</t>
  </si>
  <si>
    <r>
      <t>夏</t>
    </r>
    <r>
      <rPr>
        <sz val="11"/>
        <color theme="1"/>
        <rFont val="ＭＳ Ｐゴシック"/>
        <family val="3"/>
        <charset val="134"/>
        <scheme val="minor"/>
      </rPr>
      <t>锁</t>
    </r>
    <r>
      <rPr>
        <sz val="11"/>
        <color theme="1"/>
        <rFont val="ＭＳ Ｐゴシック"/>
        <family val="3"/>
        <charset val="128"/>
        <scheme val="minor"/>
      </rPr>
      <t>金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</si>
  <si>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</si>
  <si>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湘窖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匠尊享</t>
    </r>
  </si>
  <si>
    <r>
      <t>白酒; 利口酒; 米酒;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</si>
  <si>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TIGER HUNGERTIME</t>
  </si>
  <si>
    <r>
      <t>南京两只老虎网</t>
    </r>
    <r>
      <rPr>
        <sz val="11"/>
        <color theme="1"/>
        <rFont val="ＭＳ Ｐゴシック"/>
        <family val="3"/>
        <charset val="134"/>
        <scheme val="minor"/>
      </rPr>
      <t>络传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</si>
  <si>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葡萄酒; 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白干酒（中国白酒）;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</t>
    </r>
  </si>
  <si>
    <t>福建古城乳品有限公司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</si>
  <si>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</si>
  <si>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州溪南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村旅游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</si>
  <si>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清酒;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</si>
  <si>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古北曼道</t>
  </si>
  <si>
    <r>
      <t>上海山合澎湃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</si>
  <si>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含酒精蛋奶酒</t>
    </r>
  </si>
  <si>
    <t>曲意坊</t>
  </si>
  <si>
    <r>
      <t>查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桃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</si>
  <si>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白酒; 烈酒; 黄酒; 高粱酒; 果酒（含酒精）; 葡萄酒; 米酒; 露酒</t>
    </r>
  </si>
  <si>
    <r>
      <t>花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玫瑰</t>
    </r>
    <r>
      <rPr>
        <sz val="11"/>
        <color theme="1"/>
        <rFont val="ＭＳ Ｐゴシック"/>
        <family val="3"/>
        <charset val="134"/>
        <scheme val="minor"/>
      </rPr>
      <t>缘</t>
    </r>
  </si>
  <si>
    <t>林文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</si>
  <si>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蜂蜜酒; 苹果酒;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</si>
  <si>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鑫冬意</t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</si>
  <si>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</si>
  <si>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t>菲天下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</si>
  <si>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荣菲医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</si>
  <si>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开胃酒; 果酒（含酒精）;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</si>
  <si>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西</t>
    </r>
    <r>
      <rPr>
        <sz val="11"/>
        <color theme="1"/>
        <rFont val="ＭＳ Ｐゴシック"/>
        <family val="3"/>
        <charset val="134"/>
        <scheme val="minor"/>
      </rPr>
      <t>岚</t>
    </r>
  </si>
  <si>
    <r>
      <t>北京西</t>
    </r>
    <r>
      <rPr>
        <sz val="11"/>
        <color theme="1"/>
        <rFont val="ＭＳ Ｐゴシック"/>
        <family val="3"/>
        <charset val="134"/>
        <scheme val="minor"/>
      </rPr>
      <t>岚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</si>
  <si>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汽酒; 白酒;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蒸煮提取物（利口酒和烈酒）;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</si>
  <si>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唐酒</t>
    </r>
    <r>
      <rPr>
        <sz val="11"/>
        <color theme="1"/>
        <rFont val="ＭＳ Ｐゴシック"/>
        <family val="3"/>
        <charset val="134"/>
        <scheme val="minor"/>
      </rPr>
      <t>窝</t>
    </r>
  </si>
  <si>
    <r>
      <t xml:space="preserve">威士忌; 果酒（含酒精）;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</si>
  <si>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思黔香</t>
  </si>
  <si>
    <r>
      <t>铜</t>
    </r>
    <r>
      <rPr>
        <sz val="11"/>
        <color theme="1"/>
        <rFont val="ＭＳ Ｐゴシック"/>
        <family val="3"/>
        <charset val="128"/>
        <scheme val="minor"/>
      </rPr>
      <t>仁市茂乾商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</si>
  <si>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薄荷酒; 露酒; 高粱酒; 青稞酒</t>
    </r>
  </si>
  <si>
    <t>鸿润</t>
  </si>
  <si>
    <r>
      <t>孙</t>
    </r>
    <r>
      <rPr>
        <sz val="11"/>
        <color theme="1"/>
        <rFont val="ＭＳ Ｐゴシック"/>
        <family val="3"/>
        <charset val="128"/>
        <scheme val="minor"/>
      </rPr>
      <t>磊</t>
    </r>
  </si>
  <si>
    <r>
      <t xml:space="preserve">开胃酒; 青稞酒; 食用酒精; 米酒; 葡萄酒; 烈酒;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</t>
    </r>
  </si>
  <si>
    <r>
      <t>湘窖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匠</t>
    </r>
    <r>
      <rPr>
        <sz val="11"/>
        <color theme="1"/>
        <rFont val="ＭＳ Ｐゴシック"/>
        <family val="3"/>
        <charset val="129"/>
        <scheme val="minor"/>
      </rPr>
      <t>龘龘</t>
    </r>
  </si>
  <si>
    <r>
      <t>黄酒; 果酒（含酒精）; 利口酒; 米酒;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</si>
  <si>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</si>
  <si>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>董翠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</si>
  <si>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果酒（含酒精）; 黄酒;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</si>
  <si>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惠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客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</si>
  <si>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明丰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</si>
  <si>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露酒;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</si>
  <si>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t>ODFJELL DINGUI</t>
  </si>
  <si>
    <t>奥德福加葡萄园股份公司</t>
  </si>
  <si>
    <t>鹿养星</t>
  </si>
  <si>
    <r>
      <t>赵</t>
    </r>
    <r>
      <rPr>
        <sz val="11"/>
        <color theme="1"/>
        <rFont val="ＭＳ Ｐゴシック"/>
        <family val="3"/>
        <charset val="128"/>
        <scheme val="minor"/>
      </rPr>
      <t>慧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</si>
  <si>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</t>
    </r>
  </si>
  <si>
    <t>花与布列</t>
  </si>
  <si>
    <t>朱国光</t>
  </si>
  <si>
    <r>
      <t xml:space="preserve">清酒（日本米酒）; 米酒;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</si>
  <si>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八匹虎</t>
  </si>
  <si>
    <r>
      <t>鞍山正通天河酒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</si>
  <si>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葡萄酒</t>
    </r>
  </si>
  <si>
    <t>BEN SPENCER</t>
  </si>
  <si>
    <r>
      <t xml:space="preserve">开胃酒;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</si>
  <si>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宣本</t>
    </r>
    <r>
      <rPr>
        <sz val="11"/>
        <color theme="1"/>
        <rFont val="ＭＳ Ｐゴシック"/>
        <family val="3"/>
        <charset val="134"/>
        <scheme val="minor"/>
      </rPr>
      <t>纪</t>
    </r>
  </si>
  <si>
    <t>高美芬</t>
  </si>
  <si>
    <r>
      <t>梨酒; 葡萄酒; 开胃酒;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</si>
  <si>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烈歌魅舞</t>
  </si>
  <si>
    <r>
      <t>张</t>
    </r>
    <r>
      <rPr>
        <sz val="11"/>
        <color theme="1"/>
        <rFont val="ＭＳ Ｐゴシック"/>
        <family val="3"/>
        <charset val="128"/>
        <scheme val="minor"/>
      </rPr>
      <t>文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</si>
  <si>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烈酒; 黄酒; 白酒;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</si>
  <si>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汐</t>
    </r>
    <r>
      <rPr>
        <sz val="11"/>
        <color theme="1"/>
        <rFont val="ＭＳ Ｐゴシック"/>
        <family val="3"/>
        <charset val="134"/>
        <scheme val="minor"/>
      </rPr>
      <t>财</t>
    </r>
  </si>
  <si>
    <t>陈伟</t>
  </si>
  <si>
    <r>
      <t>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烈酒; 开胃酒;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</si>
  <si>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精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民</t>
    </r>
  </si>
  <si>
    <r>
      <t>范</t>
    </r>
    <r>
      <rPr>
        <sz val="11"/>
        <color theme="1"/>
        <rFont val="ＭＳ Ｐゴシック"/>
        <family val="3"/>
        <charset val="134"/>
        <scheme val="minor"/>
      </rPr>
      <t>风华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</si>
  <si>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清酒;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</si>
  <si>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TIGER SLEEPYTIME</t>
  </si>
  <si>
    <r>
      <t>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米酒; 白酒; 果酒; 白干酒（中国白酒）</t>
    </r>
  </si>
  <si>
    <t>卓筒老井 酒</t>
  </si>
  <si>
    <r>
      <t>甜果酒;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酸酒（低等葡萄酒）; 烈酒; 葡萄酒</t>
    </r>
  </si>
  <si>
    <t>晟初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</si>
  <si>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白酒; 汽酒;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果酒; 伏特加酒; 黄酒</t>
    </r>
  </si>
  <si>
    <t>MATE ELAN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</si>
  <si>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璟箱包有限公司</t>
    </r>
  </si>
  <si>
    <r>
      <t>果酒（含酒精）; 苦味酒; 苹果酒;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</si>
  <si>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翡芸</t>
  </si>
  <si>
    <t>宋耀楠******************</t>
  </si>
  <si>
    <r>
      <t>汽酒;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蒸煮提取物（利口酒和烈酒）;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</si>
  <si>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唐运恒通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</si>
  <si>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黄酒;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食用酒精; 葡萄酒; 果酒（含酒精）</t>
    </r>
  </si>
  <si>
    <r>
      <t>湘窖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匠如意</t>
    </r>
  </si>
  <si>
    <r>
      <t>利口酒;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</t>
    </r>
  </si>
  <si>
    <t>宜也</t>
  </si>
  <si>
    <r>
      <t>信宜市玉都街道</t>
    </r>
    <r>
      <rPr>
        <sz val="11"/>
        <color theme="1"/>
        <rFont val="ＭＳ Ｐゴシック"/>
        <family val="3"/>
        <charset val="134"/>
        <scheme val="minor"/>
      </rPr>
      <t>经济联</t>
    </r>
    <r>
      <rPr>
        <sz val="11"/>
        <color theme="1"/>
        <rFont val="ＭＳ Ｐゴシック"/>
        <family val="3"/>
        <charset val="128"/>
        <scheme val="minor"/>
      </rPr>
      <t>合</t>
    </r>
    <r>
      <rPr>
        <sz val="11"/>
        <color theme="1"/>
        <rFont val="ＭＳ Ｐゴシック"/>
        <family val="3"/>
        <charset val="134"/>
        <scheme val="minor"/>
      </rPr>
      <t>总</t>
    </r>
    <r>
      <rPr>
        <sz val="11"/>
        <color theme="1"/>
        <rFont val="ＭＳ Ｐゴシック"/>
        <family val="3"/>
        <charset val="128"/>
        <scheme val="minor"/>
      </rPr>
      <t>社</t>
    </r>
  </si>
  <si>
    <r>
      <t>威士忌; 开胃酒;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</si>
  <si>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志</t>
    </r>
    <r>
      <rPr>
        <sz val="11"/>
        <color theme="1"/>
        <rFont val="ＭＳ Ｐゴシック"/>
        <family val="3"/>
        <charset val="134"/>
        <scheme val="minor"/>
      </rPr>
      <t>选</t>
    </r>
  </si>
  <si>
    <t>黄巧</t>
  </si>
  <si>
    <r>
      <t xml:space="preserve">烈酒; 高粱酒;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果酒; 青稞酒; 黄酒</t>
    </r>
  </si>
  <si>
    <r>
      <t>僰</t>
    </r>
    <r>
      <rPr>
        <sz val="11"/>
        <color theme="1"/>
        <rFont val="ＭＳ Ｐゴシック"/>
        <family val="3"/>
        <charset val="128"/>
        <scheme val="minor"/>
      </rPr>
      <t>都邱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</si>
  <si>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邱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</si>
  <si>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 xml:space="preserve">青稞酒;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葡萄酒; 米酒</t>
    </r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</si>
  <si>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白酒</t>
    </r>
  </si>
  <si>
    <t>蕃隆</t>
  </si>
  <si>
    <r>
      <t>西藏蕃隆餐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</si>
  <si>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果酒（含酒精）; 米酒; 白酒; 五加皮酒（中国混合烈酒）; 青稞酒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</si>
  <si>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敏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</si>
  <si>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平原印象文化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</si>
  <si>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开胃酒;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葡萄酒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</si>
  <si>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</si>
  <si>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</si>
  <si>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>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</si>
  <si>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佳</t>
    </r>
  </si>
  <si>
    <r>
      <t>葡萄酒; 白酒; 黄酒;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</si>
  <si>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便捷</t>
    </r>
    <r>
      <rPr>
        <sz val="11"/>
        <color theme="1"/>
        <rFont val="ＭＳ Ｐゴシック"/>
        <family val="3"/>
        <charset val="129"/>
        <scheme val="minor"/>
      </rPr>
      <t>喵</t>
    </r>
    <r>
      <rPr>
        <sz val="11"/>
        <color theme="1"/>
        <rFont val="ＭＳ Ｐゴシック"/>
        <family val="3"/>
        <charset val="128"/>
        <scheme val="minor"/>
      </rPr>
      <t xml:space="preserve"> UEASYMEOW</t>
    </r>
  </si>
  <si>
    <r>
      <t>温州便捷</t>
    </r>
    <r>
      <rPr>
        <sz val="11"/>
        <color theme="1"/>
        <rFont val="ＭＳ Ｐゴシック"/>
        <family val="3"/>
        <charset val="129"/>
        <scheme val="minor"/>
      </rPr>
      <t>喵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</si>
  <si>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食用酒精;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</si>
  <si>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红锦妆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</si>
  <si>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沙肤冠咨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</si>
  <si>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果酒;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</si>
  <si>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r>
      <t>招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雕</t>
    </r>
  </si>
  <si>
    <r>
      <t>章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荷</t>
    </r>
  </si>
  <si>
    <r>
      <t>汽酒; 果酒; 黄酒; 米酒;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佐餐酒;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</t>
    </r>
  </si>
  <si>
    <r>
      <t>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喜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</si>
  <si>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</si>
  <si>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内</t>
    </r>
  </si>
  <si>
    <r>
      <t>奢</t>
    </r>
    <r>
      <rPr>
        <sz val="11"/>
        <color theme="1"/>
        <rFont val="ＭＳ Ｐゴシック"/>
        <family val="3"/>
        <charset val="134"/>
        <scheme val="minor"/>
      </rPr>
      <t>质</t>
    </r>
    <r>
      <rPr>
        <sz val="11"/>
        <color theme="1"/>
        <rFont val="ＭＳ Ｐゴシック"/>
        <family val="3"/>
        <charset val="128"/>
        <scheme val="minor"/>
      </rPr>
      <t>珠宝（深圳）有限公司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</si>
  <si>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果酒; 清酒; 米酒; 蜂蜜酒; 佐餐酒;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</si>
  <si>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菡鹿百福</t>
  </si>
  <si>
    <r>
      <t>乐</t>
    </r>
    <r>
      <rPr>
        <sz val="11"/>
        <color theme="1"/>
        <rFont val="ＭＳ Ｐゴシック"/>
        <family val="3"/>
        <charset val="128"/>
        <scheme val="minor"/>
      </rPr>
      <t>平市双田鼎盛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物养殖家庭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</si>
  <si>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 xml:space="preserve">甜果酒;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烈性干酒; 白干酒（中国白酒）; 高粱酒; 果酒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</si>
  <si>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牌惟密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</si>
  <si>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</si>
  <si>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葡萄酒; 伏特加酒; 青稞酒</t>
    </r>
  </si>
  <si>
    <r>
      <t>幸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村</t>
    </r>
  </si>
  <si>
    <t>朱云来</t>
  </si>
  <si>
    <r>
      <t>果酒（含酒精）; 烈酒; 白酒; 清酒;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黄酒; 葡萄汽酒; 白干酒（中国白酒）</t>
    </r>
  </si>
  <si>
    <r>
      <t>湘窖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匠珍品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</si>
  <si>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黄酒; 果酒（含酒精）;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</si>
  <si>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BLOOM WESTBOUND BY BLOOM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</si>
  <si>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果酒（含酒精）</t>
    </r>
  </si>
  <si>
    <r>
      <t>琼</t>
    </r>
    <r>
      <rPr>
        <sz val="11"/>
        <color theme="1"/>
        <rFont val="ＭＳ Ｐゴシック"/>
        <family val="3"/>
        <charset val="128"/>
        <scheme val="minor"/>
      </rPr>
      <t>匠先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</si>
  <si>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果酒（含酒精）;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</si>
  <si>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清云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</si>
  <si>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天津京喜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</si>
  <si>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</t>
    </r>
  </si>
  <si>
    <t>伴笑光年</t>
  </si>
  <si>
    <r>
      <t>上海逅果文化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</si>
  <si>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威士忌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</si>
  <si>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佳醇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</si>
  <si>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四妮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</si>
  <si>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甜酒;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食用酒精</t>
    </r>
  </si>
  <si>
    <t>儒隆</t>
  </si>
  <si>
    <t>广州市益普食品有限公司</t>
  </si>
  <si>
    <r>
      <t>米酒; 开胃酒; 果酒; 清酒; 茴香酒;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茴芹酒（利口酒）; 利口酒; 威士忌</t>
    </r>
  </si>
  <si>
    <t>MARQUIS DE LAMOTHE</t>
  </si>
  <si>
    <r>
      <t xml:space="preserve">果酒; 葡萄酒;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开胃酒; 清酒; 米酒</t>
    </r>
  </si>
  <si>
    <r>
      <t>瑶美</t>
    </r>
    <r>
      <rPr>
        <sz val="11"/>
        <color theme="1"/>
        <rFont val="ＭＳ Ｐゴシック"/>
        <family val="3"/>
        <charset val="134"/>
        <scheme val="minor"/>
      </rPr>
      <t>丽</t>
    </r>
  </si>
  <si>
    <t>高卓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</si>
  <si>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清酒; 白酒; 烈酒; 黄酒; 葡萄酒; 果酒（含酒精）</t>
    </r>
  </si>
  <si>
    <t>道仁山</t>
  </si>
  <si>
    <r>
      <t>张</t>
    </r>
    <r>
      <rPr>
        <sz val="11"/>
        <color theme="1"/>
        <rFont val="ＭＳ Ｐゴシック"/>
        <family val="3"/>
        <charset val="128"/>
        <scheme val="minor"/>
      </rPr>
      <t>家界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雅机</t>
    </r>
    <r>
      <rPr>
        <sz val="11"/>
        <color theme="1"/>
        <rFont val="ＭＳ Ｐゴシック"/>
        <family val="3"/>
        <charset val="134"/>
        <scheme val="minor"/>
      </rPr>
      <t>电设备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</si>
  <si>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葡萄酒; 威士忌; 高粱酒;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</si>
  <si>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曹少</t>
    </r>
    <r>
      <rPr>
        <sz val="11"/>
        <color theme="1"/>
        <rFont val="ＭＳ Ｐゴシック"/>
        <family val="3"/>
        <charset val="134"/>
        <scheme val="minor"/>
      </rPr>
      <t>聪</t>
    </r>
  </si>
  <si>
    <r>
      <t>云思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生物科技（广州）有限公司</t>
    </r>
  </si>
  <si>
    <r>
      <t>威士忌;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</si>
  <si>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田老幺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</si>
  <si>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西鼎味臻餐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</si>
  <si>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葡萄酒; 白酒;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朗姆酒; 伏特加酒; 米酒</t>
    </r>
  </si>
  <si>
    <r>
      <t>雁</t>
    </r>
    <r>
      <rPr>
        <sz val="11"/>
        <color theme="1"/>
        <rFont val="ＭＳ Ｐゴシック"/>
        <family val="3"/>
        <charset val="134"/>
        <scheme val="minor"/>
      </rPr>
      <t>门辉</t>
    </r>
    <r>
      <rPr>
        <sz val="11"/>
        <color theme="1"/>
        <rFont val="ＭＳ Ｐゴシック"/>
        <family val="3"/>
        <charset val="128"/>
        <scheme val="minor"/>
      </rPr>
      <t>歌</t>
    </r>
  </si>
  <si>
    <r>
      <t>代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清香源住宿服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</si>
  <si>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烈酒;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</si>
  <si>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SKERK</t>
  </si>
  <si>
    <t>思科酒庄</t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</si>
  <si>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餐后酒（利口酒和烈酒）;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</si>
  <si>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邛可里斯</t>
    </r>
    <r>
      <rPr>
        <sz val="11"/>
        <color theme="1"/>
        <rFont val="ＭＳ Ｐゴシック"/>
        <family val="3"/>
        <charset val="134"/>
        <scheme val="minor"/>
      </rPr>
      <t>顿</t>
    </r>
  </si>
  <si>
    <t>李万秀</t>
  </si>
  <si>
    <r>
      <t>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白酒; 白干酒（中国白酒）; 果酒（含酒精）;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</si>
  <si>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代英俊</t>
  </si>
  <si>
    <r>
      <t>南京多享投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</si>
  <si>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汽酒;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黄酒; 伏特加酒</t>
    </r>
  </si>
  <si>
    <t>蒙得羊小福</t>
  </si>
  <si>
    <r>
      <t>崔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</si>
  <si>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葡萄酒;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朗姆酒</t>
    </r>
  </si>
  <si>
    <t>犍酒玉犍春</t>
  </si>
  <si>
    <r>
      <t>成都智</t>
    </r>
    <r>
      <rPr>
        <sz val="11"/>
        <color theme="1"/>
        <rFont val="ＭＳ Ｐゴシック"/>
        <family val="3"/>
        <charset val="134"/>
        <scheme val="minor"/>
      </rPr>
      <t>绘</t>
    </r>
    <r>
      <rPr>
        <sz val="11"/>
        <color theme="1"/>
        <rFont val="ＭＳ Ｐゴシック"/>
        <family val="3"/>
        <charset val="128"/>
        <scheme val="minor"/>
      </rPr>
      <t>人生文化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</si>
  <si>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白干酒（中国白酒）</t>
    </r>
  </si>
  <si>
    <t>NUTNUTPALS</t>
  </si>
  <si>
    <r>
      <t>上海潮瓶文化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</si>
  <si>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利口酒; 威士忌; 米酒;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葡萄酒; 黄酒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</si>
  <si>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幽</t>
    </r>
  </si>
  <si>
    <t>梁俊</t>
  </si>
  <si>
    <r>
      <t xml:space="preserve">果酒（含酒精）;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米酒; 葡萄酒</t>
    </r>
  </si>
  <si>
    <r>
      <t>梦塘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</si>
  <si>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成都淘酒网酒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</si>
  <si>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</si>
  <si>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家婷</t>
  </si>
  <si>
    <r>
      <t>陈贤</t>
    </r>
    <r>
      <rPr>
        <sz val="11"/>
        <color theme="1"/>
        <rFont val="ＭＳ Ｐゴシック"/>
        <family val="3"/>
        <charset val="128"/>
        <scheme val="minor"/>
      </rPr>
      <t>民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</si>
  <si>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梅酒; 清酒;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</si>
  <si>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粮</t>
    </r>
    <r>
      <rPr>
        <sz val="11"/>
        <color theme="1"/>
        <rFont val="ＭＳ Ｐゴシック"/>
        <family val="3"/>
        <charset val="134"/>
        <scheme val="minor"/>
      </rPr>
      <t>钦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</si>
  <si>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狄秋茂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</si>
  <si>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黄酒;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</si>
  <si>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刘万德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</si>
  <si>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清酒（日本米酒）; 米酒; 黄酒</t>
    </r>
  </si>
  <si>
    <t>榕江泉</t>
  </si>
  <si>
    <r>
      <t>惠州市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盛达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</si>
  <si>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青稞酒;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威士忌</t>
    </r>
  </si>
  <si>
    <r>
      <t>梦幻</t>
    </r>
    <r>
      <rPr>
        <sz val="11"/>
        <color theme="1"/>
        <rFont val="ＭＳ Ｐゴシック"/>
        <family val="3"/>
        <charset val="134"/>
        <scheme val="minor"/>
      </rPr>
      <t>齐鲁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</si>
  <si>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东红</t>
    </r>
    <r>
      <rPr>
        <sz val="11"/>
        <color theme="1"/>
        <rFont val="ＭＳ Ｐゴシック"/>
        <family val="3"/>
        <charset val="128"/>
        <scheme val="minor"/>
      </rPr>
      <t>色老区酒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</si>
  <si>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食用酒精; 果酒;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青稞酒;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</si>
  <si>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t>柘安</t>
  </si>
  <si>
    <r>
      <t>上海蔗道企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</si>
  <si>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</si>
  <si>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r>
      <t>由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嘉品</t>
    </r>
  </si>
  <si>
    <r>
      <t>海南新</t>
    </r>
    <r>
      <rPr>
        <sz val="11"/>
        <color theme="1"/>
        <rFont val="ＭＳ Ｐゴシック"/>
        <family val="3"/>
        <charset val="134"/>
        <scheme val="minor"/>
      </rPr>
      <t>兹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</si>
  <si>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果酒（含酒精）;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</si>
  <si>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予嘬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</si>
  <si>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玖至</t>
    </r>
    <r>
      <rPr>
        <sz val="11"/>
        <color theme="1"/>
        <rFont val="ＭＳ Ｐゴシック"/>
        <family val="3"/>
        <charset val="134"/>
        <scheme val="minor"/>
      </rPr>
      <t>诚电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</si>
  <si>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甜果酒; 米酒; 白酒;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</si>
  <si>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薏如玉</t>
  </si>
  <si>
    <r>
      <t>陈</t>
    </r>
    <r>
      <rPr>
        <sz val="11"/>
        <color theme="1"/>
        <rFont val="ＭＳ Ｐゴシック"/>
        <family val="3"/>
        <charset val="128"/>
        <scheme val="minor"/>
      </rPr>
      <t>德云</t>
    </r>
  </si>
  <si>
    <r>
      <t>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青稞酒;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</si>
  <si>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北京大道文化</t>
    </r>
    <r>
      <rPr>
        <sz val="11"/>
        <color theme="1"/>
        <rFont val="ＭＳ Ｐゴシック"/>
        <family val="3"/>
        <charset val="134"/>
        <scheme val="minor"/>
      </rPr>
      <t>节</t>
    </r>
    <r>
      <rPr>
        <sz val="11"/>
        <color theme="1"/>
        <rFont val="ＭＳ Ｐゴシック"/>
        <family val="3"/>
        <charset val="128"/>
        <scheme val="minor"/>
      </rPr>
      <t>目制作有限公司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</si>
  <si>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威士忌;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</si>
  <si>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t>柘清</t>
  </si>
  <si>
    <r>
      <t xml:space="preserve">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</si>
  <si>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棠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花</t>
    </r>
  </si>
  <si>
    <t>李健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</si>
  <si>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</si>
  <si>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t>京楠夕</t>
  </si>
  <si>
    <r>
      <t>分宜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弘宇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</si>
  <si>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 xml:space="preserve">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混合威士忌酒;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葡萄汽酒; 青梅酒; 露酒; 桑格利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</si>
  <si>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灵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</si>
  <si>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内蒙古明州酒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</si>
  <si>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</si>
  <si>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耕瑞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</si>
  <si>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郑继发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</si>
  <si>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烈酒; 白酒;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</si>
  <si>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大力蛾</t>
  </si>
  <si>
    <r>
      <t>王成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</si>
  <si>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五加皮酒（中国混合烈酒）; 高粱酒; 白酒; 刺五加酒;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</si>
  <si>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龙庆</t>
    </r>
    <r>
      <rPr>
        <sz val="11"/>
        <color theme="1"/>
        <rFont val="ＭＳ Ｐゴシック"/>
        <family val="3"/>
        <charset val="128"/>
        <scheme val="minor"/>
      </rPr>
      <t>祥</t>
    </r>
  </si>
  <si>
    <t>胡海欧</t>
  </si>
  <si>
    <r>
      <t xml:space="preserve">果酒（含酒精）;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白干酒（中国白酒）; 黄酒; 葡萄酒; 米酒</t>
    </r>
  </si>
  <si>
    <t>浙唐</t>
  </si>
  <si>
    <t>浙江旭良皮筋制造有限公司</t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</si>
  <si>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果酒（含酒精）; 蜂蜜酒;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</si>
  <si>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瑞太源</t>
    </r>
    <r>
      <rPr>
        <sz val="11"/>
        <color theme="1"/>
        <rFont val="ＭＳ Ｐゴシック"/>
        <family val="3"/>
        <charset val="134"/>
        <scheme val="minor"/>
      </rPr>
      <t>岁</t>
    </r>
  </si>
  <si>
    <t>丁相玉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</si>
  <si>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朗姆酒; 伏特加酒; 开胃酒</t>
    </r>
  </si>
  <si>
    <t>B</t>
  </si>
  <si>
    <r>
      <t>郭</t>
    </r>
    <r>
      <rPr>
        <sz val="11"/>
        <color theme="1"/>
        <rFont val="ＭＳ Ｐゴシック"/>
        <family val="3"/>
        <charset val="134"/>
        <scheme val="minor"/>
      </rPr>
      <t>闪闪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</si>
  <si>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开胃酒; 葡萄酒; 蜂蜜酒; 黄酒; 梨酒; 白酒; 果酒</t>
    </r>
  </si>
  <si>
    <t>儒律</t>
  </si>
  <si>
    <t>奉元控股（深圳）有限公司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</si>
  <si>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汽酒; 黄酒; 果酒（含酒精）; 蜂蜜酒</t>
    </r>
  </si>
  <si>
    <t>柘明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</si>
  <si>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汽酒;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</si>
  <si>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t>柘良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</si>
  <si>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葡萄酒; 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</si>
  <si>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乌</t>
    </r>
    <r>
      <rPr>
        <sz val="11"/>
        <color theme="1"/>
        <rFont val="ＭＳ Ｐゴシック"/>
        <family val="3"/>
        <charset val="128"/>
        <scheme val="minor"/>
      </rPr>
      <t>九号</t>
    </r>
  </si>
  <si>
    <r>
      <t>台州吉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予文化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</si>
  <si>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开胃酒;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青稞酒</t>
    </r>
  </si>
  <si>
    <t>柘眠</t>
  </si>
  <si>
    <r>
      <t>米酒;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清酒（日本米酒）</t>
    </r>
  </si>
  <si>
    <t>万多福</t>
  </si>
  <si>
    <t>烟台力宏平海参有限公司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</si>
  <si>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黄酒;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甜酒; 烈酒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</si>
  <si>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荫</t>
    </r>
    <r>
      <rPr>
        <sz val="11"/>
        <color theme="1"/>
        <rFont val="ＭＳ Ｐゴシック"/>
        <family val="3"/>
        <charset val="128"/>
        <scheme val="minor"/>
      </rPr>
      <t>楠</t>
    </r>
  </si>
  <si>
    <r>
      <t>白酒;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</si>
  <si>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饶晓</t>
    </r>
    <r>
      <rPr>
        <sz val="11"/>
        <color theme="1"/>
        <rFont val="ＭＳ Ｐゴシック"/>
        <family val="3"/>
        <charset val="128"/>
        <scheme val="minor"/>
      </rPr>
      <t>胖</t>
    </r>
  </si>
  <si>
    <r>
      <t>陈贺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</si>
  <si>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</si>
  <si>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JIEZAISANWENYU</t>
  </si>
  <si>
    <t>莫杰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</si>
  <si>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果酒; 甜酒; 黄酒; 葡萄酒</t>
    </r>
  </si>
  <si>
    <r>
      <t>满满</t>
    </r>
    <r>
      <rPr>
        <sz val="11"/>
        <color theme="1"/>
        <rFont val="ＭＳ Ｐゴシック"/>
        <family val="3"/>
        <charset val="128"/>
        <scheme val="minor"/>
      </rPr>
      <t>唐</t>
    </r>
  </si>
  <si>
    <r>
      <t>北京碧桐品牌管理有限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</si>
  <si>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含酒精的气泡水;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</si>
  <si>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北活好</t>
  </si>
  <si>
    <t>广州品商信息科技有限公司</t>
  </si>
  <si>
    <r>
      <t>烈酒; 露酒; 威士忌;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黄酒; 米酒;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</t>
    </r>
  </si>
  <si>
    <t>豫清阳</t>
  </si>
  <si>
    <r>
      <t>濮阳市清阳酒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</si>
  <si>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白酒; 葡萄酒; 米酒;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</si>
  <si>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屋</t>
    </r>
  </si>
  <si>
    <r>
      <t>李国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</si>
  <si>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果酒（含酒精）; 米酒; 白酒; 清酒（日本米酒）;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</si>
  <si>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</si>
  <si>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>练</t>
    </r>
    <r>
      <rPr>
        <sz val="11"/>
        <color theme="1"/>
        <rFont val="ＭＳ Ｐゴシック"/>
        <family val="3"/>
        <charset val="128"/>
        <scheme val="minor"/>
      </rPr>
      <t>添明</t>
    </r>
  </si>
  <si>
    <r>
      <t xml:space="preserve">清酒; 白干酒（中国白酒）;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</si>
  <si>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轶</t>
    </r>
    <r>
      <rPr>
        <sz val="11"/>
        <color theme="1"/>
        <rFont val="ＭＳ Ｐゴシック"/>
        <family val="3"/>
        <charset val="128"/>
        <scheme val="minor"/>
      </rPr>
      <t>嘉</t>
    </r>
    <r>
      <rPr>
        <sz val="11"/>
        <color theme="1"/>
        <rFont val="ＭＳ Ｐゴシック"/>
        <family val="3"/>
        <charset val="134"/>
        <scheme val="minor"/>
      </rPr>
      <t>铭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</si>
  <si>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清酒;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</t>
    </r>
  </si>
  <si>
    <t>阳清阳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</si>
  <si>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白干酒（中国白酒）;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</si>
  <si>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GSYSNI</t>
  </si>
  <si>
    <r>
      <t>林</t>
    </r>
    <r>
      <rPr>
        <sz val="11"/>
        <color theme="1"/>
        <rFont val="ＭＳ Ｐゴシック"/>
        <family val="3"/>
        <charset val="134"/>
        <scheme val="minor"/>
      </rPr>
      <t>锦坛</t>
    </r>
  </si>
  <si>
    <r>
      <t>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</si>
  <si>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乐汇</t>
    </r>
  </si>
  <si>
    <r>
      <t>三万英尺(上海)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</si>
  <si>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白葡萄酒; 清酒; 白酒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</si>
  <si>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庆鲤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</si>
  <si>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公子酒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</si>
  <si>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白酒</t>
    </r>
  </si>
  <si>
    <t>儒雷</t>
  </si>
  <si>
    <r>
      <t>茴芹酒（利口酒）; 茴香酒; 果酒;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威士忌; 米酒; 梅酒; 利口酒</t>
    </r>
  </si>
  <si>
    <t>北活得</t>
  </si>
  <si>
    <r>
      <t>烈酒; 果酒; 米酒; 葡萄酒; 威士忌;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</si>
  <si>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t>舍知足</t>
  </si>
  <si>
    <r>
      <t>四川味</t>
    </r>
    <r>
      <rPr>
        <sz val="11"/>
        <color theme="1"/>
        <rFont val="ＭＳ Ｐゴシック"/>
        <family val="3"/>
        <charset val="134"/>
        <scheme val="minor"/>
      </rPr>
      <t>驰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</si>
  <si>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黄酒; 白酒</t>
    </r>
  </si>
  <si>
    <t>新逑</t>
  </si>
  <si>
    <r>
      <t>梅州市金立方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</si>
  <si>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</si>
  <si>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t>洽美人</t>
  </si>
  <si>
    <t>温玉才</t>
  </si>
  <si>
    <r>
      <t>威士忌; 葡萄酒; 米酒;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果酒（含酒精）</t>
    </r>
  </si>
  <si>
    <t>ZOOM TEN</t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</si>
  <si>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中天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宇投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</si>
  <si>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</si>
  <si>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极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</si>
  <si>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何</t>
    </r>
    <r>
      <rPr>
        <sz val="11"/>
        <color theme="1"/>
        <rFont val="ＭＳ Ｐゴシック"/>
        <family val="3"/>
        <charset val="134"/>
        <scheme val="minor"/>
      </rPr>
      <t>鲁书</t>
    </r>
    <r>
      <rPr>
        <sz val="11"/>
        <color theme="1"/>
        <rFont val="ＭＳ Ｐゴシック"/>
        <family val="3"/>
        <charset val="128"/>
        <scheme val="minor"/>
      </rPr>
      <t>画院有限公司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</si>
  <si>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苦味酒; 葡萄酒; 利口酒; 开胃酒</t>
    </r>
  </si>
  <si>
    <t>杏礼春</t>
  </si>
  <si>
    <t>何杰</t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</si>
  <si>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米酒;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</t>
    </r>
  </si>
  <si>
    <t>黔黔多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</si>
  <si>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州利达供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</si>
  <si>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干型苹果酒; 果酒（含酒精）;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苹果酒; 水果汽酒</t>
    </r>
  </si>
  <si>
    <t>蜜境雪谷</t>
  </si>
  <si>
    <t>吉林省百草王生物科技有限公司</t>
  </si>
  <si>
    <r>
      <t>清酒;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</si>
  <si>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贝诗</t>
    </r>
    <r>
      <rPr>
        <sz val="11"/>
        <color theme="1"/>
        <rFont val="ＭＳ Ｐゴシック"/>
        <family val="3"/>
        <charset val="128"/>
        <scheme val="minor"/>
      </rPr>
      <t>妮邦富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</si>
  <si>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米酒; 蒸煮提取物（利口酒和烈酒）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</si>
  <si>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耀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煌</t>
    </r>
  </si>
  <si>
    <r>
      <t>宿迁市金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</si>
  <si>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葡萄酒; 黄酒; 米酒; 白酒; 青稞酒; 烈酒; 高粱酒;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</si>
  <si>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天琴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樟</t>
    </r>
  </si>
  <si>
    <t>代南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</si>
  <si>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汽酒; 黄酒;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</si>
  <si>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酔魅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口</t>
    </r>
  </si>
  <si>
    <r>
      <t>宜川</t>
    </r>
    <r>
      <rPr>
        <sz val="11"/>
        <color theme="1"/>
        <rFont val="ＭＳ Ｐゴシック"/>
        <family val="3"/>
        <charset val="134"/>
        <scheme val="minor"/>
      </rPr>
      <t>县壶</t>
    </r>
    <r>
      <rPr>
        <sz val="11"/>
        <color theme="1"/>
        <rFont val="ＭＳ Ｐゴシック"/>
        <family val="3"/>
        <charset val="128"/>
        <scheme val="minor"/>
      </rPr>
      <t>口旅游开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</si>
  <si>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苹果酒;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清酒（日本米酒）;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</si>
  <si>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r>
      <t>京都</t>
    </r>
    <r>
      <rPr>
        <sz val="11"/>
        <color theme="1"/>
        <rFont val="ＭＳ Ｐゴシック"/>
        <family val="3"/>
        <charset val="134"/>
        <scheme val="minor"/>
      </rPr>
      <t>陇</t>
    </r>
    <r>
      <rPr>
        <sz val="11"/>
        <color theme="1"/>
        <rFont val="ＭＳ Ｐゴシック"/>
        <family val="3"/>
        <charset val="128"/>
        <scheme val="minor"/>
      </rPr>
      <t>脉</t>
    </r>
  </si>
  <si>
    <r>
      <t>清酒（日本米酒）; 威士忌;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伏特加酒; 白酒</t>
    </r>
  </si>
  <si>
    <t>酒二弟</t>
  </si>
  <si>
    <r>
      <t xml:space="preserve">葡萄酒; 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伏特加酒; 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</si>
  <si>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基</t>
    </r>
  </si>
  <si>
    <r>
      <t>应</t>
    </r>
    <r>
      <rPr>
        <sz val="11"/>
        <color theme="1"/>
        <rFont val="ＭＳ Ｐゴシック"/>
        <family val="3"/>
        <charset val="128"/>
        <scheme val="minor"/>
      </rPr>
      <t>立斌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</si>
  <si>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葡萄酒;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</si>
  <si>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r>
      <t>蒙</t>
    </r>
    <r>
      <rPr>
        <sz val="11"/>
        <color theme="1"/>
        <rFont val="ＭＳ Ｐゴシック"/>
        <family val="3"/>
        <charset val="134"/>
        <scheme val="minor"/>
      </rPr>
      <t>酝</t>
    </r>
    <r>
      <rPr>
        <sz val="11"/>
        <color theme="1"/>
        <rFont val="ＭＳ Ｐゴシック"/>
        <family val="3"/>
        <charset val="128"/>
        <scheme val="minor"/>
      </rPr>
      <t>火山王</t>
    </r>
  </si>
  <si>
    <t>全喜文</t>
  </si>
  <si>
    <r>
      <t xml:space="preserve">黄酒; 白酒;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含奶油利口酒;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含酒精蛋奶酒;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</si>
  <si>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鹿侍</t>
    </r>
    <r>
      <rPr>
        <sz val="11"/>
        <color theme="1"/>
        <rFont val="ＭＳ Ｐゴシック"/>
        <family val="3"/>
        <charset val="134"/>
        <scheme val="minor"/>
      </rPr>
      <t>卫</t>
    </r>
  </si>
  <si>
    <t>董仙莉</t>
  </si>
  <si>
    <t>甜酒; 开胃酒; 黄酒; 果酒; 食用酒精; 清酒; 白酒; 米酒; 葡萄酒; 汽酒</t>
  </si>
  <si>
    <r>
      <t>谷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</si>
  <si>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健男</t>
    </r>
  </si>
  <si>
    <r>
      <t>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餐后酒（利口酒和烈酒）</t>
    </r>
  </si>
  <si>
    <t>花房喜</t>
  </si>
  <si>
    <t>刘文涛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</si>
  <si>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高粱酒;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蒸煮提取物（利口酒和烈酒）; 白干酒（中国白酒）; 果酒; 白酒</t>
    </r>
  </si>
  <si>
    <t>金鼎湾</t>
  </si>
  <si>
    <r>
      <t xml:space="preserve">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葡萄酒; 威士忌</t>
    </r>
  </si>
  <si>
    <r>
      <t>引</t>
    </r>
    <r>
      <rPr>
        <sz val="11"/>
        <color theme="1"/>
        <rFont val="ＭＳ Ｐゴシック"/>
        <family val="3"/>
        <charset val="134"/>
        <scheme val="minor"/>
      </rPr>
      <t>导线</t>
    </r>
  </si>
  <si>
    <t>刘万春</t>
  </si>
  <si>
    <t>开胃酒; 果酒; 米酒; 汽酒; 黄酒; 葡萄酒; 清酒; 白酒; 食用酒精; 甜酒</t>
  </si>
  <si>
    <t>三分叶</t>
  </si>
  <si>
    <r>
      <t>陈</t>
    </r>
    <r>
      <rPr>
        <sz val="11"/>
        <color theme="1"/>
        <rFont val="ＭＳ Ｐゴシック"/>
        <family val="3"/>
        <charset val="128"/>
        <scheme val="minor"/>
      </rPr>
      <t>年国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易（广州）有限公司</t>
    </r>
  </si>
  <si>
    <r>
      <t xml:space="preserve">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</si>
  <si>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瑜悦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</si>
  <si>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瑜悦数字科技（江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</si>
  <si>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苦味酒; 开胃酒</t>
    </r>
  </si>
  <si>
    <t>迎匠民</t>
  </si>
  <si>
    <r>
      <t>盛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雄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</si>
  <si>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</t>
    </r>
  </si>
  <si>
    <r>
      <t>福樽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</si>
  <si>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清酒（日本米酒）; 米酒; 白酒; 威士忌;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</si>
  <si>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健和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</si>
  <si>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阳新天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</si>
  <si>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威士忌; 葡萄酒</t>
    </r>
  </si>
  <si>
    <r>
      <t>仁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</si>
  <si>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威士忌;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米酒; 食用酒精; 果酒（含酒精）; 白酒</t>
    </r>
  </si>
  <si>
    <t>INCE</t>
  </si>
  <si>
    <t>吴桐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</si>
  <si>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</t>
    </r>
  </si>
  <si>
    <t>初源福供</t>
  </si>
  <si>
    <r>
      <t>福建供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</si>
  <si>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</si>
  <si>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吻猴</t>
    </r>
  </si>
  <si>
    <r>
      <t>昆明新</t>
    </r>
    <r>
      <rPr>
        <sz val="11"/>
        <color theme="1"/>
        <rFont val="ＭＳ Ｐゴシック"/>
        <family val="3"/>
        <charset val="134"/>
        <scheme val="minor"/>
      </rPr>
      <t>赛尔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</si>
  <si>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果酒（含酒精）; 黄酒;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</si>
  <si>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晋井原</t>
  </si>
  <si>
    <r>
      <t>山西虹</t>
    </r>
    <r>
      <rPr>
        <sz val="11"/>
        <color theme="1"/>
        <rFont val="ＭＳ Ｐゴシック"/>
        <family val="3"/>
        <charset val="134"/>
        <scheme val="minor"/>
      </rPr>
      <t>桥缘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</si>
  <si>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果酒（含酒精）;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</si>
  <si>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荷</t>
    </r>
    <r>
      <rPr>
        <sz val="11"/>
        <color theme="1"/>
        <rFont val="ＭＳ Ｐゴシック"/>
        <family val="3"/>
        <charset val="134"/>
        <scheme val="minor"/>
      </rPr>
      <t>烨</t>
    </r>
  </si>
  <si>
    <r>
      <t>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青稞酒;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</t>
    </r>
  </si>
  <si>
    <t>君馥裕</t>
  </si>
  <si>
    <r>
      <t>广州君馥裕酒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</si>
  <si>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烈酒; 苦味酒; 餐后酒（利口酒和烈酒）;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苹果酒</t>
    </r>
  </si>
  <si>
    <t>绿页</t>
  </si>
  <si>
    <t>黄文敏</t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</si>
  <si>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</si>
  <si>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舜曾</t>
  </si>
  <si>
    <t>张腾腾</t>
  </si>
  <si>
    <r>
      <t>威士忌;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食用酒精</t>
    </r>
  </si>
  <si>
    <r>
      <t>菁</t>
    </r>
    <r>
      <rPr>
        <sz val="11"/>
        <color theme="1"/>
        <rFont val="ＭＳ Ｐゴシック"/>
        <family val="3"/>
        <charset val="134"/>
        <scheme val="minor"/>
      </rPr>
      <t>岚</t>
    </r>
  </si>
  <si>
    <r>
      <t>宜城市菁</t>
    </r>
    <r>
      <rPr>
        <sz val="11"/>
        <color theme="1"/>
        <rFont val="ＭＳ Ｐゴシック"/>
        <family val="3"/>
        <charset val="134"/>
        <scheme val="minor"/>
      </rPr>
      <t>岚农业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</si>
  <si>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开胃酒; 果酒（含酒精）</t>
    </r>
  </si>
  <si>
    <t>EQZ-1</t>
  </si>
  <si>
    <r>
      <t>江</t>
    </r>
    <r>
      <rPr>
        <sz val="11"/>
        <color theme="1"/>
        <rFont val="ＭＳ Ｐゴシック"/>
        <family val="3"/>
        <charset val="134"/>
        <scheme val="minor"/>
      </rPr>
      <t>门畅</t>
    </r>
    <r>
      <rPr>
        <sz val="11"/>
        <color theme="1"/>
        <rFont val="ＭＳ Ｐゴシック"/>
        <family val="3"/>
        <charset val="128"/>
        <scheme val="minor"/>
      </rPr>
      <t>播品牌管理有限公司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</si>
  <si>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麦芽威士忌;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露酒; 青梅酒</t>
    </r>
  </si>
  <si>
    <r>
      <t>维</t>
    </r>
    <r>
      <rPr>
        <sz val="11"/>
        <color theme="1"/>
        <rFont val="ＭＳ Ｐゴシック"/>
        <family val="3"/>
        <charset val="128"/>
        <scheme val="minor"/>
      </rPr>
      <t>百欧</t>
    </r>
  </si>
  <si>
    <r>
      <t>麦芽威士忌; 露酒; 黄酒;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青梅酒;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</si>
</sst>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sz val="11"/>
      <color theme="1"/>
      <name val="ＭＳ Ｐゴシック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177" fontId="0" fillId="0" borderId="1" xfId="0" applyNumberFormat="1" applyBorder="1" applyAlignment="1">
      <alignment vertical="top" wrapText="1"/>
    </xf>
    <xf numFmtId="176" fontId="0" fillId="0" borderId="1" xfId="0" applyNumberFormat="1" applyBorder="1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177" fontId="2" fillId="0" borderId="1" xfId="1" applyNumberFormat="1" applyFill="1" applyBorder="1" applyAlignment="1">
      <alignment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demark.i-assist.jp/data/china/image_1834th/53364929.pdf" TargetMode="External"/><Relationship Id="rId3" Type="http://schemas.openxmlformats.org/officeDocument/2006/relationships/hyperlink" Target="http://trademark.i-assist.jp/data/china/image_1834th/49675331.pdf" TargetMode="External"/><Relationship Id="rId7" Type="http://schemas.openxmlformats.org/officeDocument/2006/relationships/hyperlink" Target="http://trademark.i-assist.jp/data/china/image_1834th/53127287.pdf" TargetMode="External"/><Relationship Id="rId2" Type="http://schemas.openxmlformats.org/officeDocument/2006/relationships/hyperlink" Target="http://trademark.i-assist.jp/data/china/image_1834th/48699159.pdf" TargetMode="External"/><Relationship Id="rId1" Type="http://schemas.openxmlformats.org/officeDocument/2006/relationships/hyperlink" Target="http://trademark.i-assist.jp/data/china/image_1834th/40554260.pdf" TargetMode="External"/><Relationship Id="rId6" Type="http://schemas.openxmlformats.org/officeDocument/2006/relationships/hyperlink" Target="http://trademark.i-assist.jp/data/china/image_1834th/52159762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trademark.i-assist.jp/data/china/image_1834th/50996483.pdf" TargetMode="External"/><Relationship Id="rId10" Type="http://schemas.openxmlformats.org/officeDocument/2006/relationships/hyperlink" Target="http://trademark.i-assist.jp/data/china/image_1834th/56200396.pdf" TargetMode="External"/><Relationship Id="rId4" Type="http://schemas.openxmlformats.org/officeDocument/2006/relationships/hyperlink" Target="http://trademark.i-assist.jp/data/china/image_1834th/50027290.pdf" TargetMode="External"/><Relationship Id="rId9" Type="http://schemas.openxmlformats.org/officeDocument/2006/relationships/hyperlink" Target="http://trademark.i-assist.jp/data/china/image_1834th/548473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1"/>
  <sheetViews>
    <sheetView topLeftCell="J1" zoomScaleNormal="100" workbookViewId="0">
      <pane ySplit="1" topLeftCell="A2" activePane="bottomLeft" state="frozen"/>
      <selection pane="bottomLeft" sqref="A1:J1048576"/>
    </sheetView>
  </sheetViews>
  <sheetFormatPr defaultColWidth="9" defaultRowHeight="13.5" x14ac:dyDescent="0.15"/>
  <cols>
    <col min="1" max="1" width="9" style="5"/>
    <col min="2" max="2" width="9" style="10"/>
    <col min="3" max="3" width="9" style="11"/>
    <col min="4" max="4" width="11.625" style="12" customWidth="1"/>
    <col min="5" max="5" width="10.625" style="11" bestFit="1" customWidth="1"/>
    <col min="6" max="6" width="28.375" style="10" customWidth="1"/>
    <col min="7" max="7" width="26.625" style="10" customWidth="1"/>
    <col min="8" max="8" width="31.375" style="10" customWidth="1"/>
    <col min="9" max="9" width="100.625" style="10" customWidth="1"/>
    <col min="10" max="10" width="11.625" style="12" bestFit="1" customWidth="1"/>
    <col min="11" max="16384" width="9" style="5"/>
  </cols>
  <sheetData>
    <row r="1" spans="1:10" x14ac:dyDescent="0.15">
      <c r="A1" s="1" t="s">
        <v>9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4" t="s">
        <v>8</v>
      </c>
    </row>
    <row r="2" spans="1:10" x14ac:dyDescent="0.15">
      <c r="A2" s="6">
        <v>1</v>
      </c>
      <c r="B2" s="7" t="s">
        <v>10</v>
      </c>
      <c r="C2" s="8">
        <v>1834</v>
      </c>
      <c r="D2" s="9">
        <v>45022</v>
      </c>
      <c r="E2" s="13">
        <v>40554260</v>
      </c>
      <c r="F2" s="7" t="s">
        <v>11</v>
      </c>
      <c r="G2" s="7" t="s">
        <v>11</v>
      </c>
      <c r="H2" s="7" t="s">
        <v>12</v>
      </c>
      <c r="I2" s="7" t="s">
        <v>13</v>
      </c>
      <c r="J2" s="9">
        <v>43700</v>
      </c>
    </row>
    <row r="3" spans="1:10" x14ac:dyDescent="0.15">
      <c r="A3" s="6">
        <v>2</v>
      </c>
      <c r="B3" s="7" t="s">
        <v>10</v>
      </c>
      <c r="C3" s="8">
        <v>1834</v>
      </c>
      <c r="D3" s="9">
        <v>45022</v>
      </c>
      <c r="E3" s="13">
        <v>48699159</v>
      </c>
      <c r="F3" s="7" t="s">
        <v>14</v>
      </c>
      <c r="G3" s="7" t="s">
        <v>15</v>
      </c>
      <c r="H3" s="7" t="s">
        <v>16</v>
      </c>
      <c r="I3" s="7" t="s">
        <v>17</v>
      </c>
      <c r="J3" s="9">
        <v>44048</v>
      </c>
    </row>
    <row r="4" spans="1:10" ht="27" x14ac:dyDescent="0.15">
      <c r="A4" s="6">
        <v>3</v>
      </c>
      <c r="B4" s="7" t="s">
        <v>10</v>
      </c>
      <c r="C4" s="8">
        <v>1834</v>
      </c>
      <c r="D4" s="9">
        <v>45022</v>
      </c>
      <c r="E4" s="13">
        <v>49675331</v>
      </c>
      <c r="F4" s="7" t="s">
        <v>18</v>
      </c>
      <c r="G4" s="7" t="s">
        <v>19</v>
      </c>
      <c r="H4" s="7" t="s">
        <v>20</v>
      </c>
      <c r="I4" s="7" t="s">
        <v>45</v>
      </c>
      <c r="J4" s="9">
        <v>44085</v>
      </c>
    </row>
    <row r="5" spans="1:10" x14ac:dyDescent="0.15">
      <c r="A5" s="6">
        <v>4</v>
      </c>
      <c r="B5" s="7" t="s">
        <v>10</v>
      </c>
      <c r="C5" s="8">
        <v>1834</v>
      </c>
      <c r="D5" s="9">
        <v>45022</v>
      </c>
      <c r="E5" s="13">
        <v>50027290</v>
      </c>
      <c r="F5" s="7" t="s">
        <v>21</v>
      </c>
      <c r="G5" s="7" t="s">
        <v>22</v>
      </c>
      <c r="H5" s="7" t="s">
        <v>23</v>
      </c>
      <c r="I5" s="7" t="s">
        <v>24</v>
      </c>
      <c r="J5" s="9">
        <v>44098</v>
      </c>
    </row>
    <row r="6" spans="1:10" x14ac:dyDescent="0.15">
      <c r="A6" s="6">
        <v>5</v>
      </c>
      <c r="B6" s="7" t="s">
        <v>10</v>
      </c>
      <c r="C6" s="8">
        <v>1834</v>
      </c>
      <c r="D6" s="9">
        <v>45022</v>
      </c>
      <c r="E6" s="13">
        <v>50996483</v>
      </c>
      <c r="F6" s="7" t="s">
        <v>25</v>
      </c>
      <c r="G6" s="7" t="s">
        <v>25</v>
      </c>
      <c r="H6" s="7" t="s">
        <v>26</v>
      </c>
      <c r="I6" s="7" t="s">
        <v>27</v>
      </c>
      <c r="J6" s="9">
        <v>44139</v>
      </c>
    </row>
    <row r="7" spans="1:10" x14ac:dyDescent="0.15">
      <c r="A7" s="6">
        <v>6</v>
      </c>
      <c r="B7" s="7" t="s">
        <v>10</v>
      </c>
      <c r="C7" s="8">
        <v>1834</v>
      </c>
      <c r="D7" s="9">
        <v>45022</v>
      </c>
      <c r="E7" s="13">
        <v>52159762</v>
      </c>
      <c r="F7" s="7" t="s">
        <v>28</v>
      </c>
      <c r="G7" s="7" t="s">
        <v>28</v>
      </c>
      <c r="H7" s="7" t="s">
        <v>29</v>
      </c>
      <c r="I7" s="7" t="s">
        <v>30</v>
      </c>
      <c r="J7" s="9">
        <v>44179</v>
      </c>
    </row>
    <row r="8" spans="1:10" x14ac:dyDescent="0.15">
      <c r="A8" s="6">
        <v>7</v>
      </c>
      <c r="B8" s="7" t="s">
        <v>10</v>
      </c>
      <c r="C8" s="8">
        <v>1834</v>
      </c>
      <c r="D8" s="9">
        <v>45022</v>
      </c>
      <c r="E8" s="13">
        <v>53127287</v>
      </c>
      <c r="F8" s="7" t="s">
        <v>31</v>
      </c>
      <c r="G8" s="7" t="s">
        <v>32</v>
      </c>
      <c r="H8" s="7" t="s">
        <v>33</v>
      </c>
      <c r="I8" s="7" t="s">
        <v>34</v>
      </c>
      <c r="J8" s="9">
        <v>44216</v>
      </c>
    </row>
    <row r="9" spans="1:10" x14ac:dyDescent="0.15">
      <c r="A9" s="6">
        <v>8</v>
      </c>
      <c r="B9" s="7" t="s">
        <v>10</v>
      </c>
      <c r="C9" s="8">
        <v>1834</v>
      </c>
      <c r="D9" s="9">
        <v>45022</v>
      </c>
      <c r="E9" s="13">
        <v>53364929</v>
      </c>
      <c r="F9" s="7" t="s">
        <v>35</v>
      </c>
      <c r="G9" s="7" t="s">
        <v>36</v>
      </c>
      <c r="H9" s="7" t="s">
        <v>37</v>
      </c>
      <c r="I9" s="7" t="s">
        <v>38</v>
      </c>
      <c r="J9" s="9">
        <v>44224</v>
      </c>
    </row>
    <row r="10" spans="1:10" x14ac:dyDescent="0.15">
      <c r="A10" s="6">
        <v>9</v>
      </c>
      <c r="B10" s="7" t="s">
        <v>10</v>
      </c>
      <c r="C10" s="8">
        <v>1834</v>
      </c>
      <c r="D10" s="9">
        <v>45022</v>
      </c>
      <c r="E10" s="13">
        <v>54847348</v>
      </c>
      <c r="F10" s="7" t="s">
        <v>39</v>
      </c>
      <c r="G10" s="7" t="s">
        <v>39</v>
      </c>
      <c r="H10" s="7" t="s">
        <v>40</v>
      </c>
      <c r="I10" s="7" t="s">
        <v>41</v>
      </c>
      <c r="J10" s="9">
        <v>44286</v>
      </c>
    </row>
    <row r="11" spans="1:10" x14ac:dyDescent="0.15">
      <c r="A11" s="6">
        <v>10</v>
      </c>
      <c r="B11" s="7" t="s">
        <v>10</v>
      </c>
      <c r="C11" s="8">
        <v>1834</v>
      </c>
      <c r="D11" s="9">
        <v>45022</v>
      </c>
      <c r="E11" s="13">
        <v>56200396</v>
      </c>
      <c r="F11" s="7" t="s">
        <v>42</v>
      </c>
      <c r="G11" s="7" t="s">
        <v>42</v>
      </c>
      <c r="H11" s="7" t="s">
        <v>43</v>
      </c>
      <c r="I11" s="7" t="s">
        <v>44</v>
      </c>
      <c r="J11" s="9">
        <v>44335</v>
      </c>
    </row>
  </sheetData>
  <phoneticPr fontId="1"/>
  <hyperlinks>
    <hyperlink ref="E2" r:id="rId1" display="40554260" xr:uid="{00000000-0004-0000-0000-000000000000}"/>
    <hyperlink ref="E3" r:id="rId2" display="48699159" xr:uid="{00000000-0004-0000-0000-000001000000}"/>
    <hyperlink ref="E4" r:id="rId3" display="49675331" xr:uid="{00000000-0004-0000-0000-000002000000}"/>
    <hyperlink ref="E5" r:id="rId4" display="50027290" xr:uid="{00000000-0004-0000-0000-000003000000}"/>
    <hyperlink ref="E6" r:id="rId5" display="50996483" xr:uid="{00000000-0004-0000-0000-000004000000}"/>
    <hyperlink ref="E7" r:id="rId6" display="52159762" xr:uid="{00000000-0004-0000-0000-000005000000}"/>
    <hyperlink ref="E8" r:id="rId7" display="53127287" xr:uid="{00000000-0004-0000-0000-000006000000}"/>
    <hyperlink ref="E9" r:id="rId8" display="53364929" xr:uid="{00000000-0004-0000-0000-000007000000}"/>
    <hyperlink ref="E10" r:id="rId9" display="54847348" xr:uid="{00000000-0004-0000-0000-000008000000}"/>
    <hyperlink ref="E11" r:id="rId10" display="56200396" xr:uid="{00000000-0004-0000-0000-000009000000}"/>
  </hyperlinks>
  <pageMargins left="0.7" right="0.7" top="0.75" bottom="0.75" header="0.3" footer="0.3"/>
  <pageSetup paperSize="9" orientation="portrait" horizontalDpi="1200" verticalDpi="120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C4220-E2BA-4B6E-8AAA-D7C299DF9AB0}">
  <dimension ref="A1:I2360"/>
  <sheetViews>
    <sheetView tabSelected="1" workbookViewId="0"/>
  </sheetViews>
  <sheetFormatPr defaultRowHeight="13.5" x14ac:dyDescent="0.15"/>
  <cols>
    <col min="1" max="1" width="9" style="5"/>
    <col min="2" max="2" width="9" style="10"/>
    <col min="3" max="3" width="9" style="11"/>
    <col min="4" max="4" width="11.625" style="12" customWidth="1"/>
    <col min="5" max="5" width="10.625" style="11" bestFit="1" customWidth="1"/>
    <col min="6" max="6" width="28.375" style="10" customWidth="1"/>
    <col min="7" max="7" width="31.375" style="10" customWidth="1"/>
    <col min="8" max="8" width="100.625" style="10" customWidth="1"/>
    <col min="9" max="9" width="11.625" style="12" bestFit="1" customWidth="1"/>
  </cols>
  <sheetData>
    <row r="1" spans="1:9" x14ac:dyDescent="0.15">
      <c r="A1" s="1" t="s">
        <v>9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6</v>
      </c>
      <c r="H1" s="2" t="s">
        <v>7</v>
      </c>
      <c r="I1" s="4" t="s">
        <v>8</v>
      </c>
    </row>
    <row r="2" spans="1:9" x14ac:dyDescent="0.15">
      <c r="A2" s="6">
        <v>1</v>
      </c>
      <c r="B2" s="7" t="s">
        <v>10</v>
      </c>
      <c r="C2" s="8">
        <v>1888</v>
      </c>
      <c r="D2" s="9">
        <v>45432</v>
      </c>
      <c r="E2" s="13" t="str">
        <f>+HYPERLINK("http://trademark.i-assist.jp/data/china/image_1888th/37381661.pdf","37381661")</f>
        <v>37381661</v>
      </c>
      <c r="F2" s="7" t="s">
        <v>46</v>
      </c>
      <c r="G2" s="7" t="s">
        <v>47</v>
      </c>
      <c r="H2" s="7" t="s">
        <v>48</v>
      </c>
      <c r="I2" s="9">
        <v>43564</v>
      </c>
    </row>
    <row r="3" spans="1:9" x14ac:dyDescent="0.15">
      <c r="A3" s="6">
        <v>2</v>
      </c>
      <c r="B3" s="7" t="s">
        <v>10</v>
      </c>
      <c r="C3" s="8">
        <v>1888</v>
      </c>
      <c r="D3" s="9">
        <v>45432</v>
      </c>
      <c r="E3" s="13" t="str">
        <f>+HYPERLINK("http://trademark.i-assist.jp/data/china/image_1888th/60579399.pdf","60579399")</f>
        <v>60579399</v>
      </c>
      <c r="F3" s="7" t="s">
        <v>49</v>
      </c>
      <c r="G3" s="7" t="s">
        <v>50</v>
      </c>
      <c r="H3" s="7" t="s">
        <v>51</v>
      </c>
      <c r="I3" s="9">
        <v>44515</v>
      </c>
    </row>
    <row r="4" spans="1:9" x14ac:dyDescent="0.15">
      <c r="A4" s="6">
        <v>3</v>
      </c>
      <c r="B4" s="7" t="s">
        <v>10</v>
      </c>
      <c r="C4" s="8">
        <v>1888</v>
      </c>
      <c r="D4" s="9">
        <v>45432</v>
      </c>
      <c r="E4" s="13" t="str">
        <f>+HYPERLINK("http://trademark.i-assist.jp/data/china/image_1888th/61911177.pdf","61911177")</f>
        <v>61911177</v>
      </c>
      <c r="F4" s="7" t="s">
        <v>52</v>
      </c>
      <c r="G4" s="7" t="s">
        <v>53</v>
      </c>
      <c r="H4" s="7" t="s">
        <v>54</v>
      </c>
      <c r="I4" s="9">
        <v>44565</v>
      </c>
    </row>
    <row r="5" spans="1:9" x14ac:dyDescent="0.15">
      <c r="A5" s="6">
        <v>4</v>
      </c>
      <c r="B5" s="7" t="s">
        <v>10</v>
      </c>
      <c r="C5" s="8">
        <v>1888</v>
      </c>
      <c r="D5" s="9">
        <v>45432</v>
      </c>
      <c r="E5" s="13" t="str">
        <f>+HYPERLINK("http://trademark.i-assist.jp/data/china/image_1888th/63618646.pdf","63618646")</f>
        <v>63618646</v>
      </c>
      <c r="F5" s="7" t="s">
        <v>55</v>
      </c>
      <c r="G5" s="7" t="s">
        <v>56</v>
      </c>
      <c r="H5" s="7" t="s">
        <v>57</v>
      </c>
      <c r="I5" s="9">
        <v>44649</v>
      </c>
    </row>
    <row r="6" spans="1:9" x14ac:dyDescent="0.15">
      <c r="A6" s="6">
        <v>5</v>
      </c>
      <c r="B6" s="7" t="s">
        <v>10</v>
      </c>
      <c r="C6" s="8">
        <v>1888</v>
      </c>
      <c r="D6" s="9">
        <v>45432</v>
      </c>
      <c r="E6" s="13" t="str">
        <f>+HYPERLINK("http://trademark.i-assist.jp/data/china/image_1888th/64833574.pdf","64833574")</f>
        <v>64833574</v>
      </c>
      <c r="F6" s="7" t="s">
        <v>58</v>
      </c>
      <c r="G6" s="7" t="s">
        <v>59</v>
      </c>
      <c r="H6" s="7" t="s">
        <v>60</v>
      </c>
      <c r="I6" s="9">
        <v>44705</v>
      </c>
    </row>
    <row r="7" spans="1:9" x14ac:dyDescent="0.15">
      <c r="A7" s="6">
        <v>6</v>
      </c>
      <c r="B7" s="7" t="s">
        <v>10</v>
      </c>
      <c r="C7" s="8">
        <v>1888</v>
      </c>
      <c r="D7" s="9">
        <v>45432</v>
      </c>
      <c r="E7" s="13" t="str">
        <f>+HYPERLINK("http://trademark.i-assist.jp/data/china/image_1888th/65118079.pdf","65118079")</f>
        <v>65118079</v>
      </c>
      <c r="F7" s="7" t="s">
        <v>61</v>
      </c>
      <c r="G7" s="7" t="s">
        <v>62</v>
      </c>
      <c r="H7" s="7" t="s">
        <v>63</v>
      </c>
      <c r="I7" s="9">
        <v>44719</v>
      </c>
    </row>
    <row r="8" spans="1:9" ht="27" x14ac:dyDescent="0.15">
      <c r="A8" s="6">
        <v>7</v>
      </c>
      <c r="B8" s="7" t="s">
        <v>10</v>
      </c>
      <c r="C8" s="8">
        <v>1888</v>
      </c>
      <c r="D8" s="9">
        <v>45432</v>
      </c>
      <c r="E8" s="13" t="str">
        <f>+HYPERLINK("http://trademark.i-assist.jp/data/china/image_1888th/65192269.pdf","65192269")</f>
        <v>65192269</v>
      </c>
      <c r="F8" s="7" t="s">
        <v>64</v>
      </c>
      <c r="G8" s="7" t="s">
        <v>65</v>
      </c>
      <c r="H8" s="7" t="s">
        <v>66</v>
      </c>
      <c r="I8" s="9">
        <v>44721</v>
      </c>
    </row>
    <row r="9" spans="1:9" x14ac:dyDescent="0.15">
      <c r="A9" s="6">
        <v>8</v>
      </c>
      <c r="B9" s="7" t="s">
        <v>10</v>
      </c>
      <c r="C9" s="8">
        <v>1888</v>
      </c>
      <c r="D9" s="9">
        <v>45432</v>
      </c>
      <c r="E9" s="13" t="str">
        <f>+HYPERLINK("http://trademark.i-assist.jp/data/china/image_1888th/65284672.pdf","65284672")</f>
        <v>65284672</v>
      </c>
      <c r="F9" s="7" t="s">
        <v>67</v>
      </c>
      <c r="G9" s="7" t="s">
        <v>68</v>
      </c>
      <c r="H9" s="7" t="s">
        <v>69</v>
      </c>
      <c r="I9" s="9">
        <v>44726</v>
      </c>
    </row>
    <row r="10" spans="1:9" ht="27" x14ac:dyDescent="0.15">
      <c r="A10" s="6">
        <v>9</v>
      </c>
      <c r="B10" s="7" t="s">
        <v>10</v>
      </c>
      <c r="C10" s="8">
        <v>1888</v>
      </c>
      <c r="D10" s="9">
        <v>45432</v>
      </c>
      <c r="E10" s="13" t="str">
        <f>+HYPERLINK("http://trademark.i-assist.jp/data/china/image_1888th/65801080.pdf","65801080")</f>
        <v>65801080</v>
      </c>
      <c r="F10" s="7" t="s">
        <v>70</v>
      </c>
      <c r="G10" s="7" t="s">
        <v>71</v>
      </c>
      <c r="H10" s="7" t="s">
        <v>72</v>
      </c>
      <c r="I10" s="9">
        <v>44749</v>
      </c>
    </row>
    <row r="11" spans="1:9" ht="27" x14ac:dyDescent="0.15">
      <c r="A11" s="6">
        <v>10</v>
      </c>
      <c r="B11" s="7" t="s">
        <v>10</v>
      </c>
      <c r="C11" s="8">
        <v>1888</v>
      </c>
      <c r="D11" s="9">
        <v>45432</v>
      </c>
      <c r="E11" s="13" t="str">
        <f>+HYPERLINK("http://trademark.i-assist.jp/data/china/image_1888th/66290703.pdf","66290703")</f>
        <v>66290703</v>
      </c>
      <c r="F11" s="7" t="s">
        <v>73</v>
      </c>
      <c r="G11" s="7" t="s">
        <v>74</v>
      </c>
      <c r="H11" s="7" t="s">
        <v>75</v>
      </c>
      <c r="I11" s="9">
        <v>44771</v>
      </c>
    </row>
    <row r="12" spans="1:9" ht="27" x14ac:dyDescent="0.15">
      <c r="A12" s="6">
        <v>11</v>
      </c>
      <c r="B12" s="7" t="s">
        <v>10</v>
      </c>
      <c r="C12" s="8">
        <v>1888</v>
      </c>
      <c r="D12" s="9">
        <v>45432</v>
      </c>
      <c r="E12" s="13" t="str">
        <f>+HYPERLINK("http://trademark.i-assist.jp/data/china/image_1888th/66491187.pdf","66491187")</f>
        <v>66491187</v>
      </c>
      <c r="F12" s="7" t="s">
        <v>76</v>
      </c>
      <c r="G12" s="7" t="s">
        <v>77</v>
      </c>
      <c r="H12" s="7" t="s">
        <v>66</v>
      </c>
      <c r="I12" s="9">
        <v>44782</v>
      </c>
    </row>
    <row r="13" spans="1:9" x14ac:dyDescent="0.15">
      <c r="A13" s="6">
        <v>12</v>
      </c>
      <c r="B13" s="7" t="s">
        <v>10</v>
      </c>
      <c r="C13" s="8">
        <v>1888</v>
      </c>
      <c r="D13" s="9">
        <v>45432</v>
      </c>
      <c r="E13" s="13" t="str">
        <f>+HYPERLINK("http://trademark.i-assist.jp/data/china/image_1888th/66792492.pdf","66792492")</f>
        <v>66792492</v>
      </c>
      <c r="F13" s="7" t="s">
        <v>78</v>
      </c>
      <c r="G13" s="7" t="s">
        <v>79</v>
      </c>
      <c r="H13" s="7" t="s">
        <v>80</v>
      </c>
      <c r="I13" s="9">
        <v>44797</v>
      </c>
    </row>
    <row r="14" spans="1:9" x14ac:dyDescent="0.15">
      <c r="A14" s="6">
        <v>13</v>
      </c>
      <c r="B14" s="7" t="s">
        <v>10</v>
      </c>
      <c r="C14" s="8">
        <v>1888</v>
      </c>
      <c r="D14" s="9">
        <v>45432</v>
      </c>
      <c r="E14" s="13" t="str">
        <f>+HYPERLINK("http://trademark.i-assist.jp/data/china/image_1888th/67048284.pdf","67048284")</f>
        <v>67048284</v>
      </c>
      <c r="F14" s="7" t="s">
        <v>81</v>
      </c>
      <c r="G14" s="7" t="s">
        <v>82</v>
      </c>
      <c r="H14" s="7" t="s">
        <v>83</v>
      </c>
      <c r="I14" s="9">
        <v>44810</v>
      </c>
    </row>
    <row r="15" spans="1:9" ht="27" x14ac:dyDescent="0.15">
      <c r="A15" s="6">
        <v>14</v>
      </c>
      <c r="B15" s="7" t="s">
        <v>10</v>
      </c>
      <c r="C15" s="8">
        <v>1888</v>
      </c>
      <c r="D15" s="9">
        <v>45432</v>
      </c>
      <c r="E15" s="13" t="str">
        <f>+HYPERLINK("http://trademark.i-assist.jp/data/china/image_1888th/67393157.pdf","67393157")</f>
        <v>67393157</v>
      </c>
      <c r="F15" s="7" t="s">
        <v>84</v>
      </c>
      <c r="G15" s="7" t="s">
        <v>85</v>
      </c>
      <c r="H15" s="7" t="s">
        <v>86</v>
      </c>
      <c r="I15" s="9">
        <v>44827</v>
      </c>
    </row>
    <row r="16" spans="1:9" x14ac:dyDescent="0.15">
      <c r="A16" s="6">
        <v>15</v>
      </c>
      <c r="B16" s="7" t="s">
        <v>10</v>
      </c>
      <c r="C16" s="8">
        <v>1888</v>
      </c>
      <c r="D16" s="9">
        <v>45432</v>
      </c>
      <c r="E16" s="13" t="str">
        <f>+HYPERLINK("http://trademark.i-assist.jp/data/china/image_1888th/67538586.pdf","67538586")</f>
        <v>67538586</v>
      </c>
      <c r="F16" s="7" t="s">
        <v>87</v>
      </c>
      <c r="G16" s="7" t="s">
        <v>88</v>
      </c>
      <c r="H16" s="7" t="s">
        <v>89</v>
      </c>
      <c r="I16" s="9">
        <v>44834</v>
      </c>
    </row>
    <row r="17" spans="1:9" x14ac:dyDescent="0.15">
      <c r="A17" s="6">
        <v>16</v>
      </c>
      <c r="B17" s="7" t="s">
        <v>10</v>
      </c>
      <c r="C17" s="8">
        <v>1888</v>
      </c>
      <c r="D17" s="9">
        <v>45432</v>
      </c>
      <c r="E17" s="13" t="str">
        <f>+HYPERLINK("http://trademark.i-assist.jp/data/china/image_1888th/67641026.pdf","67641026")</f>
        <v>67641026</v>
      </c>
      <c r="F17" s="7" t="s">
        <v>90</v>
      </c>
      <c r="G17" s="7" t="s">
        <v>91</v>
      </c>
      <c r="H17" s="7" t="s">
        <v>92</v>
      </c>
      <c r="I17" s="9">
        <v>44844</v>
      </c>
    </row>
    <row r="18" spans="1:9" x14ac:dyDescent="0.15">
      <c r="A18" s="6">
        <v>17</v>
      </c>
      <c r="B18" s="7" t="s">
        <v>10</v>
      </c>
      <c r="C18" s="8">
        <v>1888</v>
      </c>
      <c r="D18" s="9">
        <v>45432</v>
      </c>
      <c r="E18" s="13" t="str">
        <f>+HYPERLINK("http://trademark.i-assist.jp/data/china/image_1888th/68177065.pdf","68177065")</f>
        <v>68177065</v>
      </c>
      <c r="F18" s="7" t="s">
        <v>93</v>
      </c>
      <c r="G18" s="7" t="s">
        <v>94</v>
      </c>
      <c r="H18" s="7" t="s">
        <v>95</v>
      </c>
      <c r="I18" s="9">
        <v>44872</v>
      </c>
    </row>
    <row r="19" spans="1:9" ht="27" x14ac:dyDescent="0.15">
      <c r="A19" s="6">
        <v>18</v>
      </c>
      <c r="B19" s="7" t="s">
        <v>10</v>
      </c>
      <c r="C19" s="8">
        <v>1888</v>
      </c>
      <c r="D19" s="9">
        <v>45432</v>
      </c>
      <c r="E19" s="13" t="str">
        <f>+HYPERLINK("http://trademark.i-assist.jp/data/china/image_1888th/68255925.pdf","68255925")</f>
        <v>68255925</v>
      </c>
      <c r="F19" s="7" t="s">
        <v>96</v>
      </c>
      <c r="G19" s="7" t="s">
        <v>97</v>
      </c>
      <c r="H19" s="7" t="s">
        <v>98</v>
      </c>
      <c r="I19" s="9">
        <v>44875</v>
      </c>
    </row>
    <row r="20" spans="1:9" ht="27" x14ac:dyDescent="0.15">
      <c r="A20" s="6">
        <v>19</v>
      </c>
      <c r="B20" s="7" t="s">
        <v>10</v>
      </c>
      <c r="C20" s="8">
        <v>1888</v>
      </c>
      <c r="D20" s="9">
        <v>45432</v>
      </c>
      <c r="E20" s="13" t="str">
        <f>+HYPERLINK("http://trademark.i-assist.jp/data/china/image_1888th/68343735.pdf","68343735")</f>
        <v>68343735</v>
      </c>
      <c r="F20" s="7" t="s">
        <v>76</v>
      </c>
      <c r="G20" s="7" t="s">
        <v>99</v>
      </c>
      <c r="H20" s="7" t="s">
        <v>100</v>
      </c>
      <c r="I20" s="9">
        <v>44880</v>
      </c>
    </row>
    <row r="21" spans="1:9" ht="27" x14ac:dyDescent="0.15">
      <c r="A21" s="6">
        <v>20</v>
      </c>
      <c r="B21" s="7" t="s">
        <v>10</v>
      </c>
      <c r="C21" s="8">
        <v>1888</v>
      </c>
      <c r="D21" s="9">
        <v>45432</v>
      </c>
      <c r="E21" s="13" t="str">
        <f>+HYPERLINK("http://trademark.i-assist.jp/data/china/image_1888th/68351824.pdf","68351824")</f>
        <v>68351824</v>
      </c>
      <c r="F21" s="7" t="s">
        <v>101</v>
      </c>
      <c r="G21" s="7" t="s">
        <v>102</v>
      </c>
      <c r="H21" s="7" t="s">
        <v>103</v>
      </c>
      <c r="I21" s="9">
        <v>44880</v>
      </c>
    </row>
    <row r="22" spans="1:9" ht="27" x14ac:dyDescent="0.15">
      <c r="A22" s="6">
        <v>21</v>
      </c>
      <c r="B22" s="7" t="s">
        <v>10</v>
      </c>
      <c r="C22" s="8">
        <v>1888</v>
      </c>
      <c r="D22" s="9">
        <v>45432</v>
      </c>
      <c r="E22" s="13" t="str">
        <f>+HYPERLINK("http://trademark.i-assist.jp/data/china/image_1888th/68355310.pdf","68355310")</f>
        <v>68355310</v>
      </c>
      <c r="F22" s="7" t="s">
        <v>104</v>
      </c>
      <c r="G22" s="7" t="s">
        <v>105</v>
      </c>
      <c r="H22" s="7" t="s">
        <v>106</v>
      </c>
      <c r="I22" s="9">
        <v>44880</v>
      </c>
    </row>
    <row r="23" spans="1:9" x14ac:dyDescent="0.15">
      <c r="A23" s="6">
        <v>22</v>
      </c>
      <c r="B23" s="7" t="s">
        <v>10</v>
      </c>
      <c r="C23" s="8">
        <v>1888</v>
      </c>
      <c r="D23" s="9">
        <v>45432</v>
      </c>
      <c r="E23" s="13" t="str">
        <f>+HYPERLINK("http://trademark.i-assist.jp/data/china/image_1888th/68365383.pdf","68365383")</f>
        <v>68365383</v>
      </c>
      <c r="F23" s="7" t="s">
        <v>107</v>
      </c>
      <c r="G23" s="7" t="s">
        <v>108</v>
      </c>
      <c r="H23" s="7" t="s">
        <v>109</v>
      </c>
      <c r="I23" s="9">
        <v>44881</v>
      </c>
    </row>
    <row r="24" spans="1:9" ht="27" x14ac:dyDescent="0.15">
      <c r="A24" s="6">
        <v>23</v>
      </c>
      <c r="B24" s="7" t="s">
        <v>10</v>
      </c>
      <c r="C24" s="8">
        <v>1888</v>
      </c>
      <c r="D24" s="9">
        <v>45432</v>
      </c>
      <c r="E24" s="13" t="str">
        <f>+HYPERLINK("http://trademark.i-assist.jp/data/china/image_1888th/68371589.pdf","68371589")</f>
        <v>68371589</v>
      </c>
      <c r="F24" s="7" t="s">
        <v>110</v>
      </c>
      <c r="G24" s="7" t="s">
        <v>111</v>
      </c>
      <c r="H24" s="7" t="s">
        <v>112</v>
      </c>
      <c r="I24" s="9">
        <v>44881</v>
      </c>
    </row>
    <row r="25" spans="1:9" ht="27" x14ac:dyDescent="0.15">
      <c r="A25" s="6">
        <v>24</v>
      </c>
      <c r="B25" s="7" t="s">
        <v>10</v>
      </c>
      <c r="C25" s="8">
        <v>1888</v>
      </c>
      <c r="D25" s="9">
        <v>45432</v>
      </c>
      <c r="E25" s="13" t="str">
        <f>+HYPERLINK("http://trademark.i-assist.jp/data/china/image_1888th/68598969.pdf","68598969")</f>
        <v>68598969</v>
      </c>
      <c r="F25" s="7" t="s">
        <v>113</v>
      </c>
      <c r="G25" s="7" t="s">
        <v>114</v>
      </c>
      <c r="H25" s="7" t="s">
        <v>66</v>
      </c>
      <c r="I25" s="9">
        <v>44893</v>
      </c>
    </row>
    <row r="26" spans="1:9" x14ac:dyDescent="0.15">
      <c r="A26" s="6">
        <v>25</v>
      </c>
      <c r="B26" s="7" t="s">
        <v>10</v>
      </c>
      <c r="C26" s="8">
        <v>1888</v>
      </c>
      <c r="D26" s="9">
        <v>45432</v>
      </c>
      <c r="E26" s="13" t="str">
        <f>+HYPERLINK("http://trademark.i-assist.jp/data/china/image_1888th/68625939.pdf","68625939")</f>
        <v>68625939</v>
      </c>
      <c r="F26" s="7" t="s">
        <v>115</v>
      </c>
      <c r="G26" s="7" t="s">
        <v>116</v>
      </c>
      <c r="H26" s="7" t="s">
        <v>117</v>
      </c>
      <c r="I26" s="9">
        <v>44895</v>
      </c>
    </row>
    <row r="27" spans="1:9" x14ac:dyDescent="0.15">
      <c r="A27" s="6">
        <v>26</v>
      </c>
      <c r="B27" s="7" t="s">
        <v>10</v>
      </c>
      <c r="C27" s="8">
        <v>1888</v>
      </c>
      <c r="D27" s="9">
        <v>45432</v>
      </c>
      <c r="E27" s="13" t="str">
        <f>+HYPERLINK("http://trademark.i-assist.jp/data/china/image_1888th/68658884.pdf","68658884")</f>
        <v>68658884</v>
      </c>
      <c r="F27" s="7" t="s">
        <v>118</v>
      </c>
      <c r="G27" s="7" t="s">
        <v>119</v>
      </c>
      <c r="H27" s="7" t="s">
        <v>120</v>
      </c>
      <c r="I27" s="9">
        <v>44896</v>
      </c>
    </row>
    <row r="28" spans="1:9" x14ac:dyDescent="0.15">
      <c r="A28" s="6">
        <v>27</v>
      </c>
      <c r="B28" s="7" t="s">
        <v>10</v>
      </c>
      <c r="C28" s="8">
        <v>1888</v>
      </c>
      <c r="D28" s="9">
        <v>45432</v>
      </c>
      <c r="E28" s="13" t="str">
        <f>+HYPERLINK("http://trademark.i-assist.jp/data/china/image_1888th/68684400.pdf","68684400")</f>
        <v>68684400</v>
      </c>
      <c r="F28" s="7" t="s">
        <v>121</v>
      </c>
      <c r="G28" s="7" t="s">
        <v>122</v>
      </c>
      <c r="H28" s="7" t="s">
        <v>123</v>
      </c>
      <c r="I28" s="9">
        <v>44897</v>
      </c>
    </row>
    <row r="29" spans="1:9" ht="27" x14ac:dyDescent="0.15">
      <c r="A29" s="6">
        <v>28</v>
      </c>
      <c r="B29" s="7" t="s">
        <v>10</v>
      </c>
      <c r="C29" s="8">
        <v>1888</v>
      </c>
      <c r="D29" s="9">
        <v>45432</v>
      </c>
      <c r="E29" s="13" t="str">
        <f>+HYPERLINK("http://trademark.i-assist.jp/data/china/image_1888th/68745668.pdf","68745668")</f>
        <v>68745668</v>
      </c>
      <c r="F29" s="7" t="s">
        <v>124</v>
      </c>
      <c r="G29" s="7" t="s">
        <v>125</v>
      </c>
      <c r="H29" s="7" t="s">
        <v>66</v>
      </c>
      <c r="I29" s="9">
        <v>44902</v>
      </c>
    </row>
    <row r="30" spans="1:9" ht="27" x14ac:dyDescent="0.15">
      <c r="A30" s="6">
        <v>29</v>
      </c>
      <c r="B30" s="7" t="s">
        <v>10</v>
      </c>
      <c r="C30" s="8">
        <v>1888</v>
      </c>
      <c r="D30" s="9">
        <v>45432</v>
      </c>
      <c r="E30" s="13" t="str">
        <f>+HYPERLINK("http://trademark.i-assist.jp/data/china/image_1888th/69004999.pdf","69004999")</f>
        <v>69004999</v>
      </c>
      <c r="F30" s="7" t="s">
        <v>126</v>
      </c>
      <c r="G30" s="7" t="s">
        <v>127</v>
      </c>
      <c r="H30" s="7" t="s">
        <v>128</v>
      </c>
      <c r="I30" s="9">
        <v>44922</v>
      </c>
    </row>
    <row r="31" spans="1:9" x14ac:dyDescent="0.15">
      <c r="A31" s="6">
        <v>30</v>
      </c>
      <c r="B31" s="7" t="s">
        <v>10</v>
      </c>
      <c r="C31" s="8">
        <v>1888</v>
      </c>
      <c r="D31" s="9">
        <v>45432</v>
      </c>
      <c r="E31" s="13" t="str">
        <f>+HYPERLINK("http://trademark.i-assist.jp/data/china/image_1888th/69216078.pdf","69216078")</f>
        <v>69216078</v>
      </c>
      <c r="F31" s="7" t="s">
        <v>129</v>
      </c>
      <c r="G31" s="7" t="s">
        <v>130</v>
      </c>
      <c r="H31" s="7" t="s">
        <v>131</v>
      </c>
      <c r="I31" s="9">
        <v>44939</v>
      </c>
    </row>
    <row r="32" spans="1:9" ht="27" x14ac:dyDescent="0.15">
      <c r="A32" s="6">
        <v>31</v>
      </c>
      <c r="B32" s="7" t="s">
        <v>10</v>
      </c>
      <c r="C32" s="8">
        <v>1888</v>
      </c>
      <c r="D32" s="9">
        <v>45432</v>
      </c>
      <c r="E32" s="13" t="str">
        <f>+HYPERLINK("http://trademark.i-assist.jp/data/china/image_1888th/69355444.pdf","69355444")</f>
        <v>69355444</v>
      </c>
      <c r="F32" s="7" t="s">
        <v>132</v>
      </c>
      <c r="G32" s="7" t="s">
        <v>133</v>
      </c>
      <c r="H32" s="7" t="s">
        <v>134</v>
      </c>
      <c r="I32" s="9">
        <v>44959</v>
      </c>
    </row>
    <row r="33" spans="1:9" x14ac:dyDescent="0.15">
      <c r="A33" s="6">
        <v>32</v>
      </c>
      <c r="B33" s="7" t="s">
        <v>10</v>
      </c>
      <c r="C33" s="8">
        <v>1888</v>
      </c>
      <c r="D33" s="9">
        <v>45432</v>
      </c>
      <c r="E33" s="13" t="str">
        <f>+HYPERLINK("http://trademark.i-assist.jp/data/china/image_1888th/69460987.pdf","69460987")</f>
        <v>69460987</v>
      </c>
      <c r="F33" s="7" t="s">
        <v>135</v>
      </c>
      <c r="G33" s="7" t="s">
        <v>136</v>
      </c>
      <c r="H33" s="7" t="s">
        <v>137</v>
      </c>
      <c r="I33" s="9">
        <v>44965</v>
      </c>
    </row>
    <row r="34" spans="1:9" x14ac:dyDescent="0.15">
      <c r="A34" s="6">
        <v>33</v>
      </c>
      <c r="B34" s="7" t="s">
        <v>10</v>
      </c>
      <c r="C34" s="8">
        <v>1888</v>
      </c>
      <c r="D34" s="9">
        <v>45432</v>
      </c>
      <c r="E34" s="13" t="str">
        <f>+HYPERLINK("http://trademark.i-assist.jp/data/china/image_1888th/69478743.pdf","69478743")</f>
        <v>69478743</v>
      </c>
      <c r="F34" s="7" t="s">
        <v>138</v>
      </c>
      <c r="G34" s="7" t="s">
        <v>139</v>
      </c>
      <c r="H34" s="7" t="s">
        <v>109</v>
      </c>
      <c r="I34" s="9">
        <v>44966</v>
      </c>
    </row>
    <row r="35" spans="1:9" x14ac:dyDescent="0.15">
      <c r="A35" s="6">
        <v>34</v>
      </c>
      <c r="B35" s="7" t="s">
        <v>10</v>
      </c>
      <c r="C35" s="8">
        <v>1888</v>
      </c>
      <c r="D35" s="9">
        <v>45432</v>
      </c>
      <c r="E35" s="13" t="str">
        <f>+HYPERLINK("http://trademark.i-assist.jp/data/china/image_1888th/69526696.pdf","69526696")</f>
        <v>69526696</v>
      </c>
      <c r="F35" s="7" t="s">
        <v>140</v>
      </c>
      <c r="G35" s="7" t="s">
        <v>141</v>
      </c>
      <c r="H35" s="7" t="s">
        <v>142</v>
      </c>
      <c r="I35" s="9">
        <v>44970</v>
      </c>
    </row>
    <row r="36" spans="1:9" x14ac:dyDescent="0.15">
      <c r="A36" s="6">
        <v>35</v>
      </c>
      <c r="B36" s="7" t="s">
        <v>10</v>
      </c>
      <c r="C36" s="8">
        <v>1888</v>
      </c>
      <c r="D36" s="9">
        <v>45432</v>
      </c>
      <c r="E36" s="13" t="str">
        <f>+HYPERLINK("http://trademark.i-assist.jp/data/china/image_1888th/69609674.pdf","69609674")</f>
        <v>69609674</v>
      </c>
      <c r="F36" s="7" t="s">
        <v>143</v>
      </c>
      <c r="G36" s="7" t="s">
        <v>144</v>
      </c>
      <c r="H36" s="7" t="s">
        <v>145</v>
      </c>
      <c r="I36" s="9">
        <v>44973</v>
      </c>
    </row>
    <row r="37" spans="1:9" x14ac:dyDescent="0.15">
      <c r="A37" s="6">
        <v>36</v>
      </c>
      <c r="B37" s="7" t="s">
        <v>10</v>
      </c>
      <c r="C37" s="8">
        <v>1888</v>
      </c>
      <c r="D37" s="9">
        <v>45432</v>
      </c>
      <c r="E37" s="13" t="str">
        <f>+HYPERLINK("http://trademark.i-assist.jp/data/china/image_1888th/69612401.pdf","69612401")</f>
        <v>69612401</v>
      </c>
      <c r="F37" s="7" t="s">
        <v>146</v>
      </c>
      <c r="G37" s="7" t="s">
        <v>147</v>
      </c>
      <c r="H37" s="7" t="s">
        <v>148</v>
      </c>
      <c r="I37" s="9">
        <v>44973</v>
      </c>
    </row>
    <row r="38" spans="1:9" x14ac:dyDescent="0.15">
      <c r="A38" s="6">
        <v>37</v>
      </c>
      <c r="B38" s="7" t="s">
        <v>10</v>
      </c>
      <c r="C38" s="8">
        <v>1888</v>
      </c>
      <c r="D38" s="9">
        <v>45432</v>
      </c>
      <c r="E38" s="13" t="str">
        <f>+HYPERLINK("http://trademark.i-assist.jp/data/china/image_1888th/69704717.pdf","69704717")</f>
        <v>69704717</v>
      </c>
      <c r="F38" s="7" t="s">
        <v>149</v>
      </c>
      <c r="G38" s="7" t="s">
        <v>150</v>
      </c>
      <c r="H38" s="7" t="s">
        <v>151</v>
      </c>
      <c r="I38" s="9">
        <v>44978</v>
      </c>
    </row>
    <row r="39" spans="1:9" ht="27" x14ac:dyDescent="0.15">
      <c r="A39" s="6">
        <v>38</v>
      </c>
      <c r="B39" s="7" t="s">
        <v>10</v>
      </c>
      <c r="C39" s="8">
        <v>1888</v>
      </c>
      <c r="D39" s="9">
        <v>45432</v>
      </c>
      <c r="E39" s="13" t="str">
        <f>+HYPERLINK("http://trademark.i-assist.jp/data/china/image_1888th/69707532.pdf","69707532")</f>
        <v>69707532</v>
      </c>
      <c r="F39" s="7" t="s">
        <v>110</v>
      </c>
      <c r="G39" s="7" t="s">
        <v>111</v>
      </c>
      <c r="H39" s="7" t="s">
        <v>152</v>
      </c>
      <c r="I39" s="9">
        <v>44978</v>
      </c>
    </row>
    <row r="40" spans="1:9" ht="27" x14ac:dyDescent="0.15">
      <c r="A40" s="6">
        <v>39</v>
      </c>
      <c r="B40" s="7" t="s">
        <v>10</v>
      </c>
      <c r="C40" s="8">
        <v>1888</v>
      </c>
      <c r="D40" s="9">
        <v>45432</v>
      </c>
      <c r="E40" s="13" t="str">
        <f>+HYPERLINK("http://trademark.i-assist.jp/data/china/image_1888th/69708698.pdf","69708698")</f>
        <v>69708698</v>
      </c>
      <c r="F40" s="7" t="s">
        <v>153</v>
      </c>
      <c r="G40" s="7" t="s">
        <v>154</v>
      </c>
      <c r="H40" s="7" t="s">
        <v>155</v>
      </c>
      <c r="I40" s="9">
        <v>44978</v>
      </c>
    </row>
    <row r="41" spans="1:9" x14ac:dyDescent="0.15">
      <c r="A41" s="6">
        <v>40</v>
      </c>
      <c r="B41" s="7" t="s">
        <v>10</v>
      </c>
      <c r="C41" s="8">
        <v>1888</v>
      </c>
      <c r="D41" s="9">
        <v>45432</v>
      </c>
      <c r="E41" s="13" t="str">
        <f>+HYPERLINK("http://trademark.i-assist.jp/data/china/image_1888th/69718303.pdf","69718303")</f>
        <v>69718303</v>
      </c>
      <c r="F41" s="7" t="s">
        <v>149</v>
      </c>
      <c r="G41" s="7" t="s">
        <v>150</v>
      </c>
      <c r="H41" s="7" t="s">
        <v>151</v>
      </c>
      <c r="I41" s="9">
        <v>44978</v>
      </c>
    </row>
    <row r="42" spans="1:9" ht="27" x14ac:dyDescent="0.15">
      <c r="A42" s="6">
        <v>41</v>
      </c>
      <c r="B42" s="7" t="s">
        <v>10</v>
      </c>
      <c r="C42" s="8">
        <v>1888</v>
      </c>
      <c r="D42" s="9">
        <v>45432</v>
      </c>
      <c r="E42" s="13" t="str">
        <f>+HYPERLINK("http://trademark.i-assist.jp/data/china/image_1888th/69794341.pdf","69794341")</f>
        <v>69794341</v>
      </c>
      <c r="F42" s="7" t="s">
        <v>156</v>
      </c>
      <c r="G42" s="7" t="s">
        <v>157</v>
      </c>
      <c r="H42" s="7" t="s">
        <v>66</v>
      </c>
      <c r="I42" s="9">
        <v>44981</v>
      </c>
    </row>
    <row r="43" spans="1:9" x14ac:dyDescent="0.15">
      <c r="A43" s="6">
        <v>42</v>
      </c>
      <c r="B43" s="7" t="s">
        <v>10</v>
      </c>
      <c r="C43" s="8">
        <v>1888</v>
      </c>
      <c r="D43" s="9">
        <v>45432</v>
      </c>
      <c r="E43" s="13" t="str">
        <f>+HYPERLINK("http://trademark.i-assist.jp/data/china/image_1888th/69924915.pdf","69924915")</f>
        <v>69924915</v>
      </c>
      <c r="F43" s="7" t="s">
        <v>158</v>
      </c>
      <c r="G43" s="7" t="s">
        <v>159</v>
      </c>
      <c r="H43" s="7" t="s">
        <v>160</v>
      </c>
      <c r="I43" s="9">
        <v>44987</v>
      </c>
    </row>
    <row r="44" spans="1:9" ht="27" x14ac:dyDescent="0.15">
      <c r="A44" s="6">
        <v>43</v>
      </c>
      <c r="B44" s="7" t="s">
        <v>10</v>
      </c>
      <c r="C44" s="8">
        <v>1888</v>
      </c>
      <c r="D44" s="9">
        <v>45432</v>
      </c>
      <c r="E44" s="13" t="str">
        <f>+HYPERLINK("http://trademark.i-assist.jp/data/china/image_1888th/69988962.pdf","69988962")</f>
        <v>69988962</v>
      </c>
      <c r="F44" s="7" t="s">
        <v>161</v>
      </c>
      <c r="G44" s="7" t="s">
        <v>162</v>
      </c>
      <c r="H44" s="7" t="s">
        <v>163</v>
      </c>
      <c r="I44" s="9">
        <v>44991</v>
      </c>
    </row>
    <row r="45" spans="1:9" x14ac:dyDescent="0.15">
      <c r="A45" s="6">
        <v>44</v>
      </c>
      <c r="B45" s="7" t="s">
        <v>10</v>
      </c>
      <c r="C45" s="8">
        <v>1888</v>
      </c>
      <c r="D45" s="9">
        <v>45432</v>
      </c>
      <c r="E45" s="13" t="str">
        <f>+HYPERLINK("http://trademark.i-assist.jp/data/china/image_1888th/70017210.pdf","70017210")</f>
        <v>70017210</v>
      </c>
      <c r="F45" s="7" t="s">
        <v>164</v>
      </c>
      <c r="G45" s="7" t="s">
        <v>165</v>
      </c>
      <c r="H45" s="7" t="s">
        <v>166</v>
      </c>
      <c r="I45" s="9">
        <v>44992</v>
      </c>
    </row>
    <row r="46" spans="1:9" ht="27" x14ac:dyDescent="0.15">
      <c r="A46" s="6">
        <v>45</v>
      </c>
      <c r="B46" s="7" t="s">
        <v>10</v>
      </c>
      <c r="C46" s="8">
        <v>1888</v>
      </c>
      <c r="D46" s="9">
        <v>45432</v>
      </c>
      <c r="E46" s="13" t="str">
        <f>+HYPERLINK("http://trademark.i-assist.jp/data/china/image_1888th/70033231.pdf","70033231")</f>
        <v>70033231</v>
      </c>
      <c r="F46" s="7" t="s">
        <v>167</v>
      </c>
      <c r="G46" s="7" t="s">
        <v>168</v>
      </c>
      <c r="H46" s="7" t="s">
        <v>169</v>
      </c>
      <c r="I46" s="9">
        <v>44993</v>
      </c>
    </row>
    <row r="47" spans="1:9" x14ac:dyDescent="0.15">
      <c r="A47" s="6">
        <v>46</v>
      </c>
      <c r="B47" s="7" t="s">
        <v>10</v>
      </c>
      <c r="C47" s="8">
        <v>1888</v>
      </c>
      <c r="D47" s="9">
        <v>45432</v>
      </c>
      <c r="E47" s="13" t="str">
        <f>+HYPERLINK("http://trademark.i-assist.jp/data/china/image_1888th/70072391.pdf","70072391")</f>
        <v>70072391</v>
      </c>
      <c r="F47" s="7" t="s">
        <v>170</v>
      </c>
      <c r="G47" s="7" t="s">
        <v>171</v>
      </c>
      <c r="H47" s="7" t="s">
        <v>172</v>
      </c>
      <c r="I47" s="9">
        <v>44994</v>
      </c>
    </row>
    <row r="48" spans="1:9" x14ac:dyDescent="0.15">
      <c r="A48" s="6">
        <v>47</v>
      </c>
      <c r="B48" s="7" t="s">
        <v>10</v>
      </c>
      <c r="C48" s="8">
        <v>1888</v>
      </c>
      <c r="D48" s="9">
        <v>45432</v>
      </c>
      <c r="E48" s="13" t="str">
        <f>+HYPERLINK("http://trademark.i-assist.jp/data/china/image_1888th/70183464.pdf","70183464")</f>
        <v>70183464</v>
      </c>
      <c r="F48" s="7" t="s">
        <v>76</v>
      </c>
      <c r="G48" s="7" t="s">
        <v>173</v>
      </c>
      <c r="H48" s="7" t="s">
        <v>174</v>
      </c>
      <c r="I48" s="9">
        <v>44999</v>
      </c>
    </row>
    <row r="49" spans="1:9" x14ac:dyDescent="0.15">
      <c r="A49" s="6">
        <v>48</v>
      </c>
      <c r="B49" s="7" t="s">
        <v>10</v>
      </c>
      <c r="C49" s="8">
        <v>1888</v>
      </c>
      <c r="D49" s="9">
        <v>45432</v>
      </c>
      <c r="E49" s="13" t="str">
        <f>+HYPERLINK("http://trademark.i-assist.jp/data/china/image_1888th/70225140.pdf","70225140")</f>
        <v>70225140</v>
      </c>
      <c r="F49" s="7" t="s">
        <v>175</v>
      </c>
      <c r="G49" s="7" t="s">
        <v>176</v>
      </c>
      <c r="H49" s="7" t="s">
        <v>177</v>
      </c>
      <c r="I49" s="9">
        <v>45001</v>
      </c>
    </row>
    <row r="50" spans="1:9" ht="27" x14ac:dyDescent="0.15">
      <c r="A50" s="6">
        <v>49</v>
      </c>
      <c r="B50" s="7" t="s">
        <v>10</v>
      </c>
      <c r="C50" s="8">
        <v>1888</v>
      </c>
      <c r="D50" s="9">
        <v>45432</v>
      </c>
      <c r="E50" s="13" t="str">
        <f>+HYPERLINK("http://trademark.i-assist.jp/data/china/image_1888th/70311501.pdf","70311501")</f>
        <v>70311501</v>
      </c>
      <c r="F50" s="7" t="s">
        <v>178</v>
      </c>
      <c r="G50" s="7" t="s">
        <v>179</v>
      </c>
      <c r="H50" s="7" t="s">
        <v>75</v>
      </c>
      <c r="I50" s="9">
        <v>45005</v>
      </c>
    </row>
    <row r="51" spans="1:9" x14ac:dyDescent="0.15">
      <c r="A51" s="6">
        <v>50</v>
      </c>
      <c r="B51" s="7" t="s">
        <v>10</v>
      </c>
      <c r="C51" s="8">
        <v>1888</v>
      </c>
      <c r="D51" s="9">
        <v>45432</v>
      </c>
      <c r="E51" s="13" t="str">
        <f>+HYPERLINK("http://trademark.i-assist.jp/data/china/image_1888th/70352896.pdf","70352896")</f>
        <v>70352896</v>
      </c>
      <c r="F51" s="7" t="s">
        <v>180</v>
      </c>
      <c r="G51" s="7" t="s">
        <v>181</v>
      </c>
      <c r="H51" s="7" t="s">
        <v>145</v>
      </c>
      <c r="I51" s="9">
        <v>45006</v>
      </c>
    </row>
    <row r="52" spans="1:9" x14ac:dyDescent="0.15">
      <c r="A52" s="6">
        <v>51</v>
      </c>
      <c r="B52" s="7" t="s">
        <v>10</v>
      </c>
      <c r="C52" s="8">
        <v>1888</v>
      </c>
      <c r="D52" s="9">
        <v>45432</v>
      </c>
      <c r="E52" s="13" t="str">
        <f>+HYPERLINK("http://trademark.i-assist.jp/data/china/image_1888th/70402926.pdf","70402926")</f>
        <v>70402926</v>
      </c>
      <c r="F52" s="7" t="s">
        <v>182</v>
      </c>
      <c r="G52" s="7" t="s">
        <v>183</v>
      </c>
      <c r="H52" s="7" t="s">
        <v>184</v>
      </c>
      <c r="I52" s="9">
        <v>45008</v>
      </c>
    </row>
    <row r="53" spans="1:9" ht="27" x14ac:dyDescent="0.15">
      <c r="A53" s="6">
        <v>52</v>
      </c>
      <c r="B53" s="7" t="s">
        <v>10</v>
      </c>
      <c r="C53" s="8">
        <v>1888</v>
      </c>
      <c r="D53" s="9">
        <v>45432</v>
      </c>
      <c r="E53" s="13" t="str">
        <f>+HYPERLINK("http://trademark.i-assist.jp/data/china/image_1888th/70437318.pdf","70437318")</f>
        <v>70437318</v>
      </c>
      <c r="F53" s="7" t="s">
        <v>185</v>
      </c>
      <c r="G53" s="7" t="s">
        <v>186</v>
      </c>
      <c r="H53" s="7" t="s">
        <v>187</v>
      </c>
      <c r="I53" s="9">
        <v>45009</v>
      </c>
    </row>
    <row r="54" spans="1:9" x14ac:dyDescent="0.15">
      <c r="A54" s="6">
        <v>53</v>
      </c>
      <c r="B54" s="7" t="s">
        <v>10</v>
      </c>
      <c r="C54" s="8">
        <v>1888</v>
      </c>
      <c r="D54" s="9">
        <v>45432</v>
      </c>
      <c r="E54" s="13" t="str">
        <f>+HYPERLINK("http://trademark.i-assist.jp/data/china/image_1888th/70552585.pdf","70552585")</f>
        <v>70552585</v>
      </c>
      <c r="F54" s="7" t="s">
        <v>188</v>
      </c>
      <c r="G54" s="7" t="s">
        <v>189</v>
      </c>
      <c r="H54" s="7" t="s">
        <v>190</v>
      </c>
      <c r="I54" s="9">
        <v>45014</v>
      </c>
    </row>
    <row r="55" spans="1:9" ht="27" x14ac:dyDescent="0.15">
      <c r="A55" s="6">
        <v>54</v>
      </c>
      <c r="B55" s="7" t="s">
        <v>10</v>
      </c>
      <c r="C55" s="8">
        <v>1888</v>
      </c>
      <c r="D55" s="9">
        <v>45432</v>
      </c>
      <c r="E55" s="13" t="str">
        <f>+HYPERLINK("http://trademark.i-assist.jp/data/china/image_1888th/70689787.pdf","70689787")</f>
        <v>70689787</v>
      </c>
      <c r="F55" s="7" t="s">
        <v>191</v>
      </c>
      <c r="G55" s="7" t="s">
        <v>192</v>
      </c>
      <c r="H55" s="7" t="s">
        <v>193</v>
      </c>
      <c r="I55" s="9">
        <v>45020</v>
      </c>
    </row>
    <row r="56" spans="1:9" x14ac:dyDescent="0.15">
      <c r="A56" s="6">
        <v>55</v>
      </c>
      <c r="B56" s="7" t="s">
        <v>10</v>
      </c>
      <c r="C56" s="8">
        <v>1888</v>
      </c>
      <c r="D56" s="9">
        <v>45432</v>
      </c>
      <c r="E56" s="13" t="str">
        <f>+HYPERLINK("http://trademark.i-assist.jp/data/china/image_1888th/70732843.pdf","70732843")</f>
        <v>70732843</v>
      </c>
      <c r="F56" s="7" t="s">
        <v>194</v>
      </c>
      <c r="G56" s="7" t="s">
        <v>195</v>
      </c>
      <c r="H56" s="7" t="s">
        <v>196</v>
      </c>
      <c r="I56" s="9">
        <v>45023</v>
      </c>
    </row>
    <row r="57" spans="1:9" x14ac:dyDescent="0.15">
      <c r="A57" s="6">
        <v>56</v>
      </c>
      <c r="B57" s="7" t="s">
        <v>10</v>
      </c>
      <c r="C57" s="8">
        <v>1888</v>
      </c>
      <c r="D57" s="9">
        <v>45432</v>
      </c>
      <c r="E57" s="13" t="str">
        <f>+HYPERLINK("http://trademark.i-assist.jp/data/china/image_1888th/70847292.pdf","70847292")</f>
        <v>70847292</v>
      </c>
      <c r="F57" s="7" t="s">
        <v>197</v>
      </c>
      <c r="G57" s="7" t="s">
        <v>159</v>
      </c>
      <c r="H57" s="7" t="s">
        <v>198</v>
      </c>
      <c r="I57" s="9">
        <v>45028</v>
      </c>
    </row>
    <row r="58" spans="1:9" x14ac:dyDescent="0.15">
      <c r="A58" s="6">
        <v>57</v>
      </c>
      <c r="B58" s="7" t="s">
        <v>10</v>
      </c>
      <c r="C58" s="8">
        <v>1888</v>
      </c>
      <c r="D58" s="9">
        <v>45432</v>
      </c>
      <c r="E58" s="13" t="str">
        <f>+HYPERLINK("http://trademark.i-assist.jp/data/china/image_1888th/71014822.pdf","71014822")</f>
        <v>71014822</v>
      </c>
      <c r="F58" s="7" t="s">
        <v>199</v>
      </c>
      <c r="G58" s="7" t="s">
        <v>200</v>
      </c>
      <c r="H58" s="7" t="s">
        <v>201</v>
      </c>
      <c r="I58" s="9">
        <v>45035</v>
      </c>
    </row>
    <row r="59" spans="1:9" x14ac:dyDescent="0.15">
      <c r="A59" s="6">
        <v>58</v>
      </c>
      <c r="B59" s="7" t="s">
        <v>10</v>
      </c>
      <c r="C59" s="8">
        <v>1888</v>
      </c>
      <c r="D59" s="9">
        <v>45432</v>
      </c>
      <c r="E59" s="13" t="str">
        <f>+HYPERLINK("http://trademark.i-assist.jp/data/china/image_1888th/71063527.pdf","71063527")</f>
        <v>71063527</v>
      </c>
      <c r="F59" s="7" t="s">
        <v>202</v>
      </c>
      <c r="G59" s="7" t="s">
        <v>203</v>
      </c>
      <c r="H59" s="7" t="s">
        <v>204</v>
      </c>
      <c r="I59" s="9">
        <v>45037</v>
      </c>
    </row>
    <row r="60" spans="1:9" x14ac:dyDescent="0.15">
      <c r="A60" s="6">
        <v>59</v>
      </c>
      <c r="B60" s="7" t="s">
        <v>10</v>
      </c>
      <c r="C60" s="8">
        <v>1888</v>
      </c>
      <c r="D60" s="9">
        <v>45432</v>
      </c>
      <c r="E60" s="13" t="str">
        <f>+HYPERLINK("http://trademark.i-assist.jp/data/china/image_1888th/71067923.pdf","71067923")</f>
        <v>71067923</v>
      </c>
      <c r="F60" s="7" t="s">
        <v>205</v>
      </c>
      <c r="G60" s="7" t="s">
        <v>206</v>
      </c>
      <c r="H60" s="7" t="s">
        <v>207</v>
      </c>
      <c r="I60" s="9">
        <v>45037</v>
      </c>
    </row>
    <row r="61" spans="1:9" ht="27" x14ac:dyDescent="0.15">
      <c r="A61" s="6">
        <v>60</v>
      </c>
      <c r="B61" s="7" t="s">
        <v>10</v>
      </c>
      <c r="C61" s="8">
        <v>1888</v>
      </c>
      <c r="D61" s="9">
        <v>45432</v>
      </c>
      <c r="E61" s="13" t="str">
        <f>+HYPERLINK("http://trademark.i-assist.jp/data/china/image_1888th/71084501.pdf","71084501")</f>
        <v>71084501</v>
      </c>
      <c r="F61" s="7" t="s">
        <v>208</v>
      </c>
      <c r="G61" s="7" t="s">
        <v>209</v>
      </c>
      <c r="H61" s="7" t="s">
        <v>210</v>
      </c>
      <c r="I61" s="9">
        <v>45037</v>
      </c>
    </row>
    <row r="62" spans="1:9" x14ac:dyDescent="0.15">
      <c r="A62" s="6">
        <v>61</v>
      </c>
      <c r="B62" s="7" t="s">
        <v>10</v>
      </c>
      <c r="C62" s="8">
        <v>1888</v>
      </c>
      <c r="D62" s="9">
        <v>45432</v>
      </c>
      <c r="E62" s="13" t="str">
        <f>+HYPERLINK("http://trademark.i-assist.jp/data/china/image_1888th/71095295.pdf","71095295")</f>
        <v>71095295</v>
      </c>
      <c r="F62" s="7" t="s">
        <v>211</v>
      </c>
      <c r="G62" s="7" t="s">
        <v>212</v>
      </c>
      <c r="H62" s="7" t="s">
        <v>213</v>
      </c>
      <c r="I62" s="9">
        <v>45039</v>
      </c>
    </row>
    <row r="63" spans="1:9" x14ac:dyDescent="0.15">
      <c r="A63" s="6">
        <v>62</v>
      </c>
      <c r="B63" s="7" t="s">
        <v>10</v>
      </c>
      <c r="C63" s="8">
        <v>1888</v>
      </c>
      <c r="D63" s="9">
        <v>45432</v>
      </c>
      <c r="E63" s="13" t="str">
        <f>+HYPERLINK("http://trademark.i-assist.jp/data/china/image_1888th/71187741.pdf","71187741")</f>
        <v>71187741</v>
      </c>
      <c r="F63" s="7" t="s">
        <v>58</v>
      </c>
      <c r="G63" s="7" t="s">
        <v>59</v>
      </c>
      <c r="H63" s="7" t="s">
        <v>214</v>
      </c>
      <c r="I63" s="9">
        <v>45042</v>
      </c>
    </row>
    <row r="64" spans="1:9" ht="27" x14ac:dyDescent="0.15">
      <c r="A64" s="6">
        <v>63</v>
      </c>
      <c r="B64" s="7" t="s">
        <v>10</v>
      </c>
      <c r="C64" s="8">
        <v>1888</v>
      </c>
      <c r="D64" s="9">
        <v>45432</v>
      </c>
      <c r="E64" s="13" t="str">
        <f>+HYPERLINK("http://trademark.i-assist.jp/data/china/image_1888th/71292507.pdf","71292507")</f>
        <v>71292507</v>
      </c>
      <c r="F64" s="7" t="s">
        <v>215</v>
      </c>
      <c r="G64" s="7" t="s">
        <v>216</v>
      </c>
      <c r="H64" s="7" t="s">
        <v>217</v>
      </c>
      <c r="I64" s="9">
        <v>45050</v>
      </c>
    </row>
    <row r="65" spans="1:9" x14ac:dyDescent="0.15">
      <c r="A65" s="6">
        <v>64</v>
      </c>
      <c r="B65" s="7" t="s">
        <v>10</v>
      </c>
      <c r="C65" s="8">
        <v>1888</v>
      </c>
      <c r="D65" s="9">
        <v>45432</v>
      </c>
      <c r="E65" s="13" t="str">
        <f>+HYPERLINK("http://trademark.i-assist.jp/data/china/image_1888th/71338686.pdf","71338686")</f>
        <v>71338686</v>
      </c>
      <c r="F65" s="7" t="s">
        <v>218</v>
      </c>
      <c r="G65" s="7" t="s">
        <v>219</v>
      </c>
      <c r="H65" s="7" t="s">
        <v>220</v>
      </c>
      <c r="I65" s="9">
        <v>45051</v>
      </c>
    </row>
    <row r="66" spans="1:9" ht="27" x14ac:dyDescent="0.15">
      <c r="A66" s="6">
        <v>65</v>
      </c>
      <c r="B66" s="7" t="s">
        <v>10</v>
      </c>
      <c r="C66" s="8">
        <v>1888</v>
      </c>
      <c r="D66" s="9">
        <v>45432</v>
      </c>
      <c r="E66" s="13" t="str">
        <f>+HYPERLINK("http://trademark.i-assist.jp/data/china/image_1888th/71356955.pdf","71356955")</f>
        <v>71356955</v>
      </c>
      <c r="F66" s="7" t="s">
        <v>221</v>
      </c>
      <c r="G66" s="7" t="s">
        <v>222</v>
      </c>
      <c r="H66" s="7" t="s">
        <v>223</v>
      </c>
      <c r="I66" s="9">
        <v>45052</v>
      </c>
    </row>
    <row r="67" spans="1:9" x14ac:dyDescent="0.15">
      <c r="A67" s="6">
        <v>66</v>
      </c>
      <c r="B67" s="7" t="s">
        <v>10</v>
      </c>
      <c r="C67" s="8">
        <v>1888</v>
      </c>
      <c r="D67" s="9">
        <v>45432</v>
      </c>
      <c r="E67" s="13" t="str">
        <f>+HYPERLINK("http://trademark.i-assist.jp/data/china/image_1888th/71376048.pdf","71376048")</f>
        <v>71376048</v>
      </c>
      <c r="F67" s="7" t="s">
        <v>224</v>
      </c>
      <c r="G67" s="7" t="s">
        <v>225</v>
      </c>
      <c r="H67" s="7" t="s">
        <v>226</v>
      </c>
      <c r="I67" s="9">
        <v>45052</v>
      </c>
    </row>
    <row r="68" spans="1:9" x14ac:dyDescent="0.15">
      <c r="A68" s="6">
        <v>67</v>
      </c>
      <c r="B68" s="7" t="s">
        <v>10</v>
      </c>
      <c r="C68" s="8">
        <v>1888</v>
      </c>
      <c r="D68" s="9">
        <v>45432</v>
      </c>
      <c r="E68" s="13" t="str">
        <f>+HYPERLINK("http://trademark.i-assist.jp/data/china/image_1888th/71425365.pdf","71425365")</f>
        <v>71425365</v>
      </c>
      <c r="F68" s="7" t="s">
        <v>227</v>
      </c>
      <c r="G68" s="7" t="s">
        <v>228</v>
      </c>
      <c r="H68" s="7" t="s">
        <v>229</v>
      </c>
      <c r="I68" s="9">
        <v>45055</v>
      </c>
    </row>
    <row r="69" spans="1:9" ht="40.5" x14ac:dyDescent="0.15">
      <c r="A69" s="6">
        <v>68</v>
      </c>
      <c r="B69" s="7" t="s">
        <v>10</v>
      </c>
      <c r="C69" s="8">
        <v>1888</v>
      </c>
      <c r="D69" s="9">
        <v>45432</v>
      </c>
      <c r="E69" s="13" t="str">
        <f>+HYPERLINK("http://trademark.i-assist.jp/data/china/image_1888th/71494934.pdf","71494934")</f>
        <v>71494934</v>
      </c>
      <c r="F69" s="7" t="s">
        <v>230</v>
      </c>
      <c r="G69" s="7" t="s">
        <v>231</v>
      </c>
      <c r="H69" s="7" t="s">
        <v>232</v>
      </c>
      <c r="I69" s="9">
        <v>45057</v>
      </c>
    </row>
    <row r="70" spans="1:9" x14ac:dyDescent="0.15">
      <c r="A70" s="6">
        <v>69</v>
      </c>
      <c r="B70" s="7" t="s">
        <v>10</v>
      </c>
      <c r="C70" s="8">
        <v>1888</v>
      </c>
      <c r="D70" s="9">
        <v>45432</v>
      </c>
      <c r="E70" s="13" t="str">
        <f>+HYPERLINK("http://trademark.i-assist.jp/data/china/image_1888th/71554414.pdf","71554414")</f>
        <v>71554414</v>
      </c>
      <c r="F70" s="7" t="s">
        <v>233</v>
      </c>
      <c r="G70" s="7" t="s">
        <v>234</v>
      </c>
      <c r="H70" s="7" t="s">
        <v>235</v>
      </c>
      <c r="I70" s="9">
        <v>45061</v>
      </c>
    </row>
    <row r="71" spans="1:9" x14ac:dyDescent="0.15">
      <c r="A71" s="6">
        <v>70</v>
      </c>
      <c r="B71" s="7" t="s">
        <v>10</v>
      </c>
      <c r="C71" s="8">
        <v>1888</v>
      </c>
      <c r="D71" s="9">
        <v>45432</v>
      </c>
      <c r="E71" s="13" t="str">
        <f>+HYPERLINK("http://trademark.i-assist.jp/data/china/image_1888th/71667683.pdf","71667683")</f>
        <v>71667683</v>
      </c>
      <c r="F71" s="7" t="s">
        <v>236</v>
      </c>
      <c r="G71" s="7" t="s">
        <v>237</v>
      </c>
      <c r="H71" s="7" t="s">
        <v>13</v>
      </c>
      <c r="I71" s="9">
        <v>45065</v>
      </c>
    </row>
    <row r="72" spans="1:9" x14ac:dyDescent="0.15">
      <c r="A72" s="6">
        <v>71</v>
      </c>
      <c r="B72" s="7" t="s">
        <v>10</v>
      </c>
      <c r="C72" s="8">
        <v>1888</v>
      </c>
      <c r="D72" s="9">
        <v>45432</v>
      </c>
      <c r="E72" s="13" t="str">
        <f>+HYPERLINK("http://trademark.i-assist.jp/data/china/image_1888th/71692717.pdf","71692717")</f>
        <v>71692717</v>
      </c>
      <c r="F72" s="7" t="s">
        <v>238</v>
      </c>
      <c r="G72" s="7" t="s">
        <v>239</v>
      </c>
      <c r="H72" s="7" t="s">
        <v>240</v>
      </c>
      <c r="I72" s="9">
        <v>45066</v>
      </c>
    </row>
    <row r="73" spans="1:9" x14ac:dyDescent="0.15">
      <c r="A73" s="6">
        <v>72</v>
      </c>
      <c r="B73" s="7" t="s">
        <v>10</v>
      </c>
      <c r="C73" s="8">
        <v>1888</v>
      </c>
      <c r="D73" s="9">
        <v>45432</v>
      </c>
      <c r="E73" s="13" t="str">
        <f>+HYPERLINK("http://trademark.i-assist.jp/data/china/image_1888th/71777472.pdf","71777472")</f>
        <v>71777472</v>
      </c>
      <c r="F73" s="7" t="s">
        <v>241</v>
      </c>
      <c r="G73" s="7" t="s">
        <v>242</v>
      </c>
      <c r="H73" s="7" t="s">
        <v>243</v>
      </c>
      <c r="I73" s="9">
        <v>45070</v>
      </c>
    </row>
    <row r="74" spans="1:9" x14ac:dyDescent="0.15">
      <c r="A74" s="6">
        <v>73</v>
      </c>
      <c r="B74" s="7" t="s">
        <v>10</v>
      </c>
      <c r="C74" s="8">
        <v>1888</v>
      </c>
      <c r="D74" s="9">
        <v>45432</v>
      </c>
      <c r="E74" s="13" t="str">
        <f>+HYPERLINK("http://trademark.i-assist.jp/data/china/image_1888th/71803188.pdf","71803188")</f>
        <v>71803188</v>
      </c>
      <c r="F74" s="7" t="s">
        <v>244</v>
      </c>
      <c r="G74" s="7" t="s">
        <v>245</v>
      </c>
      <c r="H74" s="7" t="s">
        <v>246</v>
      </c>
      <c r="I74" s="9">
        <v>45071</v>
      </c>
    </row>
    <row r="75" spans="1:9" ht="27" x14ac:dyDescent="0.15">
      <c r="A75" s="6">
        <v>74</v>
      </c>
      <c r="B75" s="7" t="s">
        <v>10</v>
      </c>
      <c r="C75" s="8">
        <v>1888</v>
      </c>
      <c r="D75" s="9">
        <v>45432</v>
      </c>
      <c r="E75" s="13" t="str">
        <f>+HYPERLINK("http://trademark.i-assist.jp/data/china/image_1888th/71843072.pdf","71843072")</f>
        <v>71843072</v>
      </c>
      <c r="F75" s="7" t="s">
        <v>247</v>
      </c>
      <c r="G75" s="7" t="s">
        <v>248</v>
      </c>
      <c r="H75" s="7" t="s">
        <v>249</v>
      </c>
      <c r="I75" s="9">
        <v>45072</v>
      </c>
    </row>
    <row r="76" spans="1:9" x14ac:dyDescent="0.15">
      <c r="A76" s="6">
        <v>75</v>
      </c>
      <c r="B76" s="7" t="s">
        <v>10</v>
      </c>
      <c r="C76" s="8">
        <v>1888</v>
      </c>
      <c r="D76" s="9">
        <v>45432</v>
      </c>
      <c r="E76" s="13" t="str">
        <f>+HYPERLINK("http://trademark.i-assist.jp/data/china/image_1888th/71854784.pdf","71854784")</f>
        <v>71854784</v>
      </c>
      <c r="F76" s="7" t="s">
        <v>76</v>
      </c>
      <c r="G76" s="7" t="s">
        <v>250</v>
      </c>
      <c r="H76" s="7" t="s">
        <v>251</v>
      </c>
      <c r="I76" s="9">
        <v>45072</v>
      </c>
    </row>
    <row r="77" spans="1:9" x14ac:dyDescent="0.15">
      <c r="A77" s="6">
        <v>76</v>
      </c>
      <c r="B77" s="7" t="s">
        <v>10</v>
      </c>
      <c r="C77" s="8">
        <v>1888</v>
      </c>
      <c r="D77" s="9">
        <v>45432</v>
      </c>
      <c r="E77" s="13" t="str">
        <f>+HYPERLINK("http://trademark.i-assist.jp/data/china/image_1888th/71869378.pdf","71869378")</f>
        <v>71869378</v>
      </c>
      <c r="F77" s="7" t="s">
        <v>252</v>
      </c>
      <c r="G77" s="7" t="s">
        <v>253</v>
      </c>
      <c r="H77" s="7" t="s">
        <v>254</v>
      </c>
      <c r="I77" s="9">
        <v>45075</v>
      </c>
    </row>
    <row r="78" spans="1:9" x14ac:dyDescent="0.15">
      <c r="A78" s="6">
        <v>77</v>
      </c>
      <c r="B78" s="7" t="s">
        <v>10</v>
      </c>
      <c r="C78" s="8">
        <v>1888</v>
      </c>
      <c r="D78" s="9">
        <v>45432</v>
      </c>
      <c r="E78" s="13" t="str">
        <f>+HYPERLINK("http://trademark.i-assist.jp/data/china/image_1888th/71877785.pdf","71877785")</f>
        <v>71877785</v>
      </c>
      <c r="F78" s="7" t="s">
        <v>255</v>
      </c>
      <c r="G78" s="7" t="s">
        <v>253</v>
      </c>
      <c r="H78" s="7" t="s">
        <v>256</v>
      </c>
      <c r="I78" s="9">
        <v>45075</v>
      </c>
    </row>
    <row r="79" spans="1:9" x14ac:dyDescent="0.15">
      <c r="A79" s="6">
        <v>78</v>
      </c>
      <c r="B79" s="7" t="s">
        <v>10</v>
      </c>
      <c r="C79" s="8">
        <v>1888</v>
      </c>
      <c r="D79" s="9">
        <v>45432</v>
      </c>
      <c r="E79" s="13" t="str">
        <f>+HYPERLINK("http://trademark.i-assist.jp/data/china/image_1888th/71952114.pdf","71952114")</f>
        <v>71952114</v>
      </c>
      <c r="F79" s="7" t="s">
        <v>257</v>
      </c>
      <c r="G79" s="7" t="s">
        <v>258</v>
      </c>
      <c r="H79" s="7" t="s">
        <v>259</v>
      </c>
      <c r="I79" s="9">
        <v>45077</v>
      </c>
    </row>
    <row r="80" spans="1:9" x14ac:dyDescent="0.15">
      <c r="A80" s="6">
        <v>79</v>
      </c>
      <c r="B80" s="7" t="s">
        <v>10</v>
      </c>
      <c r="C80" s="8">
        <v>1888</v>
      </c>
      <c r="D80" s="9">
        <v>45432</v>
      </c>
      <c r="E80" s="13" t="str">
        <f>+HYPERLINK("http://trademark.i-assist.jp/data/china/image_1888th/72003157.pdf","72003157")</f>
        <v>72003157</v>
      </c>
      <c r="F80" s="7" t="s">
        <v>260</v>
      </c>
      <c r="G80" s="7" t="s">
        <v>261</v>
      </c>
      <c r="H80" s="7" t="s">
        <v>262</v>
      </c>
      <c r="I80" s="9">
        <v>45080</v>
      </c>
    </row>
    <row r="81" spans="1:9" x14ac:dyDescent="0.15">
      <c r="A81" s="6">
        <v>80</v>
      </c>
      <c r="B81" s="7" t="s">
        <v>10</v>
      </c>
      <c r="C81" s="8">
        <v>1888</v>
      </c>
      <c r="D81" s="9">
        <v>45432</v>
      </c>
      <c r="E81" s="13" t="str">
        <f>+HYPERLINK("http://trademark.i-assist.jp/data/china/image_1888th/72005973.pdf","72005973")</f>
        <v>72005973</v>
      </c>
      <c r="F81" s="7" t="s">
        <v>263</v>
      </c>
      <c r="G81" s="7" t="s">
        <v>264</v>
      </c>
      <c r="H81" s="7" t="s">
        <v>265</v>
      </c>
      <c r="I81" s="9">
        <v>45081</v>
      </c>
    </row>
    <row r="82" spans="1:9" x14ac:dyDescent="0.15">
      <c r="A82" s="6">
        <v>81</v>
      </c>
      <c r="B82" s="7" t="s">
        <v>10</v>
      </c>
      <c r="C82" s="8">
        <v>1888</v>
      </c>
      <c r="D82" s="9">
        <v>45432</v>
      </c>
      <c r="E82" s="13" t="str">
        <f>+HYPERLINK("http://trademark.i-assist.jp/data/china/image_1888th/72010391.pdf","72010391")</f>
        <v>72010391</v>
      </c>
      <c r="F82" s="7" t="s">
        <v>266</v>
      </c>
      <c r="G82" s="7" t="s">
        <v>261</v>
      </c>
      <c r="H82" s="7" t="s">
        <v>267</v>
      </c>
      <c r="I82" s="9">
        <v>45080</v>
      </c>
    </row>
    <row r="83" spans="1:9" x14ac:dyDescent="0.15">
      <c r="A83" s="6">
        <v>82</v>
      </c>
      <c r="B83" s="7" t="s">
        <v>10</v>
      </c>
      <c r="C83" s="8">
        <v>1888</v>
      </c>
      <c r="D83" s="9">
        <v>45432</v>
      </c>
      <c r="E83" s="13" t="str">
        <f>+HYPERLINK("http://trademark.i-assist.jp/data/china/image_1888th/72069171.pdf","72069171")</f>
        <v>72069171</v>
      </c>
      <c r="F83" s="7" t="s">
        <v>268</v>
      </c>
      <c r="G83" s="7" t="s">
        <v>269</v>
      </c>
      <c r="H83" s="7" t="s">
        <v>270</v>
      </c>
      <c r="I83" s="9">
        <v>45084</v>
      </c>
    </row>
    <row r="84" spans="1:9" x14ac:dyDescent="0.15">
      <c r="A84" s="6">
        <v>83</v>
      </c>
      <c r="B84" s="7" t="s">
        <v>10</v>
      </c>
      <c r="C84" s="8">
        <v>1888</v>
      </c>
      <c r="D84" s="9">
        <v>45432</v>
      </c>
      <c r="E84" s="13" t="str">
        <f>+HYPERLINK("http://trademark.i-assist.jp/data/china/image_1888th/72071337.pdf","72071337")</f>
        <v>72071337</v>
      </c>
      <c r="F84" s="7" t="s">
        <v>271</v>
      </c>
      <c r="G84" s="7" t="s">
        <v>269</v>
      </c>
      <c r="H84" s="7" t="s">
        <v>272</v>
      </c>
      <c r="I84" s="9">
        <v>45084</v>
      </c>
    </row>
    <row r="85" spans="1:9" x14ac:dyDescent="0.15">
      <c r="A85" s="6">
        <v>84</v>
      </c>
      <c r="B85" s="7" t="s">
        <v>10</v>
      </c>
      <c r="C85" s="8">
        <v>1888</v>
      </c>
      <c r="D85" s="9">
        <v>45432</v>
      </c>
      <c r="E85" s="13" t="str">
        <f>+HYPERLINK("http://trademark.i-assist.jp/data/china/image_1888th/72078284.pdf","72078284")</f>
        <v>72078284</v>
      </c>
      <c r="F85" s="7" t="s">
        <v>273</v>
      </c>
      <c r="G85" s="7" t="s">
        <v>269</v>
      </c>
      <c r="H85" s="7" t="s">
        <v>274</v>
      </c>
      <c r="I85" s="9">
        <v>45084</v>
      </c>
    </row>
    <row r="86" spans="1:9" ht="27" x14ac:dyDescent="0.15">
      <c r="A86" s="6">
        <v>85</v>
      </c>
      <c r="B86" s="7" t="s">
        <v>10</v>
      </c>
      <c r="C86" s="8">
        <v>1888</v>
      </c>
      <c r="D86" s="9">
        <v>45432</v>
      </c>
      <c r="E86" s="13" t="str">
        <f>+HYPERLINK("http://trademark.i-assist.jp/data/china/image_1888th/72186844.pdf","72186844")</f>
        <v>72186844</v>
      </c>
      <c r="F86" s="7" t="s">
        <v>275</v>
      </c>
      <c r="G86" s="7" t="s">
        <v>276</v>
      </c>
      <c r="H86" s="7" t="s">
        <v>277</v>
      </c>
      <c r="I86" s="9">
        <v>45090</v>
      </c>
    </row>
    <row r="87" spans="1:9" x14ac:dyDescent="0.15">
      <c r="A87" s="6">
        <v>86</v>
      </c>
      <c r="B87" s="7" t="s">
        <v>10</v>
      </c>
      <c r="C87" s="8">
        <v>1888</v>
      </c>
      <c r="D87" s="9">
        <v>45432</v>
      </c>
      <c r="E87" s="13" t="str">
        <f>+HYPERLINK("http://trademark.i-assist.jp/data/china/image_1888th/72200634.pdf","72200634")</f>
        <v>72200634</v>
      </c>
      <c r="F87" s="7" t="s">
        <v>76</v>
      </c>
      <c r="G87" s="7" t="s">
        <v>278</v>
      </c>
      <c r="H87" s="7" t="s">
        <v>279</v>
      </c>
      <c r="I87" s="9">
        <v>45090</v>
      </c>
    </row>
    <row r="88" spans="1:9" x14ac:dyDescent="0.15">
      <c r="A88" s="6">
        <v>87</v>
      </c>
      <c r="B88" s="7" t="s">
        <v>10</v>
      </c>
      <c r="C88" s="8">
        <v>1888</v>
      </c>
      <c r="D88" s="9">
        <v>45432</v>
      </c>
      <c r="E88" s="13" t="str">
        <f>+HYPERLINK("http://trademark.i-assist.jp/data/china/image_1888th/72220998.pdf","72220998")</f>
        <v>72220998</v>
      </c>
      <c r="F88" s="7" t="s">
        <v>280</v>
      </c>
      <c r="G88" s="7" t="s">
        <v>281</v>
      </c>
      <c r="H88" s="7" t="s">
        <v>282</v>
      </c>
      <c r="I88" s="9">
        <v>45091</v>
      </c>
    </row>
    <row r="89" spans="1:9" ht="27" x14ac:dyDescent="0.15">
      <c r="A89" s="6">
        <v>88</v>
      </c>
      <c r="B89" s="7" t="s">
        <v>10</v>
      </c>
      <c r="C89" s="8">
        <v>1888</v>
      </c>
      <c r="D89" s="9">
        <v>45432</v>
      </c>
      <c r="E89" s="13" t="str">
        <f>+HYPERLINK("http://trademark.i-assist.jp/data/china/image_1888th/72230222.pdf","72230222")</f>
        <v>72230222</v>
      </c>
      <c r="F89" s="7" t="s">
        <v>283</v>
      </c>
      <c r="G89" s="7" t="s">
        <v>284</v>
      </c>
      <c r="H89" s="7" t="s">
        <v>285</v>
      </c>
      <c r="I89" s="9">
        <v>45091</v>
      </c>
    </row>
    <row r="90" spans="1:9" ht="27" x14ac:dyDescent="0.15">
      <c r="A90" s="6">
        <v>89</v>
      </c>
      <c r="B90" s="7" t="s">
        <v>10</v>
      </c>
      <c r="C90" s="8">
        <v>1888</v>
      </c>
      <c r="D90" s="9">
        <v>45432</v>
      </c>
      <c r="E90" s="13" t="str">
        <f>+HYPERLINK("http://trademark.i-assist.jp/data/china/image_1888th/72244318.pdf","72244318")</f>
        <v>72244318</v>
      </c>
      <c r="F90" s="7" t="s">
        <v>286</v>
      </c>
      <c r="G90" s="7" t="s">
        <v>287</v>
      </c>
      <c r="H90" s="7" t="s">
        <v>288</v>
      </c>
      <c r="I90" s="9">
        <v>45092</v>
      </c>
    </row>
    <row r="91" spans="1:9" ht="27" x14ac:dyDescent="0.15">
      <c r="A91" s="6">
        <v>90</v>
      </c>
      <c r="B91" s="7" t="s">
        <v>10</v>
      </c>
      <c r="C91" s="8">
        <v>1888</v>
      </c>
      <c r="D91" s="9">
        <v>45432</v>
      </c>
      <c r="E91" s="13" t="str">
        <f>+HYPERLINK("http://trademark.i-assist.jp/data/china/image_1888th/72280758.pdf","72280758")</f>
        <v>72280758</v>
      </c>
      <c r="F91" s="7" t="s">
        <v>289</v>
      </c>
      <c r="G91" s="7" t="s">
        <v>290</v>
      </c>
      <c r="H91" s="7" t="s">
        <v>291</v>
      </c>
      <c r="I91" s="9">
        <v>45093</v>
      </c>
    </row>
    <row r="92" spans="1:9" ht="27" x14ac:dyDescent="0.15">
      <c r="A92" s="6">
        <v>91</v>
      </c>
      <c r="B92" s="7" t="s">
        <v>10</v>
      </c>
      <c r="C92" s="8">
        <v>1888</v>
      </c>
      <c r="D92" s="9">
        <v>45432</v>
      </c>
      <c r="E92" s="13" t="str">
        <f>+HYPERLINK("http://trademark.i-assist.jp/data/china/image_1888th/72334895.pdf","72334895")</f>
        <v>72334895</v>
      </c>
      <c r="F92" s="7" t="s">
        <v>185</v>
      </c>
      <c r="G92" s="7" t="s">
        <v>186</v>
      </c>
      <c r="H92" s="7" t="s">
        <v>292</v>
      </c>
      <c r="I92" s="9">
        <v>45097</v>
      </c>
    </row>
    <row r="93" spans="1:9" x14ac:dyDescent="0.15">
      <c r="A93" s="6">
        <v>92</v>
      </c>
      <c r="B93" s="7" t="s">
        <v>10</v>
      </c>
      <c r="C93" s="8">
        <v>1888</v>
      </c>
      <c r="D93" s="9">
        <v>45432</v>
      </c>
      <c r="E93" s="13" t="str">
        <f>+HYPERLINK("http://trademark.i-assist.jp/data/china/image_1888th/72340207.pdf","72340207")</f>
        <v>72340207</v>
      </c>
      <c r="F93" s="7" t="s">
        <v>293</v>
      </c>
      <c r="G93" s="7" t="s">
        <v>294</v>
      </c>
      <c r="H93" s="7" t="s">
        <v>295</v>
      </c>
      <c r="I93" s="9">
        <v>45097</v>
      </c>
    </row>
    <row r="94" spans="1:9" ht="27" x14ac:dyDescent="0.15">
      <c r="A94" s="6">
        <v>93</v>
      </c>
      <c r="B94" s="7" t="s">
        <v>10</v>
      </c>
      <c r="C94" s="8">
        <v>1888</v>
      </c>
      <c r="D94" s="9">
        <v>45432</v>
      </c>
      <c r="E94" s="13" t="str">
        <f>+HYPERLINK("http://trademark.i-assist.jp/data/china/image_1888th/72397292.pdf","72397292")</f>
        <v>72397292</v>
      </c>
      <c r="F94" s="7" t="s">
        <v>296</v>
      </c>
      <c r="G94" s="7" t="s">
        <v>297</v>
      </c>
      <c r="H94" s="7" t="s">
        <v>298</v>
      </c>
      <c r="I94" s="9">
        <v>45099</v>
      </c>
    </row>
    <row r="95" spans="1:9" x14ac:dyDescent="0.15">
      <c r="A95" s="6">
        <v>94</v>
      </c>
      <c r="B95" s="7" t="s">
        <v>10</v>
      </c>
      <c r="C95" s="8">
        <v>1888</v>
      </c>
      <c r="D95" s="9">
        <v>45432</v>
      </c>
      <c r="E95" s="13" t="str">
        <f>+HYPERLINK("http://trademark.i-assist.jp/data/china/image_1888th/72403001.pdf","72403001")</f>
        <v>72403001</v>
      </c>
      <c r="F95" s="7" t="s">
        <v>299</v>
      </c>
      <c r="G95" s="7" t="s">
        <v>300</v>
      </c>
      <c r="H95" s="7" t="s">
        <v>301</v>
      </c>
      <c r="I95" s="9">
        <v>45101</v>
      </c>
    </row>
    <row r="96" spans="1:9" x14ac:dyDescent="0.15">
      <c r="A96" s="6">
        <v>95</v>
      </c>
      <c r="B96" s="7" t="s">
        <v>10</v>
      </c>
      <c r="C96" s="8">
        <v>1888</v>
      </c>
      <c r="D96" s="9">
        <v>45432</v>
      </c>
      <c r="E96" s="13" t="str">
        <f>+HYPERLINK("http://trademark.i-assist.jp/data/china/image_1888th/72406760.pdf","72406760")</f>
        <v>72406760</v>
      </c>
      <c r="F96" s="7" t="s">
        <v>302</v>
      </c>
      <c r="G96" s="7" t="s">
        <v>300</v>
      </c>
      <c r="H96" s="7" t="s">
        <v>303</v>
      </c>
      <c r="I96" s="9">
        <v>45102</v>
      </c>
    </row>
    <row r="97" spans="1:9" ht="27" x14ac:dyDescent="0.15">
      <c r="A97" s="6">
        <v>96</v>
      </c>
      <c r="B97" s="7" t="s">
        <v>10</v>
      </c>
      <c r="C97" s="8">
        <v>1888</v>
      </c>
      <c r="D97" s="9">
        <v>45432</v>
      </c>
      <c r="E97" s="13" t="str">
        <f>+HYPERLINK("http://trademark.i-assist.jp/data/china/image_1888th/72463561.pdf","72463561")</f>
        <v>72463561</v>
      </c>
      <c r="F97" s="7" t="s">
        <v>304</v>
      </c>
      <c r="G97" s="7" t="s">
        <v>305</v>
      </c>
      <c r="H97" s="7" t="s">
        <v>306</v>
      </c>
      <c r="I97" s="9">
        <v>45104</v>
      </c>
    </row>
    <row r="98" spans="1:9" x14ac:dyDescent="0.15">
      <c r="A98" s="6">
        <v>97</v>
      </c>
      <c r="B98" s="7" t="s">
        <v>10</v>
      </c>
      <c r="C98" s="8">
        <v>1888</v>
      </c>
      <c r="D98" s="9">
        <v>45432</v>
      </c>
      <c r="E98" s="13" t="str">
        <f>+HYPERLINK("http://trademark.i-assist.jp/data/china/image_1888th/72530664.pdf","72530664")</f>
        <v>72530664</v>
      </c>
      <c r="F98" s="7" t="s">
        <v>307</v>
      </c>
      <c r="G98" s="7" t="s">
        <v>308</v>
      </c>
      <c r="H98" s="7" t="s">
        <v>309</v>
      </c>
      <c r="I98" s="9">
        <v>45106</v>
      </c>
    </row>
    <row r="99" spans="1:9" ht="27" x14ac:dyDescent="0.15">
      <c r="A99" s="6">
        <v>98</v>
      </c>
      <c r="B99" s="7" t="s">
        <v>10</v>
      </c>
      <c r="C99" s="8">
        <v>1888</v>
      </c>
      <c r="D99" s="9">
        <v>45432</v>
      </c>
      <c r="E99" s="13" t="str">
        <f>+HYPERLINK("http://trademark.i-assist.jp/data/china/image_1888th/72535230.pdf","72535230")</f>
        <v>72535230</v>
      </c>
      <c r="F99" s="7" t="s">
        <v>310</v>
      </c>
      <c r="G99" s="7" t="s">
        <v>311</v>
      </c>
      <c r="H99" s="7" t="s">
        <v>312</v>
      </c>
      <c r="I99" s="9">
        <v>45106</v>
      </c>
    </row>
    <row r="100" spans="1:9" x14ac:dyDescent="0.15">
      <c r="A100" s="6">
        <v>99</v>
      </c>
      <c r="B100" s="7" t="s">
        <v>10</v>
      </c>
      <c r="C100" s="8">
        <v>1888</v>
      </c>
      <c r="D100" s="9">
        <v>45432</v>
      </c>
      <c r="E100" s="13" t="str">
        <f>+HYPERLINK("http://trademark.i-assist.jp/data/china/image_1888th/72735767.pdf","72735767")</f>
        <v>72735767</v>
      </c>
      <c r="F100" s="7" t="s">
        <v>313</v>
      </c>
      <c r="G100" s="7" t="s">
        <v>314</v>
      </c>
      <c r="H100" s="7" t="s">
        <v>315</v>
      </c>
      <c r="I100" s="9">
        <v>45117</v>
      </c>
    </row>
    <row r="101" spans="1:9" x14ac:dyDescent="0.15">
      <c r="A101" s="6">
        <v>100</v>
      </c>
      <c r="B101" s="7" t="s">
        <v>10</v>
      </c>
      <c r="C101" s="8">
        <v>1888</v>
      </c>
      <c r="D101" s="9">
        <v>45432</v>
      </c>
      <c r="E101" s="13" t="str">
        <f>+HYPERLINK("http://trademark.i-assist.jp/data/china/image_1888th/72808896.pdf","72808896")</f>
        <v>72808896</v>
      </c>
      <c r="F101" s="7" t="s">
        <v>316</v>
      </c>
      <c r="G101" s="7" t="s">
        <v>317</v>
      </c>
      <c r="H101" s="7" t="s">
        <v>318</v>
      </c>
      <c r="I101" s="9">
        <v>45120</v>
      </c>
    </row>
    <row r="102" spans="1:9" x14ac:dyDescent="0.15">
      <c r="A102" s="6">
        <v>101</v>
      </c>
      <c r="B102" s="7" t="s">
        <v>10</v>
      </c>
      <c r="C102" s="8">
        <v>1888</v>
      </c>
      <c r="D102" s="9">
        <v>45432</v>
      </c>
      <c r="E102" s="13" t="str">
        <f>+HYPERLINK("http://trademark.i-assist.jp/data/china/image_1888th/72835063.pdf","72835063")</f>
        <v>72835063</v>
      </c>
      <c r="F102" s="7" t="s">
        <v>319</v>
      </c>
      <c r="G102" s="7" t="s">
        <v>320</v>
      </c>
      <c r="H102" s="7" t="s">
        <v>321</v>
      </c>
      <c r="I102" s="9">
        <v>45121</v>
      </c>
    </row>
    <row r="103" spans="1:9" x14ac:dyDescent="0.15">
      <c r="A103" s="6">
        <v>102</v>
      </c>
      <c r="B103" s="7" t="s">
        <v>10</v>
      </c>
      <c r="C103" s="8">
        <v>1888</v>
      </c>
      <c r="D103" s="9">
        <v>45432</v>
      </c>
      <c r="E103" s="13" t="str">
        <f>+HYPERLINK("http://trademark.i-assist.jp/data/china/image_1888th/72924564.pdf","72924564")</f>
        <v>72924564</v>
      </c>
      <c r="F103" s="7" t="s">
        <v>322</v>
      </c>
      <c r="G103" s="7" t="s">
        <v>323</v>
      </c>
      <c r="H103" s="7" t="s">
        <v>324</v>
      </c>
      <c r="I103" s="9">
        <v>45126</v>
      </c>
    </row>
    <row r="104" spans="1:9" x14ac:dyDescent="0.15">
      <c r="A104" s="6">
        <v>103</v>
      </c>
      <c r="B104" s="7" t="s">
        <v>10</v>
      </c>
      <c r="C104" s="8">
        <v>1888</v>
      </c>
      <c r="D104" s="9">
        <v>45432</v>
      </c>
      <c r="E104" s="13" t="str">
        <f>+HYPERLINK("http://trademark.i-assist.jp/data/china/image_1888th/73152469.pdf","73152469")</f>
        <v>73152469</v>
      </c>
      <c r="F104" s="7" t="s">
        <v>325</v>
      </c>
      <c r="G104" s="7" t="s">
        <v>326</v>
      </c>
      <c r="H104" s="7" t="s">
        <v>327</v>
      </c>
      <c r="I104" s="9">
        <v>45135</v>
      </c>
    </row>
    <row r="105" spans="1:9" x14ac:dyDescent="0.15">
      <c r="A105" s="6">
        <v>104</v>
      </c>
      <c r="B105" s="7" t="s">
        <v>10</v>
      </c>
      <c r="C105" s="8">
        <v>1888</v>
      </c>
      <c r="D105" s="9">
        <v>45432</v>
      </c>
      <c r="E105" s="13" t="str">
        <f>+HYPERLINK("http://trademark.i-assist.jp/data/china/image_1888th/73161734.pdf","73161734")</f>
        <v>73161734</v>
      </c>
      <c r="F105" s="7" t="s">
        <v>328</v>
      </c>
      <c r="G105" s="7" t="s">
        <v>329</v>
      </c>
      <c r="H105" s="7" t="s">
        <v>330</v>
      </c>
      <c r="I105" s="9">
        <v>45137</v>
      </c>
    </row>
    <row r="106" spans="1:9" ht="27" x14ac:dyDescent="0.15">
      <c r="A106" s="6">
        <v>105</v>
      </c>
      <c r="B106" s="7" t="s">
        <v>10</v>
      </c>
      <c r="C106" s="8">
        <v>1888</v>
      </c>
      <c r="D106" s="9">
        <v>45432</v>
      </c>
      <c r="E106" s="13" t="str">
        <f>+HYPERLINK("http://trademark.i-assist.jp/data/china/image_1888th/73296868.pdf","73296868")</f>
        <v>73296868</v>
      </c>
      <c r="F106" s="7" t="s">
        <v>331</v>
      </c>
      <c r="G106" s="7" t="s">
        <v>332</v>
      </c>
      <c r="H106" s="7" t="s">
        <v>333</v>
      </c>
      <c r="I106" s="9">
        <v>45143</v>
      </c>
    </row>
    <row r="107" spans="1:9" x14ac:dyDescent="0.15">
      <c r="A107" s="6">
        <v>106</v>
      </c>
      <c r="B107" s="7" t="s">
        <v>10</v>
      </c>
      <c r="C107" s="8">
        <v>1888</v>
      </c>
      <c r="D107" s="9">
        <v>45432</v>
      </c>
      <c r="E107" s="13" t="str">
        <f>+HYPERLINK("http://trademark.i-assist.jp/data/china/image_1888th/73757117.pdf","73757117")</f>
        <v>73757117</v>
      </c>
      <c r="F107" s="7" t="s">
        <v>334</v>
      </c>
      <c r="G107" s="7" t="s">
        <v>335</v>
      </c>
      <c r="H107" s="7" t="s">
        <v>336</v>
      </c>
      <c r="I107" s="9">
        <v>45167</v>
      </c>
    </row>
    <row r="108" spans="1:9" x14ac:dyDescent="0.15">
      <c r="A108" s="6">
        <v>107</v>
      </c>
      <c r="B108" s="7" t="s">
        <v>10</v>
      </c>
      <c r="C108" s="8">
        <v>1888</v>
      </c>
      <c r="D108" s="9">
        <v>45432</v>
      </c>
      <c r="E108" s="13" t="str">
        <f>+HYPERLINK("http://trademark.i-assist.jp/data/china/image_1888th/74002228.pdf","74002228")</f>
        <v>74002228</v>
      </c>
      <c r="F108" s="7" t="s">
        <v>337</v>
      </c>
      <c r="G108" s="7" t="s">
        <v>338</v>
      </c>
      <c r="H108" s="7" t="s">
        <v>339</v>
      </c>
      <c r="I108" s="9">
        <v>45180</v>
      </c>
    </row>
    <row r="109" spans="1:9" x14ac:dyDescent="0.15">
      <c r="A109" s="6">
        <v>108</v>
      </c>
      <c r="B109" s="7" t="s">
        <v>10</v>
      </c>
      <c r="C109" s="8">
        <v>1888</v>
      </c>
      <c r="D109" s="9">
        <v>45432</v>
      </c>
      <c r="E109" s="13" t="str">
        <f>+HYPERLINK("http://trademark.i-assist.jp/data/china/image_1888th/74025152.pdf","74025152")</f>
        <v>74025152</v>
      </c>
      <c r="F109" s="7" t="s">
        <v>76</v>
      </c>
      <c r="G109" s="7" t="s">
        <v>338</v>
      </c>
      <c r="H109" s="7" t="s">
        <v>340</v>
      </c>
      <c r="I109" s="9">
        <v>45181</v>
      </c>
    </row>
    <row r="110" spans="1:9" ht="27" x14ac:dyDescent="0.15">
      <c r="A110" s="6">
        <v>109</v>
      </c>
      <c r="B110" s="7" t="s">
        <v>10</v>
      </c>
      <c r="C110" s="8">
        <v>1888</v>
      </c>
      <c r="D110" s="9">
        <v>45432</v>
      </c>
      <c r="E110" s="13" t="str">
        <f>+HYPERLINK("http://trademark.i-assist.jp/data/china/image_1888th/74117662.pdf","74117662")</f>
        <v>74117662</v>
      </c>
      <c r="F110" s="7" t="s">
        <v>341</v>
      </c>
      <c r="G110" s="7" t="s">
        <v>342</v>
      </c>
      <c r="H110" s="7" t="s">
        <v>343</v>
      </c>
      <c r="I110" s="9">
        <v>45184</v>
      </c>
    </row>
    <row r="111" spans="1:9" x14ac:dyDescent="0.15">
      <c r="A111" s="6">
        <v>110</v>
      </c>
      <c r="B111" s="7" t="s">
        <v>10</v>
      </c>
      <c r="C111" s="8">
        <v>1888</v>
      </c>
      <c r="D111" s="9">
        <v>45432</v>
      </c>
      <c r="E111" s="13" t="str">
        <f>+HYPERLINK("http://trademark.i-assist.jp/data/china/image_1888th/74173126.pdf","74173126")</f>
        <v>74173126</v>
      </c>
      <c r="F111" s="7" t="s">
        <v>344</v>
      </c>
      <c r="G111" s="7" t="s">
        <v>345</v>
      </c>
      <c r="H111" s="7" t="s">
        <v>346</v>
      </c>
      <c r="I111" s="9">
        <v>45188</v>
      </c>
    </row>
    <row r="112" spans="1:9" x14ac:dyDescent="0.15">
      <c r="A112" s="6">
        <v>111</v>
      </c>
      <c r="B112" s="7" t="s">
        <v>10</v>
      </c>
      <c r="C112" s="8">
        <v>1888</v>
      </c>
      <c r="D112" s="9">
        <v>45432</v>
      </c>
      <c r="E112" s="13" t="str">
        <f>+HYPERLINK("http://trademark.i-assist.jp/data/china/image_1888th/74188996.pdf","74188996")</f>
        <v>74188996</v>
      </c>
      <c r="F112" s="7" t="s">
        <v>347</v>
      </c>
      <c r="G112" s="7" t="s">
        <v>348</v>
      </c>
      <c r="H112" s="7" t="s">
        <v>349</v>
      </c>
      <c r="I112" s="9">
        <v>45189</v>
      </c>
    </row>
    <row r="113" spans="1:9" x14ac:dyDescent="0.15">
      <c r="A113" s="6">
        <v>112</v>
      </c>
      <c r="B113" s="7" t="s">
        <v>10</v>
      </c>
      <c r="C113" s="8">
        <v>1888</v>
      </c>
      <c r="D113" s="9">
        <v>45432</v>
      </c>
      <c r="E113" s="13" t="str">
        <f>+HYPERLINK("http://trademark.i-assist.jp/data/china/image_1888th/74365048.pdf","74365048")</f>
        <v>74365048</v>
      </c>
      <c r="F113" s="7" t="s">
        <v>350</v>
      </c>
      <c r="G113" s="7" t="s">
        <v>351</v>
      </c>
      <c r="H113" s="7" t="s">
        <v>352</v>
      </c>
      <c r="I113" s="9">
        <v>45197</v>
      </c>
    </row>
    <row r="114" spans="1:9" ht="27" x14ac:dyDescent="0.15">
      <c r="A114" s="6">
        <v>113</v>
      </c>
      <c r="B114" s="7" t="s">
        <v>10</v>
      </c>
      <c r="C114" s="8">
        <v>1888</v>
      </c>
      <c r="D114" s="9">
        <v>45432</v>
      </c>
      <c r="E114" s="13" t="str">
        <f>+HYPERLINK("http://trademark.i-assist.jp/data/china/image_1888th/74554955.pdf","74554955")</f>
        <v>74554955</v>
      </c>
      <c r="F114" s="7" t="s">
        <v>353</v>
      </c>
      <c r="G114" s="7" t="s">
        <v>354</v>
      </c>
      <c r="H114" s="7" t="s">
        <v>355</v>
      </c>
      <c r="I114" s="9">
        <v>45212</v>
      </c>
    </row>
    <row r="115" spans="1:9" x14ac:dyDescent="0.15">
      <c r="A115" s="6">
        <v>114</v>
      </c>
      <c r="B115" s="7" t="s">
        <v>10</v>
      </c>
      <c r="C115" s="8">
        <v>1888</v>
      </c>
      <c r="D115" s="9">
        <v>45432</v>
      </c>
      <c r="E115" s="13" t="str">
        <f>+HYPERLINK("http://trademark.i-assist.jp/data/china/image_1888th/74670171.pdf","74670171")</f>
        <v>74670171</v>
      </c>
      <c r="F115" s="7" t="s">
        <v>356</v>
      </c>
      <c r="G115" s="7" t="s">
        <v>357</v>
      </c>
      <c r="H115" s="7" t="s">
        <v>358</v>
      </c>
      <c r="I115" s="9">
        <v>45218</v>
      </c>
    </row>
    <row r="116" spans="1:9" x14ac:dyDescent="0.15">
      <c r="A116" s="6">
        <v>115</v>
      </c>
      <c r="B116" s="7" t="s">
        <v>10</v>
      </c>
      <c r="C116" s="8">
        <v>1888</v>
      </c>
      <c r="D116" s="9">
        <v>45432</v>
      </c>
      <c r="E116" s="13" t="str">
        <f>+HYPERLINK("http://trademark.i-assist.jp/data/china/image_1888th/74751375.pdf","74751375")</f>
        <v>74751375</v>
      </c>
      <c r="F116" s="7" t="s">
        <v>359</v>
      </c>
      <c r="G116" s="7" t="s">
        <v>360</v>
      </c>
      <c r="H116" s="7" t="s">
        <v>361</v>
      </c>
      <c r="I116" s="9">
        <v>45223</v>
      </c>
    </row>
    <row r="117" spans="1:9" x14ac:dyDescent="0.15">
      <c r="A117" s="6">
        <v>116</v>
      </c>
      <c r="B117" s="7" t="s">
        <v>10</v>
      </c>
      <c r="C117" s="8">
        <v>1888</v>
      </c>
      <c r="D117" s="9">
        <v>45432</v>
      </c>
      <c r="E117" s="13" t="str">
        <f>+HYPERLINK("http://trademark.i-assist.jp/data/china/image_1888th/74817747.pdf","74817747")</f>
        <v>74817747</v>
      </c>
      <c r="F117" s="7" t="s">
        <v>362</v>
      </c>
      <c r="G117" s="7" t="s">
        <v>363</v>
      </c>
      <c r="H117" s="7" t="s">
        <v>364</v>
      </c>
      <c r="I117" s="9">
        <v>45226</v>
      </c>
    </row>
    <row r="118" spans="1:9" x14ac:dyDescent="0.15">
      <c r="A118" s="6">
        <v>117</v>
      </c>
      <c r="B118" s="7" t="s">
        <v>10</v>
      </c>
      <c r="C118" s="8">
        <v>1888</v>
      </c>
      <c r="D118" s="9">
        <v>45432</v>
      </c>
      <c r="E118" s="13" t="str">
        <f>+HYPERLINK("http://trademark.i-assist.jp/data/china/image_1888th/74847625.pdf","74847625")</f>
        <v>74847625</v>
      </c>
      <c r="F118" s="7" t="s">
        <v>356</v>
      </c>
      <c r="G118" s="7" t="s">
        <v>357</v>
      </c>
      <c r="H118" s="7" t="s">
        <v>365</v>
      </c>
      <c r="I118" s="9">
        <v>45229</v>
      </c>
    </row>
    <row r="119" spans="1:9" ht="27" x14ac:dyDescent="0.15">
      <c r="A119" s="6">
        <v>118</v>
      </c>
      <c r="B119" s="7" t="s">
        <v>10</v>
      </c>
      <c r="C119" s="8">
        <v>1888</v>
      </c>
      <c r="D119" s="9">
        <v>45432</v>
      </c>
      <c r="E119" s="13" t="str">
        <f>+HYPERLINK("http://trademark.i-assist.jp/data/china/image_1888th/74852496.pdf","74852496")</f>
        <v>74852496</v>
      </c>
      <c r="F119" s="7" t="s">
        <v>366</v>
      </c>
      <c r="G119" s="7" t="s">
        <v>367</v>
      </c>
      <c r="H119" s="7" t="s">
        <v>368</v>
      </c>
      <c r="I119" s="9">
        <v>45229</v>
      </c>
    </row>
    <row r="120" spans="1:9" x14ac:dyDescent="0.15">
      <c r="A120" s="6">
        <v>119</v>
      </c>
      <c r="B120" s="7" t="s">
        <v>10</v>
      </c>
      <c r="C120" s="8">
        <v>1888</v>
      </c>
      <c r="D120" s="9">
        <v>45432</v>
      </c>
      <c r="E120" s="13" t="str">
        <f>+HYPERLINK("http://trademark.i-assist.jp/data/china/image_1888th/75001873.pdf","75001873")</f>
        <v>75001873</v>
      </c>
      <c r="F120" s="7" t="s">
        <v>369</v>
      </c>
      <c r="G120" s="7" t="s">
        <v>370</v>
      </c>
      <c r="H120" s="7" t="s">
        <v>371</v>
      </c>
      <c r="I120" s="9">
        <v>45236</v>
      </c>
    </row>
    <row r="121" spans="1:9" ht="27" x14ac:dyDescent="0.15">
      <c r="A121" s="6">
        <v>120</v>
      </c>
      <c r="B121" s="7" t="s">
        <v>10</v>
      </c>
      <c r="C121" s="8">
        <v>1888</v>
      </c>
      <c r="D121" s="9">
        <v>45432</v>
      </c>
      <c r="E121" s="13" t="str">
        <f>+HYPERLINK("http://trademark.i-assist.jp/data/china/image_1888th/75048083.pdf","75048083")</f>
        <v>75048083</v>
      </c>
      <c r="F121" s="7" t="s">
        <v>372</v>
      </c>
      <c r="G121" s="7" t="s">
        <v>373</v>
      </c>
      <c r="H121" s="7" t="s">
        <v>374</v>
      </c>
      <c r="I121" s="9">
        <v>45238</v>
      </c>
    </row>
    <row r="122" spans="1:9" x14ac:dyDescent="0.15">
      <c r="A122" s="6">
        <v>121</v>
      </c>
      <c r="B122" s="7" t="s">
        <v>10</v>
      </c>
      <c r="C122" s="8">
        <v>1888</v>
      </c>
      <c r="D122" s="9">
        <v>45432</v>
      </c>
      <c r="E122" s="13" t="str">
        <f>+HYPERLINK("http://trademark.i-assist.jp/data/china/image_1888th/75060147.pdf","75060147")</f>
        <v>75060147</v>
      </c>
      <c r="F122" s="7" t="s">
        <v>375</v>
      </c>
      <c r="G122" s="7" t="s">
        <v>376</v>
      </c>
      <c r="H122" s="7" t="s">
        <v>377</v>
      </c>
      <c r="I122" s="9">
        <v>45238</v>
      </c>
    </row>
    <row r="123" spans="1:9" x14ac:dyDescent="0.15">
      <c r="A123" s="6">
        <v>122</v>
      </c>
      <c r="B123" s="7" t="s">
        <v>10</v>
      </c>
      <c r="C123" s="8">
        <v>1888</v>
      </c>
      <c r="D123" s="9">
        <v>45432</v>
      </c>
      <c r="E123" s="13" t="str">
        <f>+HYPERLINK("http://trademark.i-assist.jp/data/china/image_1888th/75069915.pdf","75069915")</f>
        <v>75069915</v>
      </c>
      <c r="F123" s="7" t="s">
        <v>378</v>
      </c>
      <c r="G123" s="7" t="s">
        <v>379</v>
      </c>
      <c r="H123" s="7" t="s">
        <v>380</v>
      </c>
      <c r="I123" s="9">
        <v>45239</v>
      </c>
    </row>
    <row r="124" spans="1:9" x14ac:dyDescent="0.15">
      <c r="A124" s="6">
        <v>123</v>
      </c>
      <c r="B124" s="7" t="s">
        <v>10</v>
      </c>
      <c r="C124" s="8">
        <v>1888</v>
      </c>
      <c r="D124" s="9">
        <v>45432</v>
      </c>
      <c r="E124" s="13" t="str">
        <f>+HYPERLINK("http://trademark.i-assist.jp/data/china/image_1888th/75081819.pdf","75081819")</f>
        <v>75081819</v>
      </c>
      <c r="F124" s="7" t="s">
        <v>381</v>
      </c>
      <c r="G124" s="7" t="s">
        <v>382</v>
      </c>
      <c r="H124" s="7" t="s">
        <v>383</v>
      </c>
      <c r="I124" s="9">
        <v>45239</v>
      </c>
    </row>
    <row r="125" spans="1:9" x14ac:dyDescent="0.15">
      <c r="A125" s="6">
        <v>124</v>
      </c>
      <c r="B125" s="7" t="s">
        <v>10</v>
      </c>
      <c r="C125" s="8">
        <v>1888</v>
      </c>
      <c r="D125" s="9">
        <v>45432</v>
      </c>
      <c r="E125" s="13" t="str">
        <f>+HYPERLINK("http://trademark.i-assist.jp/data/china/image_1888th/75116786.pdf","75116786")</f>
        <v>75116786</v>
      </c>
      <c r="F125" s="7" t="s">
        <v>384</v>
      </c>
      <c r="G125" s="7" t="s">
        <v>385</v>
      </c>
      <c r="H125" s="7" t="s">
        <v>386</v>
      </c>
      <c r="I125" s="9">
        <v>45240</v>
      </c>
    </row>
    <row r="126" spans="1:9" x14ac:dyDescent="0.15">
      <c r="A126" s="6">
        <v>125</v>
      </c>
      <c r="B126" s="7" t="s">
        <v>10</v>
      </c>
      <c r="C126" s="8">
        <v>1888</v>
      </c>
      <c r="D126" s="9">
        <v>45432</v>
      </c>
      <c r="E126" s="13" t="str">
        <f>+HYPERLINK("http://trademark.i-assist.jp/data/china/image_1888th/75117825.pdf","75117825")</f>
        <v>75117825</v>
      </c>
      <c r="F126" s="7" t="s">
        <v>387</v>
      </c>
      <c r="G126" s="7" t="s">
        <v>388</v>
      </c>
      <c r="H126" s="7" t="s">
        <v>389</v>
      </c>
      <c r="I126" s="9">
        <v>45240</v>
      </c>
    </row>
    <row r="127" spans="1:9" ht="27" x14ac:dyDescent="0.15">
      <c r="A127" s="6">
        <v>126</v>
      </c>
      <c r="B127" s="7" t="s">
        <v>10</v>
      </c>
      <c r="C127" s="8">
        <v>1888</v>
      </c>
      <c r="D127" s="9">
        <v>45432</v>
      </c>
      <c r="E127" s="13" t="str">
        <f>+HYPERLINK("http://trademark.i-assist.jp/data/china/image_1888th/75182949.pdf","75182949")</f>
        <v>75182949</v>
      </c>
      <c r="F127" s="7" t="s">
        <v>390</v>
      </c>
      <c r="G127" s="7" t="s">
        <v>391</v>
      </c>
      <c r="H127" s="7" t="s">
        <v>392</v>
      </c>
      <c r="I127" s="9">
        <v>45245</v>
      </c>
    </row>
    <row r="128" spans="1:9" x14ac:dyDescent="0.15">
      <c r="A128" s="6">
        <v>127</v>
      </c>
      <c r="B128" s="7" t="s">
        <v>10</v>
      </c>
      <c r="C128" s="8">
        <v>1888</v>
      </c>
      <c r="D128" s="9">
        <v>45432</v>
      </c>
      <c r="E128" s="13" t="str">
        <f>+HYPERLINK("http://trademark.i-assist.jp/data/china/image_1888th/75214498.pdf","75214498")</f>
        <v>75214498</v>
      </c>
      <c r="F128" s="7" t="s">
        <v>393</v>
      </c>
      <c r="G128" s="7" t="s">
        <v>394</v>
      </c>
      <c r="H128" s="7" t="s">
        <v>395</v>
      </c>
      <c r="I128" s="9">
        <v>45246</v>
      </c>
    </row>
    <row r="129" spans="1:9" x14ac:dyDescent="0.15">
      <c r="A129" s="6">
        <v>128</v>
      </c>
      <c r="B129" s="7" t="s">
        <v>10</v>
      </c>
      <c r="C129" s="8">
        <v>1888</v>
      </c>
      <c r="D129" s="9">
        <v>45432</v>
      </c>
      <c r="E129" s="13" t="str">
        <f>+HYPERLINK("http://trademark.i-assist.jp/data/china/image_1888th/75234636.pdf","75234636")</f>
        <v>75234636</v>
      </c>
      <c r="F129" s="7" t="s">
        <v>396</v>
      </c>
      <c r="G129" s="7" t="s">
        <v>397</v>
      </c>
      <c r="H129" s="7" t="s">
        <v>398</v>
      </c>
      <c r="I129" s="9">
        <v>45247</v>
      </c>
    </row>
    <row r="130" spans="1:9" ht="27" x14ac:dyDescent="0.15">
      <c r="A130" s="6">
        <v>129</v>
      </c>
      <c r="B130" s="7" t="s">
        <v>10</v>
      </c>
      <c r="C130" s="8">
        <v>1888</v>
      </c>
      <c r="D130" s="9">
        <v>45432</v>
      </c>
      <c r="E130" s="13" t="str">
        <f>+HYPERLINK("http://trademark.i-assist.jp/data/china/image_1888th/75263151.pdf","75263151")</f>
        <v>75263151</v>
      </c>
      <c r="F130" s="7" t="s">
        <v>399</v>
      </c>
      <c r="G130" s="7" t="s">
        <v>400</v>
      </c>
      <c r="H130" s="7" t="s">
        <v>401</v>
      </c>
      <c r="I130" s="9">
        <v>45248</v>
      </c>
    </row>
    <row r="131" spans="1:9" x14ac:dyDescent="0.15">
      <c r="A131" s="6">
        <v>130</v>
      </c>
      <c r="B131" s="7" t="s">
        <v>10</v>
      </c>
      <c r="C131" s="8">
        <v>1888</v>
      </c>
      <c r="D131" s="9">
        <v>45432</v>
      </c>
      <c r="E131" s="13" t="str">
        <f>+HYPERLINK("http://trademark.i-assist.jp/data/china/image_1888th/75269583.pdf","75269583")</f>
        <v>75269583</v>
      </c>
      <c r="F131" s="7" t="s">
        <v>402</v>
      </c>
      <c r="G131" s="7" t="s">
        <v>403</v>
      </c>
      <c r="H131" s="7" t="s">
        <v>404</v>
      </c>
      <c r="I131" s="9">
        <v>45250</v>
      </c>
    </row>
    <row r="132" spans="1:9" x14ac:dyDescent="0.15">
      <c r="A132" s="6">
        <v>131</v>
      </c>
      <c r="B132" s="7" t="s">
        <v>10</v>
      </c>
      <c r="C132" s="8">
        <v>1888</v>
      </c>
      <c r="D132" s="9">
        <v>45432</v>
      </c>
      <c r="E132" s="13" t="str">
        <f>+HYPERLINK("http://trademark.i-assist.jp/data/china/image_1888th/75280157.pdf","75280157")</f>
        <v>75280157</v>
      </c>
      <c r="F132" s="7" t="s">
        <v>402</v>
      </c>
      <c r="G132" s="7" t="s">
        <v>403</v>
      </c>
      <c r="H132" s="7" t="s">
        <v>405</v>
      </c>
      <c r="I132" s="9">
        <v>45250</v>
      </c>
    </row>
    <row r="133" spans="1:9" x14ac:dyDescent="0.15">
      <c r="A133" s="6">
        <v>132</v>
      </c>
      <c r="B133" s="7" t="s">
        <v>10</v>
      </c>
      <c r="C133" s="8">
        <v>1888</v>
      </c>
      <c r="D133" s="9">
        <v>45432</v>
      </c>
      <c r="E133" s="13" t="str">
        <f>+HYPERLINK("http://trademark.i-assist.jp/data/china/image_1888th/75289914.pdf","75289914")</f>
        <v>75289914</v>
      </c>
      <c r="F133" s="7" t="s">
        <v>402</v>
      </c>
      <c r="G133" s="7" t="s">
        <v>403</v>
      </c>
      <c r="H133" s="7" t="s">
        <v>406</v>
      </c>
      <c r="I133" s="9">
        <v>45250</v>
      </c>
    </row>
    <row r="134" spans="1:9" x14ac:dyDescent="0.15">
      <c r="A134" s="6">
        <v>133</v>
      </c>
      <c r="B134" s="7" t="s">
        <v>10</v>
      </c>
      <c r="C134" s="8">
        <v>1888</v>
      </c>
      <c r="D134" s="9">
        <v>45432</v>
      </c>
      <c r="E134" s="13" t="str">
        <f>+HYPERLINK("http://trademark.i-assist.jp/data/china/image_1888th/75302778.pdf","75302778")</f>
        <v>75302778</v>
      </c>
      <c r="F134" s="7" t="s">
        <v>407</v>
      </c>
      <c r="G134" s="7" t="s">
        <v>408</v>
      </c>
      <c r="H134" s="7" t="s">
        <v>409</v>
      </c>
      <c r="I134" s="9">
        <v>45251</v>
      </c>
    </row>
    <row r="135" spans="1:9" x14ac:dyDescent="0.15">
      <c r="A135" s="6">
        <v>134</v>
      </c>
      <c r="B135" s="7" t="s">
        <v>10</v>
      </c>
      <c r="C135" s="8">
        <v>1888</v>
      </c>
      <c r="D135" s="9">
        <v>45432</v>
      </c>
      <c r="E135" s="13" t="str">
        <f>+HYPERLINK("http://trademark.i-assist.jp/data/china/image_1888th/75305290.pdf","75305290")</f>
        <v>75305290</v>
      </c>
      <c r="F135" s="7" t="s">
        <v>410</v>
      </c>
      <c r="G135" s="7" t="s">
        <v>411</v>
      </c>
      <c r="H135" s="7" t="s">
        <v>412</v>
      </c>
      <c r="I135" s="9">
        <v>45251</v>
      </c>
    </row>
    <row r="136" spans="1:9" x14ac:dyDescent="0.15">
      <c r="A136" s="6">
        <v>135</v>
      </c>
      <c r="B136" s="7" t="s">
        <v>10</v>
      </c>
      <c r="C136" s="8">
        <v>1888</v>
      </c>
      <c r="D136" s="9">
        <v>45432</v>
      </c>
      <c r="E136" s="13" t="str">
        <f>+HYPERLINK("http://trademark.i-assist.jp/data/china/image_1888th/75333963.pdf","75333963")</f>
        <v>75333963</v>
      </c>
      <c r="F136" s="7" t="s">
        <v>413</v>
      </c>
      <c r="G136" s="7" t="s">
        <v>414</v>
      </c>
      <c r="H136" s="7" t="s">
        <v>415</v>
      </c>
      <c r="I136" s="9">
        <v>45252</v>
      </c>
    </row>
    <row r="137" spans="1:9" x14ac:dyDescent="0.15">
      <c r="A137" s="6">
        <v>136</v>
      </c>
      <c r="B137" s="7" t="s">
        <v>10</v>
      </c>
      <c r="C137" s="8">
        <v>1888</v>
      </c>
      <c r="D137" s="9">
        <v>45432</v>
      </c>
      <c r="E137" s="13" t="str">
        <f>+HYPERLINK("http://trademark.i-assist.jp/data/china/image_1888th/75386223.pdf","75386223")</f>
        <v>75386223</v>
      </c>
      <c r="F137" s="7" t="s">
        <v>76</v>
      </c>
      <c r="G137" s="7" t="s">
        <v>416</v>
      </c>
      <c r="H137" s="7" t="s">
        <v>417</v>
      </c>
      <c r="I137" s="9">
        <v>45254</v>
      </c>
    </row>
    <row r="138" spans="1:9" ht="27" x14ac:dyDescent="0.15">
      <c r="A138" s="6">
        <v>137</v>
      </c>
      <c r="B138" s="7" t="s">
        <v>10</v>
      </c>
      <c r="C138" s="8">
        <v>1888</v>
      </c>
      <c r="D138" s="9">
        <v>45432</v>
      </c>
      <c r="E138" s="13" t="str">
        <f>+HYPERLINK("http://trademark.i-assist.jp/data/china/image_1888th/75418412.pdf","75418412")</f>
        <v>75418412</v>
      </c>
      <c r="F138" s="7" t="s">
        <v>418</v>
      </c>
      <c r="G138" s="7" t="s">
        <v>419</v>
      </c>
      <c r="H138" s="7" t="s">
        <v>420</v>
      </c>
      <c r="I138" s="9">
        <v>45257</v>
      </c>
    </row>
    <row r="139" spans="1:9" x14ac:dyDescent="0.15">
      <c r="A139" s="6">
        <v>138</v>
      </c>
      <c r="B139" s="7" t="s">
        <v>10</v>
      </c>
      <c r="C139" s="8">
        <v>1888</v>
      </c>
      <c r="D139" s="9">
        <v>45432</v>
      </c>
      <c r="E139" s="13" t="str">
        <f>+HYPERLINK("http://trademark.i-assist.jp/data/china/image_1888th/75423660.pdf","75423660")</f>
        <v>75423660</v>
      </c>
      <c r="F139" s="7" t="s">
        <v>421</v>
      </c>
      <c r="G139" s="7" t="s">
        <v>422</v>
      </c>
      <c r="H139" s="7" t="s">
        <v>423</v>
      </c>
      <c r="I139" s="9">
        <v>45257</v>
      </c>
    </row>
    <row r="140" spans="1:9" x14ac:dyDescent="0.15">
      <c r="A140" s="6">
        <v>139</v>
      </c>
      <c r="B140" s="7" t="s">
        <v>10</v>
      </c>
      <c r="C140" s="8">
        <v>1888</v>
      </c>
      <c r="D140" s="9">
        <v>45432</v>
      </c>
      <c r="E140" s="13" t="str">
        <f>+HYPERLINK("http://trademark.i-assist.jp/data/china/image_1888th/75427121.pdf","75427121")</f>
        <v>75427121</v>
      </c>
      <c r="F140" s="7" t="s">
        <v>424</v>
      </c>
      <c r="G140" s="7" t="s">
        <v>422</v>
      </c>
      <c r="H140" s="7" t="s">
        <v>425</v>
      </c>
      <c r="I140" s="9">
        <v>45257</v>
      </c>
    </row>
    <row r="141" spans="1:9" x14ac:dyDescent="0.15">
      <c r="A141" s="6">
        <v>140</v>
      </c>
      <c r="B141" s="7" t="s">
        <v>10</v>
      </c>
      <c r="C141" s="8">
        <v>1888</v>
      </c>
      <c r="D141" s="9">
        <v>45432</v>
      </c>
      <c r="E141" s="13" t="str">
        <f>+HYPERLINK("http://trademark.i-assist.jp/data/china/image_1888th/75447252.pdf","75447252")</f>
        <v>75447252</v>
      </c>
      <c r="F141" s="7" t="s">
        <v>76</v>
      </c>
      <c r="G141" s="7" t="s">
        <v>426</v>
      </c>
      <c r="H141" s="7" t="s">
        <v>427</v>
      </c>
      <c r="I141" s="9">
        <v>45258</v>
      </c>
    </row>
    <row r="142" spans="1:9" x14ac:dyDescent="0.15">
      <c r="A142" s="6">
        <v>141</v>
      </c>
      <c r="B142" s="7" t="s">
        <v>10</v>
      </c>
      <c r="C142" s="8">
        <v>1888</v>
      </c>
      <c r="D142" s="9">
        <v>45432</v>
      </c>
      <c r="E142" s="13" t="str">
        <f>+HYPERLINK("http://trademark.i-assist.jp/data/china/image_1888th/75453578.pdf","75453578")</f>
        <v>75453578</v>
      </c>
      <c r="F142" s="7" t="s">
        <v>428</v>
      </c>
      <c r="G142" s="7" t="s">
        <v>429</v>
      </c>
      <c r="H142" s="7" t="s">
        <v>430</v>
      </c>
      <c r="I142" s="9">
        <v>45258</v>
      </c>
    </row>
    <row r="143" spans="1:9" x14ac:dyDescent="0.15">
      <c r="A143" s="6">
        <v>142</v>
      </c>
      <c r="B143" s="7" t="s">
        <v>10</v>
      </c>
      <c r="C143" s="8">
        <v>1888</v>
      </c>
      <c r="D143" s="9">
        <v>45432</v>
      </c>
      <c r="E143" s="13" t="str">
        <f>+HYPERLINK("http://trademark.i-assist.jp/data/china/image_1888th/75456856.pdf","75456856")</f>
        <v>75456856</v>
      </c>
      <c r="F143" s="7" t="s">
        <v>431</v>
      </c>
      <c r="G143" s="7" t="s">
        <v>432</v>
      </c>
      <c r="H143" s="7" t="s">
        <v>433</v>
      </c>
      <c r="I143" s="9">
        <v>45258</v>
      </c>
    </row>
    <row r="144" spans="1:9" x14ac:dyDescent="0.15">
      <c r="A144" s="6">
        <v>143</v>
      </c>
      <c r="B144" s="7" t="s">
        <v>10</v>
      </c>
      <c r="C144" s="8">
        <v>1888</v>
      </c>
      <c r="D144" s="9">
        <v>45432</v>
      </c>
      <c r="E144" s="13" t="str">
        <f>+HYPERLINK("http://trademark.i-assist.jp/data/china/image_1888th/75472624.pdf","75472624")</f>
        <v>75472624</v>
      </c>
      <c r="F144" s="7" t="s">
        <v>434</v>
      </c>
      <c r="G144" s="7" t="s">
        <v>435</v>
      </c>
      <c r="H144" s="7" t="s">
        <v>436</v>
      </c>
      <c r="I144" s="9">
        <v>45259</v>
      </c>
    </row>
    <row r="145" spans="1:9" x14ac:dyDescent="0.15">
      <c r="A145" s="6">
        <v>144</v>
      </c>
      <c r="B145" s="7" t="s">
        <v>10</v>
      </c>
      <c r="C145" s="8">
        <v>1888</v>
      </c>
      <c r="D145" s="9">
        <v>45432</v>
      </c>
      <c r="E145" s="13" t="str">
        <f>+HYPERLINK("http://trademark.i-assist.jp/data/china/image_1888th/75478099.pdf","75478099")</f>
        <v>75478099</v>
      </c>
      <c r="F145" s="7" t="s">
        <v>437</v>
      </c>
      <c r="G145" s="7" t="s">
        <v>435</v>
      </c>
      <c r="H145" s="7" t="s">
        <v>438</v>
      </c>
      <c r="I145" s="9">
        <v>45259</v>
      </c>
    </row>
    <row r="146" spans="1:9" x14ac:dyDescent="0.15">
      <c r="A146" s="6">
        <v>145</v>
      </c>
      <c r="B146" s="7" t="s">
        <v>10</v>
      </c>
      <c r="C146" s="8">
        <v>1888</v>
      </c>
      <c r="D146" s="9">
        <v>45432</v>
      </c>
      <c r="E146" s="13" t="str">
        <f>+HYPERLINK("http://trademark.i-assist.jp/data/china/image_1888th/75479442.pdf","75479442")</f>
        <v>75479442</v>
      </c>
      <c r="F146" s="7" t="s">
        <v>439</v>
      </c>
      <c r="G146" s="7" t="s">
        <v>440</v>
      </c>
      <c r="H146" s="7" t="s">
        <v>441</v>
      </c>
      <c r="I146" s="9">
        <v>45259</v>
      </c>
    </row>
    <row r="147" spans="1:9" x14ac:dyDescent="0.15">
      <c r="A147" s="6">
        <v>146</v>
      </c>
      <c r="B147" s="7" t="s">
        <v>10</v>
      </c>
      <c r="C147" s="8">
        <v>1888</v>
      </c>
      <c r="D147" s="9">
        <v>45432</v>
      </c>
      <c r="E147" s="13" t="str">
        <f>+HYPERLINK("http://trademark.i-assist.jp/data/china/image_1888th/75481925.pdf","75481925")</f>
        <v>75481925</v>
      </c>
      <c r="F147" s="7" t="s">
        <v>442</v>
      </c>
      <c r="G147" s="7" t="s">
        <v>443</v>
      </c>
      <c r="H147" s="7" t="s">
        <v>444</v>
      </c>
      <c r="I147" s="9">
        <v>45259</v>
      </c>
    </row>
    <row r="148" spans="1:9" x14ac:dyDescent="0.15">
      <c r="A148" s="6">
        <v>147</v>
      </c>
      <c r="B148" s="7" t="s">
        <v>10</v>
      </c>
      <c r="C148" s="8">
        <v>1888</v>
      </c>
      <c r="D148" s="9">
        <v>45432</v>
      </c>
      <c r="E148" s="13" t="str">
        <f>+HYPERLINK("http://trademark.i-assist.jp/data/china/image_1888th/75504378.pdf","75504378")</f>
        <v>75504378</v>
      </c>
      <c r="F148" s="7" t="s">
        <v>445</v>
      </c>
      <c r="G148" s="7" t="s">
        <v>446</v>
      </c>
      <c r="H148" s="7" t="s">
        <v>447</v>
      </c>
      <c r="I148" s="9">
        <v>45260</v>
      </c>
    </row>
    <row r="149" spans="1:9" x14ac:dyDescent="0.15">
      <c r="A149" s="6">
        <v>148</v>
      </c>
      <c r="B149" s="7" t="s">
        <v>10</v>
      </c>
      <c r="C149" s="8">
        <v>1888</v>
      </c>
      <c r="D149" s="9">
        <v>45432</v>
      </c>
      <c r="E149" s="13" t="str">
        <f>+HYPERLINK("http://trademark.i-assist.jp/data/china/image_1888th/75530201.pdf","75530201")</f>
        <v>75530201</v>
      </c>
      <c r="F149" s="7" t="s">
        <v>448</v>
      </c>
      <c r="G149" s="7" t="s">
        <v>449</v>
      </c>
      <c r="H149" s="7" t="s">
        <v>450</v>
      </c>
      <c r="I149" s="9">
        <v>45261</v>
      </c>
    </row>
    <row r="150" spans="1:9" ht="27" x14ac:dyDescent="0.15">
      <c r="A150" s="6">
        <v>149</v>
      </c>
      <c r="B150" s="7" t="s">
        <v>10</v>
      </c>
      <c r="C150" s="8">
        <v>1888</v>
      </c>
      <c r="D150" s="9">
        <v>45432</v>
      </c>
      <c r="E150" s="13" t="str">
        <f>+HYPERLINK("http://trademark.i-assist.jp/data/china/image_1888th/75534308.pdf","75534308")</f>
        <v>75534308</v>
      </c>
      <c r="F150" s="7" t="s">
        <v>451</v>
      </c>
      <c r="G150" s="7" t="s">
        <v>452</v>
      </c>
      <c r="H150" s="7" t="s">
        <v>453</v>
      </c>
      <c r="I150" s="9">
        <v>45261</v>
      </c>
    </row>
    <row r="151" spans="1:9" ht="27" x14ac:dyDescent="0.15">
      <c r="A151" s="6">
        <v>150</v>
      </c>
      <c r="B151" s="7" t="s">
        <v>10</v>
      </c>
      <c r="C151" s="8">
        <v>1888</v>
      </c>
      <c r="D151" s="9">
        <v>45432</v>
      </c>
      <c r="E151" s="13" t="str">
        <f>+HYPERLINK("http://trademark.i-assist.jp/data/china/image_1888th/75536152.pdf","75536152")</f>
        <v>75536152</v>
      </c>
      <c r="F151" s="7" t="s">
        <v>454</v>
      </c>
      <c r="G151" s="7" t="s">
        <v>455</v>
      </c>
      <c r="H151" s="7" t="s">
        <v>456</v>
      </c>
      <c r="I151" s="9">
        <v>45261</v>
      </c>
    </row>
    <row r="152" spans="1:9" x14ac:dyDescent="0.15">
      <c r="A152" s="6">
        <v>151</v>
      </c>
      <c r="B152" s="7" t="s">
        <v>10</v>
      </c>
      <c r="C152" s="8">
        <v>1888</v>
      </c>
      <c r="D152" s="9">
        <v>45432</v>
      </c>
      <c r="E152" s="13" t="str">
        <f>+HYPERLINK("http://trademark.i-assist.jp/data/china/image_1888th/75538617.pdf","75538617")</f>
        <v>75538617</v>
      </c>
      <c r="F152" s="7" t="s">
        <v>457</v>
      </c>
      <c r="G152" s="7" t="s">
        <v>458</v>
      </c>
      <c r="H152" s="7" t="s">
        <v>459</v>
      </c>
      <c r="I152" s="9">
        <v>45261</v>
      </c>
    </row>
    <row r="153" spans="1:9" x14ac:dyDescent="0.15">
      <c r="A153" s="6">
        <v>152</v>
      </c>
      <c r="B153" s="7" t="s">
        <v>10</v>
      </c>
      <c r="C153" s="8">
        <v>1888</v>
      </c>
      <c r="D153" s="9">
        <v>45432</v>
      </c>
      <c r="E153" s="13" t="str">
        <f>+HYPERLINK("http://trademark.i-assist.jp/data/china/image_1888th/75546662.pdf","75546662")</f>
        <v>75546662</v>
      </c>
      <c r="F153" s="7" t="s">
        <v>460</v>
      </c>
      <c r="G153" s="7" t="s">
        <v>458</v>
      </c>
      <c r="H153" s="7" t="s">
        <v>461</v>
      </c>
      <c r="I153" s="9">
        <v>45261</v>
      </c>
    </row>
    <row r="154" spans="1:9" x14ac:dyDescent="0.15">
      <c r="A154" s="6">
        <v>153</v>
      </c>
      <c r="B154" s="7" t="s">
        <v>10</v>
      </c>
      <c r="C154" s="8">
        <v>1888</v>
      </c>
      <c r="D154" s="9">
        <v>45432</v>
      </c>
      <c r="E154" s="13" t="str">
        <f>+HYPERLINK("http://trademark.i-assist.jp/data/china/image_1888th/75549238.pdf","75549238")</f>
        <v>75549238</v>
      </c>
      <c r="F154" s="7" t="s">
        <v>462</v>
      </c>
      <c r="G154" s="7" t="s">
        <v>458</v>
      </c>
      <c r="H154" s="7" t="s">
        <v>463</v>
      </c>
      <c r="I154" s="9">
        <v>45261</v>
      </c>
    </row>
    <row r="155" spans="1:9" x14ac:dyDescent="0.15">
      <c r="A155" s="6">
        <v>154</v>
      </c>
      <c r="B155" s="7" t="s">
        <v>10</v>
      </c>
      <c r="C155" s="8">
        <v>1888</v>
      </c>
      <c r="D155" s="9">
        <v>45432</v>
      </c>
      <c r="E155" s="13" t="str">
        <f>+HYPERLINK("http://trademark.i-assist.jp/data/china/image_1888th/75578859.pdf","75578859")</f>
        <v>75578859</v>
      </c>
      <c r="F155" s="7" t="s">
        <v>76</v>
      </c>
      <c r="G155" s="7" t="s">
        <v>464</v>
      </c>
      <c r="H155" s="7" t="s">
        <v>465</v>
      </c>
      <c r="I155" s="9">
        <v>45264</v>
      </c>
    </row>
    <row r="156" spans="1:9" x14ac:dyDescent="0.15">
      <c r="A156" s="6">
        <v>155</v>
      </c>
      <c r="B156" s="7" t="s">
        <v>10</v>
      </c>
      <c r="C156" s="8">
        <v>1888</v>
      </c>
      <c r="D156" s="9">
        <v>45432</v>
      </c>
      <c r="E156" s="13" t="str">
        <f>+HYPERLINK("http://trademark.i-assist.jp/data/china/image_1888th/75580450.pdf","75580450")</f>
        <v>75580450</v>
      </c>
      <c r="F156" s="7" t="s">
        <v>466</v>
      </c>
      <c r="G156" s="7" t="s">
        <v>467</v>
      </c>
      <c r="H156" s="7" t="s">
        <v>468</v>
      </c>
      <c r="I156" s="9">
        <v>45264</v>
      </c>
    </row>
    <row r="157" spans="1:9" x14ac:dyDescent="0.15">
      <c r="A157" s="6">
        <v>156</v>
      </c>
      <c r="B157" s="7" t="s">
        <v>10</v>
      </c>
      <c r="C157" s="8">
        <v>1888</v>
      </c>
      <c r="D157" s="9">
        <v>45432</v>
      </c>
      <c r="E157" s="13" t="str">
        <f>+HYPERLINK("http://trademark.i-assist.jp/data/china/image_1888th/75585690.pdf","75585690")</f>
        <v>75585690</v>
      </c>
      <c r="F157" s="7" t="s">
        <v>469</v>
      </c>
      <c r="G157" s="7" t="s">
        <v>470</v>
      </c>
      <c r="H157" s="7" t="s">
        <v>471</v>
      </c>
      <c r="I157" s="9">
        <v>45265</v>
      </c>
    </row>
    <row r="158" spans="1:9" x14ac:dyDescent="0.15">
      <c r="A158" s="6">
        <v>157</v>
      </c>
      <c r="B158" s="7" t="s">
        <v>10</v>
      </c>
      <c r="C158" s="8">
        <v>1888</v>
      </c>
      <c r="D158" s="9">
        <v>45432</v>
      </c>
      <c r="E158" s="13" t="str">
        <f>+HYPERLINK("http://trademark.i-assist.jp/data/china/image_1888th/75596848.pdf","75596848")</f>
        <v>75596848</v>
      </c>
      <c r="F158" s="7" t="s">
        <v>472</v>
      </c>
      <c r="G158" s="7" t="s">
        <v>473</v>
      </c>
      <c r="H158" s="7" t="s">
        <v>474</v>
      </c>
      <c r="I158" s="9">
        <v>45265</v>
      </c>
    </row>
    <row r="159" spans="1:9" x14ac:dyDescent="0.15">
      <c r="A159" s="6">
        <v>158</v>
      </c>
      <c r="B159" s="7" t="s">
        <v>10</v>
      </c>
      <c r="C159" s="8">
        <v>1888</v>
      </c>
      <c r="D159" s="9">
        <v>45432</v>
      </c>
      <c r="E159" s="13" t="str">
        <f>+HYPERLINK("http://trademark.i-assist.jp/data/china/image_1888th/75619778.pdf","75619778")</f>
        <v>75619778</v>
      </c>
      <c r="F159" s="7" t="s">
        <v>475</v>
      </c>
      <c r="G159" s="7" t="s">
        <v>476</v>
      </c>
      <c r="H159" s="7" t="s">
        <v>477</v>
      </c>
      <c r="I159" s="9">
        <v>45266</v>
      </c>
    </row>
    <row r="160" spans="1:9" x14ac:dyDescent="0.15">
      <c r="A160" s="6">
        <v>159</v>
      </c>
      <c r="B160" s="7" t="s">
        <v>10</v>
      </c>
      <c r="C160" s="8">
        <v>1888</v>
      </c>
      <c r="D160" s="9">
        <v>45432</v>
      </c>
      <c r="E160" s="13" t="str">
        <f>+HYPERLINK("http://trademark.i-assist.jp/data/china/image_1888th/75625890.pdf","75625890")</f>
        <v>75625890</v>
      </c>
      <c r="F160" s="7" t="s">
        <v>478</v>
      </c>
      <c r="G160" s="7" t="s">
        <v>479</v>
      </c>
      <c r="H160" s="7" t="s">
        <v>480</v>
      </c>
      <c r="I160" s="9">
        <v>45266</v>
      </c>
    </row>
    <row r="161" spans="1:9" x14ac:dyDescent="0.15">
      <c r="A161" s="6">
        <v>160</v>
      </c>
      <c r="B161" s="7" t="s">
        <v>10</v>
      </c>
      <c r="C161" s="8">
        <v>1888</v>
      </c>
      <c r="D161" s="9">
        <v>45432</v>
      </c>
      <c r="E161" s="13" t="str">
        <f>+HYPERLINK("http://trademark.i-assist.jp/data/china/image_1888th/75629736.pdf","75629736")</f>
        <v>75629736</v>
      </c>
      <c r="F161" s="7" t="s">
        <v>76</v>
      </c>
      <c r="G161" s="7" t="s">
        <v>408</v>
      </c>
      <c r="H161" s="7" t="s">
        <v>481</v>
      </c>
      <c r="I161" s="9">
        <v>45266</v>
      </c>
    </row>
    <row r="162" spans="1:9" x14ac:dyDescent="0.15">
      <c r="A162" s="6">
        <v>161</v>
      </c>
      <c r="B162" s="7" t="s">
        <v>10</v>
      </c>
      <c r="C162" s="8">
        <v>1888</v>
      </c>
      <c r="D162" s="9">
        <v>45432</v>
      </c>
      <c r="E162" s="13" t="str">
        <f>+HYPERLINK("http://trademark.i-assist.jp/data/china/image_1888th/75630009.pdf","75630009")</f>
        <v>75630009</v>
      </c>
      <c r="F162" s="7" t="s">
        <v>482</v>
      </c>
      <c r="G162" s="7" t="s">
        <v>483</v>
      </c>
      <c r="H162" s="7" t="s">
        <v>484</v>
      </c>
      <c r="I162" s="9">
        <v>45266</v>
      </c>
    </row>
    <row r="163" spans="1:9" ht="27" x14ac:dyDescent="0.15">
      <c r="A163" s="6">
        <v>162</v>
      </c>
      <c r="B163" s="7" t="s">
        <v>10</v>
      </c>
      <c r="C163" s="8">
        <v>1888</v>
      </c>
      <c r="D163" s="9">
        <v>45432</v>
      </c>
      <c r="E163" s="13" t="str">
        <f>+HYPERLINK("http://trademark.i-assist.jp/data/china/image_1888th/75634306.pdf","75634306")</f>
        <v>75634306</v>
      </c>
      <c r="F163" s="7" t="s">
        <v>485</v>
      </c>
      <c r="G163" s="7" t="s">
        <v>486</v>
      </c>
      <c r="H163" s="7" t="s">
        <v>487</v>
      </c>
      <c r="I163" s="9">
        <v>45266</v>
      </c>
    </row>
    <row r="164" spans="1:9" ht="27" x14ac:dyDescent="0.15">
      <c r="A164" s="6">
        <v>163</v>
      </c>
      <c r="B164" s="7" t="s">
        <v>10</v>
      </c>
      <c r="C164" s="8">
        <v>1888</v>
      </c>
      <c r="D164" s="9">
        <v>45432</v>
      </c>
      <c r="E164" s="13" t="str">
        <f>+HYPERLINK("http://trademark.i-assist.jp/data/china/image_1888th/75649112.pdf","75649112")</f>
        <v>75649112</v>
      </c>
      <c r="F164" s="7" t="s">
        <v>488</v>
      </c>
      <c r="G164" s="7" t="s">
        <v>489</v>
      </c>
      <c r="H164" s="7" t="s">
        <v>490</v>
      </c>
      <c r="I164" s="9">
        <v>45267</v>
      </c>
    </row>
    <row r="165" spans="1:9" ht="27" x14ac:dyDescent="0.15">
      <c r="A165" s="6">
        <v>164</v>
      </c>
      <c r="B165" s="7" t="s">
        <v>10</v>
      </c>
      <c r="C165" s="8">
        <v>1888</v>
      </c>
      <c r="D165" s="9">
        <v>45432</v>
      </c>
      <c r="E165" s="13" t="str">
        <f>+HYPERLINK("http://trademark.i-assist.jp/data/china/image_1888th/75655178.pdf","75655178")</f>
        <v>75655178</v>
      </c>
      <c r="F165" s="7" t="s">
        <v>491</v>
      </c>
      <c r="G165" s="7" t="s">
        <v>492</v>
      </c>
      <c r="H165" s="7" t="s">
        <v>493</v>
      </c>
      <c r="I165" s="9">
        <v>45267</v>
      </c>
    </row>
    <row r="166" spans="1:9" x14ac:dyDescent="0.15">
      <c r="A166" s="6">
        <v>165</v>
      </c>
      <c r="B166" s="7" t="s">
        <v>10</v>
      </c>
      <c r="C166" s="8">
        <v>1888</v>
      </c>
      <c r="D166" s="9">
        <v>45432</v>
      </c>
      <c r="E166" s="13" t="str">
        <f>+HYPERLINK("http://trademark.i-assist.jp/data/china/image_1888th/75656056.pdf","75656056")</f>
        <v>75656056</v>
      </c>
      <c r="F166" s="7" t="s">
        <v>494</v>
      </c>
      <c r="G166" s="7" t="s">
        <v>495</v>
      </c>
      <c r="H166" s="7" t="s">
        <v>496</v>
      </c>
      <c r="I166" s="9">
        <v>45267</v>
      </c>
    </row>
    <row r="167" spans="1:9" x14ac:dyDescent="0.15">
      <c r="A167" s="6">
        <v>166</v>
      </c>
      <c r="B167" s="7" t="s">
        <v>10</v>
      </c>
      <c r="C167" s="8">
        <v>1888</v>
      </c>
      <c r="D167" s="9">
        <v>45432</v>
      </c>
      <c r="E167" s="13" t="str">
        <f>+HYPERLINK("http://trademark.i-assist.jp/data/china/image_1888th/75661177.pdf","75661177")</f>
        <v>75661177</v>
      </c>
      <c r="F167" s="7" t="s">
        <v>362</v>
      </c>
      <c r="G167" s="7" t="s">
        <v>497</v>
      </c>
      <c r="H167" s="7" t="s">
        <v>498</v>
      </c>
      <c r="I167" s="9">
        <v>45267</v>
      </c>
    </row>
    <row r="168" spans="1:9" x14ac:dyDescent="0.15">
      <c r="A168" s="6">
        <v>167</v>
      </c>
      <c r="B168" s="7" t="s">
        <v>10</v>
      </c>
      <c r="C168" s="8">
        <v>1888</v>
      </c>
      <c r="D168" s="9">
        <v>45432</v>
      </c>
      <c r="E168" s="13" t="str">
        <f>+HYPERLINK("http://trademark.i-assist.jp/data/china/image_1888th/75677414.pdf","75677414")</f>
        <v>75677414</v>
      </c>
      <c r="F168" s="7" t="s">
        <v>499</v>
      </c>
      <c r="G168" s="7" t="s">
        <v>500</v>
      </c>
      <c r="H168" s="7" t="s">
        <v>501</v>
      </c>
      <c r="I168" s="9">
        <v>45268</v>
      </c>
    </row>
    <row r="169" spans="1:9" x14ac:dyDescent="0.15">
      <c r="A169" s="6">
        <v>168</v>
      </c>
      <c r="B169" s="7" t="s">
        <v>10</v>
      </c>
      <c r="C169" s="8">
        <v>1888</v>
      </c>
      <c r="D169" s="9">
        <v>45432</v>
      </c>
      <c r="E169" s="13" t="str">
        <f>+HYPERLINK("http://trademark.i-assist.jp/data/china/image_1888th/75699573.pdf","75699573")</f>
        <v>75699573</v>
      </c>
      <c r="F169" s="7" t="s">
        <v>502</v>
      </c>
      <c r="G169" s="7" t="s">
        <v>503</v>
      </c>
      <c r="H169" s="7" t="s">
        <v>504</v>
      </c>
      <c r="I169" s="9">
        <v>45270</v>
      </c>
    </row>
    <row r="170" spans="1:9" x14ac:dyDescent="0.15">
      <c r="A170" s="6">
        <v>169</v>
      </c>
      <c r="B170" s="7" t="s">
        <v>10</v>
      </c>
      <c r="C170" s="8">
        <v>1888</v>
      </c>
      <c r="D170" s="9">
        <v>45432</v>
      </c>
      <c r="E170" s="13" t="str">
        <f>+HYPERLINK("http://trademark.i-assist.jp/data/china/image_1888th/75705473.pdf","75705473")</f>
        <v>75705473</v>
      </c>
      <c r="F170" s="7" t="s">
        <v>505</v>
      </c>
      <c r="G170" s="7" t="s">
        <v>360</v>
      </c>
      <c r="H170" s="7" t="s">
        <v>506</v>
      </c>
      <c r="I170" s="9">
        <v>45271</v>
      </c>
    </row>
    <row r="171" spans="1:9" x14ac:dyDescent="0.15">
      <c r="A171" s="6">
        <v>170</v>
      </c>
      <c r="B171" s="7" t="s">
        <v>10</v>
      </c>
      <c r="C171" s="8">
        <v>1888</v>
      </c>
      <c r="D171" s="9">
        <v>45432</v>
      </c>
      <c r="E171" s="13" t="str">
        <f>+HYPERLINK("http://trademark.i-assist.jp/data/china/image_1888th/75708879.pdf","75708879")</f>
        <v>75708879</v>
      </c>
      <c r="F171" s="7" t="s">
        <v>507</v>
      </c>
      <c r="G171" s="7" t="s">
        <v>508</v>
      </c>
      <c r="H171" s="7" t="s">
        <v>509</v>
      </c>
      <c r="I171" s="9">
        <v>45271</v>
      </c>
    </row>
    <row r="172" spans="1:9" x14ac:dyDescent="0.15">
      <c r="A172" s="6">
        <v>171</v>
      </c>
      <c r="B172" s="7" t="s">
        <v>10</v>
      </c>
      <c r="C172" s="8">
        <v>1888</v>
      </c>
      <c r="D172" s="9">
        <v>45432</v>
      </c>
      <c r="E172" s="13" t="str">
        <f>+HYPERLINK("http://trademark.i-assist.jp/data/china/image_1888th/75719347.pdf","75719347")</f>
        <v>75719347</v>
      </c>
      <c r="F172" s="7" t="s">
        <v>510</v>
      </c>
      <c r="G172" s="7" t="s">
        <v>511</v>
      </c>
      <c r="H172" s="7" t="s">
        <v>512</v>
      </c>
      <c r="I172" s="9">
        <v>45271</v>
      </c>
    </row>
    <row r="173" spans="1:9" x14ac:dyDescent="0.15">
      <c r="A173" s="6">
        <v>172</v>
      </c>
      <c r="B173" s="7" t="s">
        <v>10</v>
      </c>
      <c r="C173" s="8">
        <v>1888</v>
      </c>
      <c r="D173" s="9">
        <v>45432</v>
      </c>
      <c r="E173" s="13" t="str">
        <f>+HYPERLINK("http://trademark.i-assist.jp/data/china/image_1888th/75721113.pdf","75721113")</f>
        <v>75721113</v>
      </c>
      <c r="F173" s="7" t="s">
        <v>513</v>
      </c>
      <c r="G173" s="7" t="s">
        <v>514</v>
      </c>
      <c r="H173" s="7" t="s">
        <v>515</v>
      </c>
      <c r="I173" s="9">
        <v>45271</v>
      </c>
    </row>
    <row r="174" spans="1:9" x14ac:dyDescent="0.15">
      <c r="A174" s="6">
        <v>173</v>
      </c>
      <c r="B174" s="7" t="s">
        <v>10</v>
      </c>
      <c r="C174" s="8">
        <v>1888</v>
      </c>
      <c r="D174" s="9">
        <v>45432</v>
      </c>
      <c r="E174" s="13" t="str">
        <f>+HYPERLINK("http://trademark.i-assist.jp/data/china/image_1888th/75751334.pdf","75751334")</f>
        <v>75751334</v>
      </c>
      <c r="F174" s="7" t="s">
        <v>516</v>
      </c>
      <c r="G174" s="7" t="s">
        <v>517</v>
      </c>
      <c r="H174" s="7" t="s">
        <v>518</v>
      </c>
      <c r="I174" s="9">
        <v>45272</v>
      </c>
    </row>
    <row r="175" spans="1:9" ht="27" x14ac:dyDescent="0.15">
      <c r="A175" s="6">
        <v>174</v>
      </c>
      <c r="B175" s="7" t="s">
        <v>10</v>
      </c>
      <c r="C175" s="8">
        <v>1888</v>
      </c>
      <c r="D175" s="9">
        <v>45432</v>
      </c>
      <c r="E175" s="13" t="str">
        <f>+HYPERLINK("http://trademark.i-assist.jp/data/china/image_1888th/75768377.pdf","75768377")</f>
        <v>75768377</v>
      </c>
      <c r="F175" s="7" t="s">
        <v>519</v>
      </c>
      <c r="G175" s="7" t="s">
        <v>520</v>
      </c>
      <c r="H175" s="7" t="s">
        <v>521</v>
      </c>
      <c r="I175" s="9">
        <v>45273</v>
      </c>
    </row>
    <row r="176" spans="1:9" x14ac:dyDescent="0.15">
      <c r="A176" s="6">
        <v>175</v>
      </c>
      <c r="B176" s="7" t="s">
        <v>10</v>
      </c>
      <c r="C176" s="8">
        <v>1888</v>
      </c>
      <c r="D176" s="9">
        <v>45432</v>
      </c>
      <c r="E176" s="13" t="str">
        <f>+HYPERLINK("http://trademark.i-assist.jp/data/china/image_1888th/75804568.pdf","75804568")</f>
        <v>75804568</v>
      </c>
      <c r="F176" s="7" t="s">
        <v>522</v>
      </c>
      <c r="G176" s="7" t="s">
        <v>523</v>
      </c>
      <c r="H176" s="7" t="s">
        <v>524</v>
      </c>
      <c r="I176" s="9">
        <v>45274</v>
      </c>
    </row>
    <row r="177" spans="1:9" x14ac:dyDescent="0.15">
      <c r="A177" s="6">
        <v>176</v>
      </c>
      <c r="B177" s="7" t="s">
        <v>10</v>
      </c>
      <c r="C177" s="8">
        <v>1888</v>
      </c>
      <c r="D177" s="9">
        <v>45432</v>
      </c>
      <c r="E177" s="13" t="str">
        <f>+HYPERLINK("http://trademark.i-assist.jp/data/china/image_1888th/75805380.pdf","75805380")</f>
        <v>75805380</v>
      </c>
      <c r="F177" s="7" t="s">
        <v>525</v>
      </c>
      <c r="G177" s="7" t="s">
        <v>526</v>
      </c>
      <c r="H177" s="7" t="s">
        <v>527</v>
      </c>
      <c r="I177" s="9">
        <v>45274</v>
      </c>
    </row>
    <row r="178" spans="1:9" ht="27" x14ac:dyDescent="0.15">
      <c r="A178" s="6">
        <v>177</v>
      </c>
      <c r="B178" s="7" t="s">
        <v>10</v>
      </c>
      <c r="C178" s="8">
        <v>1888</v>
      </c>
      <c r="D178" s="9">
        <v>45432</v>
      </c>
      <c r="E178" s="13" t="str">
        <f>+HYPERLINK("http://trademark.i-assist.jp/data/china/image_1888th/75810235.pdf","75810235")</f>
        <v>75810235</v>
      </c>
      <c r="F178" s="7" t="s">
        <v>528</v>
      </c>
      <c r="G178" s="7" t="s">
        <v>529</v>
      </c>
      <c r="H178" s="7" t="s">
        <v>530</v>
      </c>
      <c r="I178" s="9">
        <v>45275</v>
      </c>
    </row>
    <row r="179" spans="1:9" ht="27" x14ac:dyDescent="0.15">
      <c r="A179" s="6">
        <v>178</v>
      </c>
      <c r="B179" s="7" t="s">
        <v>10</v>
      </c>
      <c r="C179" s="8">
        <v>1888</v>
      </c>
      <c r="D179" s="9">
        <v>45432</v>
      </c>
      <c r="E179" s="13" t="str">
        <f>+HYPERLINK("http://trademark.i-assist.jp/data/china/image_1888th/75814338.pdf","75814338")</f>
        <v>75814338</v>
      </c>
      <c r="F179" s="7" t="s">
        <v>531</v>
      </c>
      <c r="G179" s="7" t="s">
        <v>532</v>
      </c>
      <c r="H179" s="7" t="s">
        <v>533</v>
      </c>
      <c r="I179" s="9">
        <v>45275</v>
      </c>
    </row>
    <row r="180" spans="1:9" x14ac:dyDescent="0.15">
      <c r="A180" s="6">
        <v>179</v>
      </c>
      <c r="B180" s="7" t="s">
        <v>10</v>
      </c>
      <c r="C180" s="8">
        <v>1888</v>
      </c>
      <c r="D180" s="9">
        <v>45432</v>
      </c>
      <c r="E180" s="13" t="str">
        <f>+HYPERLINK("http://trademark.i-assist.jp/data/china/image_1888th/75832339.pdf","75832339")</f>
        <v>75832339</v>
      </c>
      <c r="F180" s="7" t="s">
        <v>534</v>
      </c>
      <c r="G180" s="7" t="s">
        <v>535</v>
      </c>
      <c r="H180" s="7" t="s">
        <v>536</v>
      </c>
      <c r="I180" s="9">
        <v>45275</v>
      </c>
    </row>
    <row r="181" spans="1:9" ht="27" x14ac:dyDescent="0.15">
      <c r="A181" s="6">
        <v>180</v>
      </c>
      <c r="B181" s="7" t="s">
        <v>10</v>
      </c>
      <c r="C181" s="8">
        <v>1888</v>
      </c>
      <c r="D181" s="9">
        <v>45432</v>
      </c>
      <c r="E181" s="13" t="str">
        <f>+HYPERLINK("http://trademark.i-assist.jp/data/china/image_1888th/75833094.pdf","75833094")</f>
        <v>75833094</v>
      </c>
      <c r="F181" s="7" t="s">
        <v>537</v>
      </c>
      <c r="G181" s="7" t="s">
        <v>538</v>
      </c>
      <c r="H181" s="7" t="s">
        <v>539</v>
      </c>
      <c r="I181" s="9">
        <v>45275</v>
      </c>
    </row>
    <row r="182" spans="1:9" x14ac:dyDescent="0.15">
      <c r="A182" s="6">
        <v>181</v>
      </c>
      <c r="B182" s="7" t="s">
        <v>10</v>
      </c>
      <c r="C182" s="8">
        <v>1888</v>
      </c>
      <c r="D182" s="9">
        <v>45432</v>
      </c>
      <c r="E182" s="13" t="str">
        <f>+HYPERLINK("http://trademark.i-assist.jp/data/china/image_1888th/75862952.pdf","75862952")</f>
        <v>75862952</v>
      </c>
      <c r="F182" s="7" t="s">
        <v>540</v>
      </c>
      <c r="G182" s="7" t="s">
        <v>541</v>
      </c>
      <c r="H182" s="7" t="s">
        <v>542</v>
      </c>
      <c r="I182" s="9">
        <v>45278</v>
      </c>
    </row>
    <row r="183" spans="1:9" x14ac:dyDescent="0.15">
      <c r="A183" s="6">
        <v>182</v>
      </c>
      <c r="B183" s="7" t="s">
        <v>10</v>
      </c>
      <c r="C183" s="8">
        <v>1888</v>
      </c>
      <c r="D183" s="9">
        <v>45432</v>
      </c>
      <c r="E183" s="13" t="str">
        <f>+HYPERLINK("http://trademark.i-assist.jp/data/china/image_1888th/75863188.pdf","75863188")</f>
        <v>75863188</v>
      </c>
      <c r="F183" s="7" t="s">
        <v>543</v>
      </c>
      <c r="G183" s="7" t="s">
        <v>544</v>
      </c>
      <c r="H183" s="7" t="s">
        <v>545</v>
      </c>
      <c r="I183" s="9">
        <v>45278</v>
      </c>
    </row>
    <row r="184" spans="1:9" x14ac:dyDescent="0.15">
      <c r="A184" s="6">
        <v>183</v>
      </c>
      <c r="B184" s="7" t="s">
        <v>10</v>
      </c>
      <c r="C184" s="8">
        <v>1888</v>
      </c>
      <c r="D184" s="9">
        <v>45432</v>
      </c>
      <c r="E184" s="13" t="str">
        <f>+HYPERLINK("http://trademark.i-assist.jp/data/china/image_1888th/75866841.pdf","75866841")</f>
        <v>75866841</v>
      </c>
      <c r="F184" s="7" t="s">
        <v>546</v>
      </c>
      <c r="G184" s="7" t="s">
        <v>547</v>
      </c>
      <c r="H184" s="7" t="s">
        <v>548</v>
      </c>
      <c r="I184" s="9">
        <v>45278</v>
      </c>
    </row>
    <row r="185" spans="1:9" ht="27" x14ac:dyDescent="0.15">
      <c r="A185" s="6">
        <v>184</v>
      </c>
      <c r="B185" s="7" t="s">
        <v>10</v>
      </c>
      <c r="C185" s="8">
        <v>1888</v>
      </c>
      <c r="D185" s="9">
        <v>45432</v>
      </c>
      <c r="E185" s="13" t="str">
        <f>+HYPERLINK("http://trademark.i-assist.jp/data/china/image_1888th/75870096.pdf","75870096")</f>
        <v>75870096</v>
      </c>
      <c r="F185" s="7" t="s">
        <v>549</v>
      </c>
      <c r="G185" s="7" t="s">
        <v>550</v>
      </c>
      <c r="H185" s="7" t="s">
        <v>551</v>
      </c>
      <c r="I185" s="9">
        <v>45278</v>
      </c>
    </row>
    <row r="186" spans="1:9" x14ac:dyDescent="0.15">
      <c r="A186" s="6">
        <v>185</v>
      </c>
      <c r="B186" s="7" t="s">
        <v>10</v>
      </c>
      <c r="C186" s="8">
        <v>1888</v>
      </c>
      <c r="D186" s="9">
        <v>45432</v>
      </c>
      <c r="E186" s="13" t="str">
        <f>+HYPERLINK("http://trademark.i-assist.jp/data/china/image_1888th/75893214.pdf","75893214")</f>
        <v>75893214</v>
      </c>
      <c r="F186" s="7" t="s">
        <v>552</v>
      </c>
      <c r="G186" s="7" t="s">
        <v>553</v>
      </c>
      <c r="H186" s="7" t="s">
        <v>554</v>
      </c>
      <c r="I186" s="9">
        <v>45279</v>
      </c>
    </row>
    <row r="187" spans="1:9" x14ac:dyDescent="0.15">
      <c r="A187" s="6">
        <v>186</v>
      </c>
      <c r="B187" s="7" t="s">
        <v>10</v>
      </c>
      <c r="C187" s="8">
        <v>1888</v>
      </c>
      <c r="D187" s="9">
        <v>45432</v>
      </c>
      <c r="E187" s="13" t="str">
        <f>+HYPERLINK("http://trademark.i-assist.jp/data/china/image_1888th/75913843.pdf","75913843")</f>
        <v>75913843</v>
      </c>
      <c r="F187" s="7" t="s">
        <v>555</v>
      </c>
      <c r="G187" s="7" t="s">
        <v>556</v>
      </c>
      <c r="H187" s="7" t="s">
        <v>557</v>
      </c>
      <c r="I187" s="9">
        <v>45280</v>
      </c>
    </row>
    <row r="188" spans="1:9" x14ac:dyDescent="0.15">
      <c r="A188" s="6">
        <v>187</v>
      </c>
      <c r="B188" s="7" t="s">
        <v>10</v>
      </c>
      <c r="C188" s="8">
        <v>1888</v>
      </c>
      <c r="D188" s="9">
        <v>45432</v>
      </c>
      <c r="E188" s="13" t="str">
        <f>+HYPERLINK("http://trademark.i-assist.jp/data/china/image_1888th/75951690.pdf","75951690")</f>
        <v>75951690</v>
      </c>
      <c r="F188" s="7" t="s">
        <v>558</v>
      </c>
      <c r="G188" s="7" t="s">
        <v>559</v>
      </c>
      <c r="H188" s="7" t="s">
        <v>560</v>
      </c>
      <c r="I188" s="9">
        <v>45282</v>
      </c>
    </row>
    <row r="189" spans="1:9" x14ac:dyDescent="0.15">
      <c r="A189" s="6">
        <v>188</v>
      </c>
      <c r="B189" s="7" t="s">
        <v>10</v>
      </c>
      <c r="C189" s="8">
        <v>1888</v>
      </c>
      <c r="D189" s="9">
        <v>45432</v>
      </c>
      <c r="E189" s="13" t="str">
        <f>+HYPERLINK("http://trademark.i-assist.jp/data/china/image_1888th/75953364.pdf","75953364")</f>
        <v>75953364</v>
      </c>
      <c r="F189" s="7" t="s">
        <v>561</v>
      </c>
      <c r="G189" s="7" t="s">
        <v>562</v>
      </c>
      <c r="H189" s="7" t="s">
        <v>563</v>
      </c>
      <c r="I189" s="9">
        <v>45282</v>
      </c>
    </row>
    <row r="190" spans="1:9" x14ac:dyDescent="0.15">
      <c r="A190" s="6">
        <v>189</v>
      </c>
      <c r="B190" s="7" t="s">
        <v>10</v>
      </c>
      <c r="C190" s="8">
        <v>1888</v>
      </c>
      <c r="D190" s="9">
        <v>45432</v>
      </c>
      <c r="E190" s="13" t="str">
        <f>+HYPERLINK("http://trademark.i-assist.jp/data/china/image_1888th/75953904.pdf","75953904")</f>
        <v>75953904</v>
      </c>
      <c r="F190" s="7" t="s">
        <v>564</v>
      </c>
      <c r="G190" s="7" t="s">
        <v>565</v>
      </c>
      <c r="H190" s="7" t="s">
        <v>566</v>
      </c>
      <c r="I190" s="9">
        <v>45282</v>
      </c>
    </row>
    <row r="191" spans="1:9" x14ac:dyDescent="0.15">
      <c r="A191" s="6">
        <v>190</v>
      </c>
      <c r="B191" s="7" t="s">
        <v>10</v>
      </c>
      <c r="C191" s="8">
        <v>1888</v>
      </c>
      <c r="D191" s="9">
        <v>45432</v>
      </c>
      <c r="E191" s="13" t="str">
        <f>+HYPERLINK("http://trademark.i-assist.jp/data/china/image_1888th/75954857.pdf","75954857")</f>
        <v>75954857</v>
      </c>
      <c r="F191" s="7" t="s">
        <v>567</v>
      </c>
      <c r="G191" s="7" t="s">
        <v>568</v>
      </c>
      <c r="H191" s="7" t="s">
        <v>569</v>
      </c>
      <c r="I191" s="9">
        <v>45282</v>
      </c>
    </row>
    <row r="192" spans="1:9" ht="27" x14ac:dyDescent="0.15">
      <c r="A192" s="6">
        <v>191</v>
      </c>
      <c r="B192" s="7" t="s">
        <v>10</v>
      </c>
      <c r="C192" s="8">
        <v>1888</v>
      </c>
      <c r="D192" s="9">
        <v>45432</v>
      </c>
      <c r="E192" s="13" t="str">
        <f>+HYPERLINK("http://trademark.i-assist.jp/data/china/image_1888th/75983592.pdf","75983592")</f>
        <v>75983592</v>
      </c>
      <c r="F192" s="7" t="s">
        <v>570</v>
      </c>
      <c r="G192" s="7" t="s">
        <v>571</v>
      </c>
      <c r="H192" s="7" t="s">
        <v>572</v>
      </c>
      <c r="I192" s="9">
        <v>45284</v>
      </c>
    </row>
    <row r="193" spans="1:9" x14ac:dyDescent="0.15">
      <c r="A193" s="6">
        <v>192</v>
      </c>
      <c r="B193" s="7" t="s">
        <v>10</v>
      </c>
      <c r="C193" s="8">
        <v>1888</v>
      </c>
      <c r="D193" s="9">
        <v>45432</v>
      </c>
      <c r="E193" s="13" t="str">
        <f>+HYPERLINK("http://trademark.i-assist.jp/data/china/image_1888th/75993168.pdf","75993168")</f>
        <v>75993168</v>
      </c>
      <c r="F193" s="7" t="s">
        <v>573</v>
      </c>
      <c r="G193" s="7" t="s">
        <v>574</v>
      </c>
      <c r="H193" s="7" t="s">
        <v>575</v>
      </c>
      <c r="I193" s="9">
        <v>45286</v>
      </c>
    </row>
    <row r="194" spans="1:9" ht="27" x14ac:dyDescent="0.15">
      <c r="A194" s="6">
        <v>193</v>
      </c>
      <c r="B194" s="7" t="s">
        <v>10</v>
      </c>
      <c r="C194" s="8">
        <v>1888</v>
      </c>
      <c r="D194" s="9">
        <v>45432</v>
      </c>
      <c r="E194" s="13" t="str">
        <f>+HYPERLINK("http://trademark.i-assist.jp/data/china/image_1888th/75997023.pdf","75997023")</f>
        <v>75997023</v>
      </c>
      <c r="F194" s="7" t="s">
        <v>576</v>
      </c>
      <c r="G194" s="7" t="s">
        <v>577</v>
      </c>
      <c r="H194" s="7" t="s">
        <v>578</v>
      </c>
      <c r="I194" s="9">
        <v>45285</v>
      </c>
    </row>
    <row r="195" spans="1:9" x14ac:dyDescent="0.15">
      <c r="A195" s="6">
        <v>194</v>
      </c>
      <c r="B195" s="7" t="s">
        <v>10</v>
      </c>
      <c r="C195" s="8">
        <v>1888</v>
      </c>
      <c r="D195" s="9">
        <v>45432</v>
      </c>
      <c r="E195" s="13" t="str">
        <f>+HYPERLINK("http://trademark.i-assist.jp/data/china/image_1888th/76000850.pdf","76000850")</f>
        <v>76000850</v>
      </c>
      <c r="F195" s="7" t="s">
        <v>579</v>
      </c>
      <c r="G195" s="7" t="s">
        <v>580</v>
      </c>
      <c r="H195" s="7" t="s">
        <v>581</v>
      </c>
      <c r="I195" s="9">
        <v>45285</v>
      </c>
    </row>
    <row r="196" spans="1:9" ht="27" x14ac:dyDescent="0.15">
      <c r="A196" s="6">
        <v>195</v>
      </c>
      <c r="B196" s="7" t="s">
        <v>10</v>
      </c>
      <c r="C196" s="8">
        <v>1888</v>
      </c>
      <c r="D196" s="9">
        <v>45432</v>
      </c>
      <c r="E196" s="13" t="str">
        <f>+HYPERLINK("http://trademark.i-assist.jp/data/china/image_1888th/76003622.pdf","76003622")</f>
        <v>76003622</v>
      </c>
      <c r="F196" s="7" t="s">
        <v>582</v>
      </c>
      <c r="G196" s="7" t="s">
        <v>583</v>
      </c>
      <c r="H196" s="7" t="s">
        <v>584</v>
      </c>
      <c r="I196" s="9">
        <v>45285</v>
      </c>
    </row>
    <row r="197" spans="1:9" x14ac:dyDescent="0.15">
      <c r="A197" s="6">
        <v>196</v>
      </c>
      <c r="B197" s="7" t="s">
        <v>10</v>
      </c>
      <c r="C197" s="8">
        <v>1888</v>
      </c>
      <c r="D197" s="9">
        <v>45432</v>
      </c>
      <c r="E197" s="13" t="str">
        <f>+HYPERLINK("http://trademark.i-assist.jp/data/china/image_1888th/76037125.pdf","76037125")</f>
        <v>76037125</v>
      </c>
      <c r="F197" s="7" t="s">
        <v>585</v>
      </c>
      <c r="G197" s="7" t="s">
        <v>586</v>
      </c>
      <c r="H197" s="7" t="s">
        <v>587</v>
      </c>
      <c r="I197" s="9">
        <v>45286</v>
      </c>
    </row>
    <row r="198" spans="1:9" x14ac:dyDescent="0.15">
      <c r="A198" s="6">
        <v>197</v>
      </c>
      <c r="B198" s="7" t="s">
        <v>10</v>
      </c>
      <c r="C198" s="8">
        <v>1888</v>
      </c>
      <c r="D198" s="9">
        <v>45432</v>
      </c>
      <c r="E198" s="13" t="str">
        <f>+HYPERLINK("http://trademark.i-assist.jp/data/china/image_1888th/76048113.pdf","76048113")</f>
        <v>76048113</v>
      </c>
      <c r="F198" s="7" t="s">
        <v>588</v>
      </c>
      <c r="G198" s="7" t="s">
        <v>589</v>
      </c>
      <c r="H198" s="7" t="s">
        <v>590</v>
      </c>
      <c r="I198" s="9">
        <v>45287</v>
      </c>
    </row>
    <row r="199" spans="1:9" ht="27" x14ac:dyDescent="0.15">
      <c r="A199" s="6">
        <v>198</v>
      </c>
      <c r="B199" s="7" t="s">
        <v>10</v>
      </c>
      <c r="C199" s="8">
        <v>1888</v>
      </c>
      <c r="D199" s="9">
        <v>45432</v>
      </c>
      <c r="E199" s="13" t="str">
        <f>+HYPERLINK("http://trademark.i-assist.jp/data/china/image_1888th/76092798.pdf","76092798")</f>
        <v>76092798</v>
      </c>
      <c r="F199" s="7" t="s">
        <v>591</v>
      </c>
      <c r="G199" s="7" t="s">
        <v>592</v>
      </c>
      <c r="H199" s="7" t="s">
        <v>593</v>
      </c>
      <c r="I199" s="9">
        <v>45289</v>
      </c>
    </row>
    <row r="200" spans="1:9" x14ac:dyDescent="0.15">
      <c r="A200" s="6">
        <v>199</v>
      </c>
      <c r="B200" s="7" t="s">
        <v>10</v>
      </c>
      <c r="C200" s="8">
        <v>1888</v>
      </c>
      <c r="D200" s="9">
        <v>45432</v>
      </c>
      <c r="E200" s="13" t="str">
        <f>+HYPERLINK("http://trademark.i-assist.jp/data/china/image_1888th/76093515.pdf","76093515")</f>
        <v>76093515</v>
      </c>
      <c r="F200" s="7" t="s">
        <v>594</v>
      </c>
      <c r="G200" s="7" t="s">
        <v>595</v>
      </c>
      <c r="H200" s="7" t="s">
        <v>596</v>
      </c>
      <c r="I200" s="9">
        <v>45289</v>
      </c>
    </row>
    <row r="201" spans="1:9" x14ac:dyDescent="0.15">
      <c r="A201" s="6">
        <v>200</v>
      </c>
      <c r="B201" s="7" t="s">
        <v>10</v>
      </c>
      <c r="C201" s="8">
        <v>1888</v>
      </c>
      <c r="D201" s="9">
        <v>45432</v>
      </c>
      <c r="E201" s="13" t="str">
        <f>+HYPERLINK("http://trademark.i-assist.jp/data/china/image_1888th/76101794.pdf","76101794")</f>
        <v>76101794</v>
      </c>
      <c r="F201" s="7" t="s">
        <v>597</v>
      </c>
      <c r="G201" s="7" t="s">
        <v>598</v>
      </c>
      <c r="H201" s="7" t="s">
        <v>599</v>
      </c>
      <c r="I201" s="9">
        <v>45289</v>
      </c>
    </row>
    <row r="202" spans="1:9" ht="27" x14ac:dyDescent="0.15">
      <c r="A202" s="6">
        <v>201</v>
      </c>
      <c r="B202" s="7" t="s">
        <v>10</v>
      </c>
      <c r="C202" s="8">
        <v>1888</v>
      </c>
      <c r="D202" s="9">
        <v>45432</v>
      </c>
      <c r="E202" s="13" t="str">
        <f>+HYPERLINK("http://trademark.i-assist.jp/data/china/image_1888th/76107174.pdf","76107174")</f>
        <v>76107174</v>
      </c>
      <c r="F202" s="7" t="s">
        <v>600</v>
      </c>
      <c r="G202" s="7" t="s">
        <v>601</v>
      </c>
      <c r="H202" s="7" t="s">
        <v>602</v>
      </c>
      <c r="I202" s="9">
        <v>45289</v>
      </c>
    </row>
    <row r="203" spans="1:9" x14ac:dyDescent="0.15">
      <c r="A203" s="6">
        <v>202</v>
      </c>
      <c r="B203" s="7" t="s">
        <v>10</v>
      </c>
      <c r="C203" s="8">
        <v>1888</v>
      </c>
      <c r="D203" s="9">
        <v>45432</v>
      </c>
      <c r="E203" s="13" t="str">
        <f>+HYPERLINK("http://trademark.i-assist.jp/data/china/image_1888th/76108891.pdf","76108891")</f>
        <v>76108891</v>
      </c>
      <c r="F203" s="7" t="s">
        <v>603</v>
      </c>
      <c r="G203" s="7" t="s">
        <v>604</v>
      </c>
      <c r="H203" s="7" t="s">
        <v>605</v>
      </c>
      <c r="I203" s="9">
        <v>45289</v>
      </c>
    </row>
    <row r="204" spans="1:9" x14ac:dyDescent="0.15">
      <c r="A204" s="6">
        <v>203</v>
      </c>
      <c r="B204" s="7" t="s">
        <v>10</v>
      </c>
      <c r="C204" s="8">
        <v>1888</v>
      </c>
      <c r="D204" s="9">
        <v>45432</v>
      </c>
      <c r="E204" s="13" t="str">
        <f>+HYPERLINK("http://trademark.i-assist.jp/data/china/image_1888th/76124785.pdf","76124785")</f>
        <v>76124785</v>
      </c>
      <c r="F204" s="7" t="s">
        <v>606</v>
      </c>
      <c r="G204" s="7" t="s">
        <v>607</v>
      </c>
      <c r="H204" s="7" t="s">
        <v>608</v>
      </c>
      <c r="I204" s="9">
        <v>45290</v>
      </c>
    </row>
    <row r="205" spans="1:9" x14ac:dyDescent="0.15">
      <c r="A205" s="6">
        <v>204</v>
      </c>
      <c r="B205" s="7" t="s">
        <v>10</v>
      </c>
      <c r="C205" s="8">
        <v>1888</v>
      </c>
      <c r="D205" s="9">
        <v>45432</v>
      </c>
      <c r="E205" s="13" t="str">
        <f>+HYPERLINK("http://trademark.i-assist.jp/data/china/image_1888th/76125852.pdf","76125852")</f>
        <v>76125852</v>
      </c>
      <c r="F205" s="7" t="s">
        <v>609</v>
      </c>
      <c r="G205" s="7" t="s">
        <v>607</v>
      </c>
      <c r="H205" s="7" t="s">
        <v>610</v>
      </c>
      <c r="I205" s="9">
        <v>45290</v>
      </c>
    </row>
    <row r="206" spans="1:9" x14ac:dyDescent="0.15">
      <c r="A206" s="6">
        <v>205</v>
      </c>
      <c r="B206" s="7" t="s">
        <v>10</v>
      </c>
      <c r="C206" s="8">
        <v>1888</v>
      </c>
      <c r="D206" s="9">
        <v>45432</v>
      </c>
      <c r="E206" s="13" t="str">
        <f>+HYPERLINK("http://trademark.i-assist.jp/data/china/image_1888th/76128041.pdf","76128041")</f>
        <v>76128041</v>
      </c>
      <c r="F206" s="7" t="s">
        <v>611</v>
      </c>
      <c r="G206" s="7" t="s">
        <v>612</v>
      </c>
      <c r="H206" s="7" t="s">
        <v>613</v>
      </c>
      <c r="I206" s="9">
        <v>45291</v>
      </c>
    </row>
    <row r="207" spans="1:9" x14ac:dyDescent="0.15">
      <c r="A207" s="6">
        <v>206</v>
      </c>
      <c r="B207" s="7" t="s">
        <v>10</v>
      </c>
      <c r="C207" s="8">
        <v>1888</v>
      </c>
      <c r="D207" s="9">
        <v>45432</v>
      </c>
      <c r="E207" s="13" t="str">
        <f>+HYPERLINK("http://trademark.i-assist.jp/data/china/image_1888th/76128150.pdf","76128150")</f>
        <v>76128150</v>
      </c>
      <c r="F207" s="7" t="s">
        <v>614</v>
      </c>
      <c r="G207" s="7" t="s">
        <v>615</v>
      </c>
      <c r="H207" s="7" t="s">
        <v>616</v>
      </c>
      <c r="I207" s="9">
        <v>45291</v>
      </c>
    </row>
    <row r="208" spans="1:9" x14ac:dyDescent="0.15">
      <c r="A208" s="6">
        <v>207</v>
      </c>
      <c r="B208" s="7" t="s">
        <v>10</v>
      </c>
      <c r="C208" s="8">
        <v>1888</v>
      </c>
      <c r="D208" s="9">
        <v>45432</v>
      </c>
      <c r="E208" s="13" t="str">
        <f>+HYPERLINK("http://trademark.i-assist.jp/data/china/image_1888th/76134990.pdf","76134990")</f>
        <v>76134990</v>
      </c>
      <c r="F208" s="7" t="s">
        <v>617</v>
      </c>
      <c r="G208" s="7" t="s">
        <v>618</v>
      </c>
      <c r="H208" s="7" t="s">
        <v>619</v>
      </c>
      <c r="I208" s="9">
        <v>45293</v>
      </c>
    </row>
    <row r="209" spans="1:9" ht="27" x14ac:dyDescent="0.15">
      <c r="A209" s="6">
        <v>208</v>
      </c>
      <c r="B209" s="7" t="s">
        <v>10</v>
      </c>
      <c r="C209" s="8">
        <v>1888</v>
      </c>
      <c r="D209" s="9">
        <v>45432</v>
      </c>
      <c r="E209" s="13" t="str">
        <f>+HYPERLINK("http://trademark.i-assist.jp/data/china/image_1888th/76135450.pdf","76135450")</f>
        <v>76135450</v>
      </c>
      <c r="F209" s="7" t="s">
        <v>620</v>
      </c>
      <c r="G209" s="7" t="s">
        <v>621</v>
      </c>
      <c r="H209" s="7" t="s">
        <v>622</v>
      </c>
      <c r="I209" s="9">
        <v>45293</v>
      </c>
    </row>
    <row r="210" spans="1:9" ht="27" x14ac:dyDescent="0.15">
      <c r="A210" s="6">
        <v>209</v>
      </c>
      <c r="B210" s="7" t="s">
        <v>10</v>
      </c>
      <c r="C210" s="8">
        <v>1888</v>
      </c>
      <c r="D210" s="9">
        <v>45432</v>
      </c>
      <c r="E210" s="13" t="str">
        <f>+HYPERLINK("http://trademark.i-assist.jp/data/china/image_1888th/76138986.pdf","76138986")</f>
        <v>76138986</v>
      </c>
      <c r="F210" s="7" t="s">
        <v>623</v>
      </c>
      <c r="G210" s="7" t="s">
        <v>621</v>
      </c>
      <c r="H210" s="7" t="s">
        <v>624</v>
      </c>
      <c r="I210" s="9">
        <v>45293</v>
      </c>
    </row>
    <row r="211" spans="1:9" x14ac:dyDescent="0.15">
      <c r="A211" s="6">
        <v>210</v>
      </c>
      <c r="B211" s="7" t="s">
        <v>10</v>
      </c>
      <c r="C211" s="8">
        <v>1888</v>
      </c>
      <c r="D211" s="9">
        <v>45432</v>
      </c>
      <c r="E211" s="13" t="str">
        <f>+HYPERLINK("http://trademark.i-assist.jp/data/china/image_1888th/76139425.pdf","76139425")</f>
        <v>76139425</v>
      </c>
      <c r="F211" s="7" t="s">
        <v>625</v>
      </c>
      <c r="G211" s="7" t="s">
        <v>626</v>
      </c>
      <c r="H211" s="7" t="s">
        <v>627</v>
      </c>
      <c r="I211" s="9">
        <v>45293</v>
      </c>
    </row>
    <row r="212" spans="1:9" x14ac:dyDescent="0.15">
      <c r="A212" s="6">
        <v>211</v>
      </c>
      <c r="B212" s="7" t="s">
        <v>10</v>
      </c>
      <c r="C212" s="8">
        <v>1888</v>
      </c>
      <c r="D212" s="9">
        <v>45432</v>
      </c>
      <c r="E212" s="13" t="str">
        <f>+HYPERLINK("http://trademark.i-assist.jp/data/china/image_1888th/76146831.pdf","76146831")</f>
        <v>76146831</v>
      </c>
      <c r="F212" s="7" t="s">
        <v>628</v>
      </c>
      <c r="G212" s="7" t="s">
        <v>629</v>
      </c>
      <c r="H212" s="7" t="s">
        <v>630</v>
      </c>
      <c r="I212" s="9">
        <v>45293</v>
      </c>
    </row>
    <row r="213" spans="1:9" x14ac:dyDescent="0.15">
      <c r="A213" s="6">
        <v>212</v>
      </c>
      <c r="B213" s="7" t="s">
        <v>10</v>
      </c>
      <c r="C213" s="8">
        <v>1888</v>
      </c>
      <c r="D213" s="9">
        <v>45432</v>
      </c>
      <c r="E213" s="13" t="str">
        <f>+HYPERLINK("http://trademark.i-assist.jp/data/china/image_1888th/76148802.pdf","76148802")</f>
        <v>76148802</v>
      </c>
      <c r="F213" s="7" t="s">
        <v>631</v>
      </c>
      <c r="G213" s="7" t="s">
        <v>618</v>
      </c>
      <c r="H213" s="7" t="s">
        <v>632</v>
      </c>
      <c r="I213" s="9">
        <v>45293</v>
      </c>
    </row>
    <row r="214" spans="1:9" ht="27" x14ac:dyDescent="0.15">
      <c r="A214" s="6">
        <v>213</v>
      </c>
      <c r="B214" s="7" t="s">
        <v>10</v>
      </c>
      <c r="C214" s="8">
        <v>1888</v>
      </c>
      <c r="D214" s="9">
        <v>45432</v>
      </c>
      <c r="E214" s="13" t="str">
        <f>+HYPERLINK("http://trademark.i-assist.jp/data/china/image_1888th/76150531.pdf","76150531")</f>
        <v>76150531</v>
      </c>
      <c r="F214" s="7" t="s">
        <v>633</v>
      </c>
      <c r="G214" s="7" t="s">
        <v>634</v>
      </c>
      <c r="H214" s="7" t="s">
        <v>635</v>
      </c>
      <c r="I214" s="9">
        <v>45293</v>
      </c>
    </row>
    <row r="215" spans="1:9" x14ac:dyDescent="0.15">
      <c r="A215" s="6">
        <v>214</v>
      </c>
      <c r="B215" s="7" t="s">
        <v>10</v>
      </c>
      <c r="C215" s="8">
        <v>1888</v>
      </c>
      <c r="D215" s="9">
        <v>45432</v>
      </c>
      <c r="E215" s="13" t="str">
        <f>+HYPERLINK("http://trademark.i-assist.jp/data/china/image_1888th/76153389.pdf","76153389")</f>
        <v>76153389</v>
      </c>
      <c r="F215" s="7" t="s">
        <v>636</v>
      </c>
      <c r="G215" s="7" t="s">
        <v>637</v>
      </c>
      <c r="H215" s="7" t="s">
        <v>638</v>
      </c>
      <c r="I215" s="9">
        <v>45293</v>
      </c>
    </row>
    <row r="216" spans="1:9" x14ac:dyDescent="0.15">
      <c r="A216" s="6">
        <v>215</v>
      </c>
      <c r="B216" s="7" t="s">
        <v>10</v>
      </c>
      <c r="C216" s="8">
        <v>1888</v>
      </c>
      <c r="D216" s="9">
        <v>45432</v>
      </c>
      <c r="E216" s="13" t="str">
        <f>+HYPERLINK("http://trademark.i-assist.jp/data/china/image_1888th/76161374.pdf","76161374")</f>
        <v>76161374</v>
      </c>
      <c r="F216" s="7" t="s">
        <v>639</v>
      </c>
      <c r="G216" s="7" t="s">
        <v>640</v>
      </c>
      <c r="H216" s="7" t="s">
        <v>641</v>
      </c>
      <c r="I216" s="9">
        <v>45294</v>
      </c>
    </row>
    <row r="217" spans="1:9" x14ac:dyDescent="0.15">
      <c r="A217" s="6">
        <v>216</v>
      </c>
      <c r="B217" s="7" t="s">
        <v>10</v>
      </c>
      <c r="C217" s="8">
        <v>1888</v>
      </c>
      <c r="D217" s="9">
        <v>45432</v>
      </c>
      <c r="E217" s="13" t="str">
        <f>+HYPERLINK("http://trademark.i-assist.jp/data/china/image_1888th/76166048.pdf","76166048")</f>
        <v>76166048</v>
      </c>
      <c r="F217" s="7" t="s">
        <v>642</v>
      </c>
      <c r="G217" s="7" t="s">
        <v>643</v>
      </c>
      <c r="H217" s="7" t="s">
        <v>644</v>
      </c>
      <c r="I217" s="9">
        <v>45294</v>
      </c>
    </row>
    <row r="218" spans="1:9" ht="27" x14ac:dyDescent="0.15">
      <c r="A218" s="6">
        <v>217</v>
      </c>
      <c r="B218" s="7" t="s">
        <v>10</v>
      </c>
      <c r="C218" s="8">
        <v>1888</v>
      </c>
      <c r="D218" s="9">
        <v>45432</v>
      </c>
      <c r="E218" s="13" t="str">
        <f>+HYPERLINK("http://trademark.i-assist.jp/data/china/image_1888th/76172216.pdf","76172216")</f>
        <v>76172216</v>
      </c>
      <c r="F218" s="7" t="s">
        <v>76</v>
      </c>
      <c r="G218" s="7" t="s">
        <v>645</v>
      </c>
      <c r="H218" s="7" t="s">
        <v>646</v>
      </c>
      <c r="I218" s="9">
        <v>45294</v>
      </c>
    </row>
    <row r="219" spans="1:9" x14ac:dyDescent="0.15">
      <c r="A219" s="6">
        <v>218</v>
      </c>
      <c r="B219" s="7" t="s">
        <v>10</v>
      </c>
      <c r="C219" s="8">
        <v>1888</v>
      </c>
      <c r="D219" s="9">
        <v>45432</v>
      </c>
      <c r="E219" s="13" t="str">
        <f>+HYPERLINK("http://trademark.i-assist.jp/data/china/image_1888th/76203953.pdf","76203953")</f>
        <v>76203953</v>
      </c>
      <c r="F219" s="7" t="s">
        <v>647</v>
      </c>
      <c r="G219" s="7" t="s">
        <v>648</v>
      </c>
      <c r="H219" s="7" t="s">
        <v>649</v>
      </c>
      <c r="I219" s="9">
        <v>45295</v>
      </c>
    </row>
    <row r="220" spans="1:9" x14ac:dyDescent="0.15">
      <c r="A220" s="6">
        <v>219</v>
      </c>
      <c r="B220" s="7" t="s">
        <v>10</v>
      </c>
      <c r="C220" s="8">
        <v>1888</v>
      </c>
      <c r="D220" s="9">
        <v>45432</v>
      </c>
      <c r="E220" s="13" t="str">
        <f>+HYPERLINK("http://trademark.i-assist.jp/data/china/image_1888th/76247674.pdf","76247674")</f>
        <v>76247674</v>
      </c>
      <c r="F220" s="7" t="s">
        <v>650</v>
      </c>
      <c r="G220" s="7" t="s">
        <v>651</v>
      </c>
      <c r="H220" s="7" t="s">
        <v>652</v>
      </c>
      <c r="I220" s="9">
        <v>45299</v>
      </c>
    </row>
    <row r="221" spans="1:9" x14ac:dyDescent="0.15">
      <c r="A221" s="6">
        <v>220</v>
      </c>
      <c r="B221" s="7" t="s">
        <v>10</v>
      </c>
      <c r="C221" s="8">
        <v>1888</v>
      </c>
      <c r="D221" s="9">
        <v>45432</v>
      </c>
      <c r="E221" s="13" t="str">
        <f>+HYPERLINK("http://trademark.i-assist.jp/data/china/image_1888th/76253292.pdf","76253292")</f>
        <v>76253292</v>
      </c>
      <c r="F221" s="7" t="s">
        <v>653</v>
      </c>
      <c r="G221" s="7" t="s">
        <v>654</v>
      </c>
      <c r="H221" s="7" t="s">
        <v>655</v>
      </c>
      <c r="I221" s="9">
        <v>45299</v>
      </c>
    </row>
    <row r="222" spans="1:9" x14ac:dyDescent="0.15">
      <c r="A222" s="6">
        <v>221</v>
      </c>
      <c r="B222" s="7" t="s">
        <v>10</v>
      </c>
      <c r="C222" s="8">
        <v>1888</v>
      </c>
      <c r="D222" s="9">
        <v>45432</v>
      </c>
      <c r="E222" s="13" t="str">
        <f>+HYPERLINK("http://trademark.i-assist.jp/data/china/image_1888th/76264728.pdf","76264728")</f>
        <v>76264728</v>
      </c>
      <c r="F222" s="7" t="s">
        <v>656</v>
      </c>
      <c r="G222" s="7" t="s">
        <v>657</v>
      </c>
      <c r="H222" s="7" t="s">
        <v>658</v>
      </c>
      <c r="I222" s="9">
        <v>45299</v>
      </c>
    </row>
    <row r="223" spans="1:9" x14ac:dyDescent="0.15">
      <c r="A223" s="6">
        <v>222</v>
      </c>
      <c r="B223" s="7" t="s">
        <v>10</v>
      </c>
      <c r="C223" s="8">
        <v>1888</v>
      </c>
      <c r="D223" s="9">
        <v>45432</v>
      </c>
      <c r="E223" s="13" t="str">
        <f>+HYPERLINK("http://trademark.i-assist.jp/data/china/image_1888th/76265653.pdf","76265653")</f>
        <v>76265653</v>
      </c>
      <c r="F223" s="7" t="s">
        <v>659</v>
      </c>
      <c r="G223" s="7" t="s">
        <v>660</v>
      </c>
      <c r="H223" s="7" t="s">
        <v>661</v>
      </c>
      <c r="I223" s="9">
        <v>45299</v>
      </c>
    </row>
    <row r="224" spans="1:9" ht="27" x14ac:dyDescent="0.15">
      <c r="A224" s="6">
        <v>223</v>
      </c>
      <c r="B224" s="7" t="s">
        <v>10</v>
      </c>
      <c r="C224" s="8">
        <v>1888</v>
      </c>
      <c r="D224" s="9">
        <v>45432</v>
      </c>
      <c r="E224" s="13" t="str">
        <f>+HYPERLINK("http://trademark.i-assist.jp/data/china/image_1888th/76266819.pdf","76266819")</f>
        <v>76266819</v>
      </c>
      <c r="F224" s="7" t="s">
        <v>76</v>
      </c>
      <c r="G224" s="7" t="s">
        <v>662</v>
      </c>
      <c r="H224" s="7" t="s">
        <v>663</v>
      </c>
      <c r="I224" s="9">
        <v>45299</v>
      </c>
    </row>
    <row r="225" spans="1:9" x14ac:dyDescent="0.15">
      <c r="A225" s="6">
        <v>224</v>
      </c>
      <c r="B225" s="7" t="s">
        <v>10</v>
      </c>
      <c r="C225" s="8">
        <v>1888</v>
      </c>
      <c r="D225" s="9">
        <v>45432</v>
      </c>
      <c r="E225" s="13" t="str">
        <f>+HYPERLINK("http://trademark.i-assist.jp/data/china/image_1888th/76277075.pdf","76277075")</f>
        <v>76277075</v>
      </c>
      <c r="F225" s="7" t="s">
        <v>664</v>
      </c>
      <c r="G225" s="7" t="s">
        <v>665</v>
      </c>
      <c r="H225" s="7" t="s">
        <v>666</v>
      </c>
      <c r="I225" s="9">
        <v>45300</v>
      </c>
    </row>
    <row r="226" spans="1:9" x14ac:dyDescent="0.15">
      <c r="A226" s="6">
        <v>225</v>
      </c>
      <c r="B226" s="7" t="s">
        <v>10</v>
      </c>
      <c r="C226" s="8">
        <v>1888</v>
      </c>
      <c r="D226" s="9">
        <v>45432</v>
      </c>
      <c r="E226" s="13" t="str">
        <f>+HYPERLINK("http://trademark.i-assist.jp/data/china/image_1888th/76287410.pdf","76287410")</f>
        <v>76287410</v>
      </c>
      <c r="F226" s="7" t="s">
        <v>667</v>
      </c>
      <c r="G226" s="7" t="s">
        <v>668</v>
      </c>
      <c r="H226" s="7" t="s">
        <v>669</v>
      </c>
      <c r="I226" s="9">
        <v>45300</v>
      </c>
    </row>
    <row r="227" spans="1:9" ht="27" x14ac:dyDescent="0.15">
      <c r="A227" s="6">
        <v>226</v>
      </c>
      <c r="B227" s="7" t="s">
        <v>10</v>
      </c>
      <c r="C227" s="8">
        <v>1888</v>
      </c>
      <c r="D227" s="9">
        <v>45432</v>
      </c>
      <c r="E227" s="13" t="str">
        <f>+HYPERLINK("http://trademark.i-assist.jp/data/china/image_1888th/76297081.pdf","76297081")</f>
        <v>76297081</v>
      </c>
      <c r="F227" s="7" t="s">
        <v>670</v>
      </c>
      <c r="G227" s="7" t="s">
        <v>671</v>
      </c>
      <c r="H227" s="7" t="s">
        <v>672</v>
      </c>
      <c r="I227" s="9">
        <v>45301</v>
      </c>
    </row>
    <row r="228" spans="1:9" x14ac:dyDescent="0.15">
      <c r="A228" s="6">
        <v>227</v>
      </c>
      <c r="B228" s="7" t="s">
        <v>10</v>
      </c>
      <c r="C228" s="8">
        <v>1888</v>
      </c>
      <c r="D228" s="9">
        <v>45432</v>
      </c>
      <c r="E228" s="13" t="str">
        <f>+HYPERLINK("http://trademark.i-assist.jp/data/china/image_1888th/76298875.pdf","76298875")</f>
        <v>76298875</v>
      </c>
      <c r="F228" s="7" t="s">
        <v>673</v>
      </c>
      <c r="G228" s="7" t="s">
        <v>674</v>
      </c>
      <c r="H228" s="7" t="s">
        <v>675</v>
      </c>
      <c r="I228" s="9">
        <v>45301</v>
      </c>
    </row>
    <row r="229" spans="1:9" x14ac:dyDescent="0.15">
      <c r="A229" s="6">
        <v>228</v>
      </c>
      <c r="B229" s="7" t="s">
        <v>10</v>
      </c>
      <c r="C229" s="8">
        <v>1888</v>
      </c>
      <c r="D229" s="9">
        <v>45432</v>
      </c>
      <c r="E229" s="13" t="str">
        <f>+HYPERLINK("http://trademark.i-assist.jp/data/china/image_1888th/76300139.pdf","76300139")</f>
        <v>76300139</v>
      </c>
      <c r="F229" s="7" t="s">
        <v>676</v>
      </c>
      <c r="G229" s="7" t="s">
        <v>677</v>
      </c>
      <c r="H229" s="7" t="s">
        <v>678</v>
      </c>
      <c r="I229" s="9">
        <v>45301</v>
      </c>
    </row>
    <row r="230" spans="1:9" x14ac:dyDescent="0.15">
      <c r="A230" s="6">
        <v>229</v>
      </c>
      <c r="B230" s="7" t="s">
        <v>10</v>
      </c>
      <c r="C230" s="8">
        <v>1888</v>
      </c>
      <c r="D230" s="9">
        <v>45432</v>
      </c>
      <c r="E230" s="13" t="str">
        <f>+HYPERLINK("http://trademark.i-assist.jp/data/china/image_1888th/76306015.pdf","76306015")</f>
        <v>76306015</v>
      </c>
      <c r="F230" s="7" t="s">
        <v>679</v>
      </c>
      <c r="G230" s="7" t="s">
        <v>680</v>
      </c>
      <c r="H230" s="7" t="s">
        <v>681</v>
      </c>
      <c r="I230" s="9">
        <v>45301</v>
      </c>
    </row>
    <row r="231" spans="1:9" x14ac:dyDescent="0.15">
      <c r="A231" s="6">
        <v>230</v>
      </c>
      <c r="B231" s="7" t="s">
        <v>10</v>
      </c>
      <c r="C231" s="8">
        <v>1888</v>
      </c>
      <c r="D231" s="9">
        <v>45432</v>
      </c>
      <c r="E231" s="13" t="str">
        <f>+HYPERLINK("http://trademark.i-assist.jp/data/china/image_1888th/76334528.pdf","76334528")</f>
        <v>76334528</v>
      </c>
      <c r="F231" s="7" t="s">
        <v>682</v>
      </c>
      <c r="G231" s="7" t="s">
        <v>683</v>
      </c>
      <c r="H231" s="7" t="s">
        <v>684</v>
      </c>
      <c r="I231" s="9">
        <v>45302</v>
      </c>
    </row>
    <row r="232" spans="1:9" x14ac:dyDescent="0.15">
      <c r="A232" s="6">
        <v>231</v>
      </c>
      <c r="B232" s="7" t="s">
        <v>10</v>
      </c>
      <c r="C232" s="8">
        <v>1888</v>
      </c>
      <c r="D232" s="9">
        <v>45432</v>
      </c>
      <c r="E232" s="13" t="str">
        <f>+HYPERLINK("http://trademark.i-assist.jp/data/china/image_1888th/76334709.pdf","76334709")</f>
        <v>76334709</v>
      </c>
      <c r="F232" s="7" t="s">
        <v>685</v>
      </c>
      <c r="G232" s="7" t="s">
        <v>686</v>
      </c>
      <c r="H232" s="7" t="s">
        <v>687</v>
      </c>
      <c r="I232" s="9">
        <v>45302</v>
      </c>
    </row>
    <row r="233" spans="1:9" x14ac:dyDescent="0.15">
      <c r="A233" s="6">
        <v>232</v>
      </c>
      <c r="B233" s="7" t="s">
        <v>10</v>
      </c>
      <c r="C233" s="8">
        <v>1888</v>
      </c>
      <c r="D233" s="9">
        <v>45432</v>
      </c>
      <c r="E233" s="13" t="str">
        <f>+HYPERLINK("http://trademark.i-assist.jp/data/china/image_1888th/76339817.pdf","76339817")</f>
        <v>76339817</v>
      </c>
      <c r="F233" s="7" t="s">
        <v>688</v>
      </c>
      <c r="G233" s="7" t="s">
        <v>689</v>
      </c>
      <c r="H233" s="7" t="s">
        <v>690</v>
      </c>
      <c r="I233" s="9">
        <v>45302</v>
      </c>
    </row>
    <row r="234" spans="1:9" x14ac:dyDescent="0.15">
      <c r="A234" s="6">
        <v>233</v>
      </c>
      <c r="B234" s="7" t="s">
        <v>10</v>
      </c>
      <c r="C234" s="8">
        <v>1888</v>
      </c>
      <c r="D234" s="9">
        <v>45432</v>
      </c>
      <c r="E234" s="13" t="str">
        <f>+HYPERLINK("http://trademark.i-assist.jp/data/china/image_1888th/76341701.pdf","76341701")</f>
        <v>76341701</v>
      </c>
      <c r="F234" s="7" t="s">
        <v>76</v>
      </c>
      <c r="G234" s="7" t="s">
        <v>691</v>
      </c>
      <c r="H234" s="7" t="s">
        <v>692</v>
      </c>
      <c r="I234" s="9">
        <v>45302</v>
      </c>
    </row>
    <row r="235" spans="1:9" x14ac:dyDescent="0.15">
      <c r="A235" s="6">
        <v>234</v>
      </c>
      <c r="B235" s="7" t="s">
        <v>10</v>
      </c>
      <c r="C235" s="8">
        <v>1888</v>
      </c>
      <c r="D235" s="9">
        <v>45432</v>
      </c>
      <c r="E235" s="13" t="str">
        <f>+HYPERLINK("http://trademark.i-assist.jp/data/china/image_1888th/76363148.pdf","76363148")</f>
        <v>76363148</v>
      </c>
      <c r="F235" s="7" t="s">
        <v>693</v>
      </c>
      <c r="G235" s="7" t="s">
        <v>694</v>
      </c>
      <c r="H235" s="7" t="s">
        <v>695</v>
      </c>
      <c r="I235" s="9">
        <v>45303</v>
      </c>
    </row>
    <row r="236" spans="1:9" x14ac:dyDescent="0.15">
      <c r="A236" s="6">
        <v>235</v>
      </c>
      <c r="B236" s="7" t="s">
        <v>10</v>
      </c>
      <c r="C236" s="8">
        <v>1888</v>
      </c>
      <c r="D236" s="9">
        <v>45432</v>
      </c>
      <c r="E236" s="13" t="str">
        <f>+HYPERLINK("http://trademark.i-assist.jp/data/china/image_1888th/76365715.pdf","76365715")</f>
        <v>76365715</v>
      </c>
      <c r="F236" s="7" t="s">
        <v>696</v>
      </c>
      <c r="G236" s="7" t="s">
        <v>697</v>
      </c>
      <c r="H236" s="7" t="s">
        <v>698</v>
      </c>
      <c r="I236" s="9">
        <v>45303</v>
      </c>
    </row>
    <row r="237" spans="1:9" x14ac:dyDescent="0.15">
      <c r="A237" s="6">
        <v>236</v>
      </c>
      <c r="B237" s="7" t="s">
        <v>10</v>
      </c>
      <c r="C237" s="8">
        <v>1888</v>
      </c>
      <c r="D237" s="9">
        <v>45432</v>
      </c>
      <c r="E237" s="13" t="str">
        <f>+HYPERLINK("http://trademark.i-assist.jp/data/china/image_1888th/76367518.pdf","76367518")</f>
        <v>76367518</v>
      </c>
      <c r="F237" s="7" t="s">
        <v>699</v>
      </c>
      <c r="G237" s="7" t="s">
        <v>700</v>
      </c>
      <c r="H237" s="7" t="s">
        <v>701</v>
      </c>
      <c r="I237" s="9">
        <v>45303</v>
      </c>
    </row>
    <row r="238" spans="1:9" x14ac:dyDescent="0.15">
      <c r="A238" s="6">
        <v>237</v>
      </c>
      <c r="B238" s="7" t="s">
        <v>10</v>
      </c>
      <c r="C238" s="8">
        <v>1888</v>
      </c>
      <c r="D238" s="9">
        <v>45432</v>
      </c>
      <c r="E238" s="13" t="str">
        <f>+HYPERLINK("http://trademark.i-assist.jp/data/china/image_1888th/76379079.pdf","76379079")</f>
        <v>76379079</v>
      </c>
      <c r="F238" s="7" t="s">
        <v>702</v>
      </c>
      <c r="G238" s="7" t="s">
        <v>703</v>
      </c>
      <c r="H238" s="7" t="s">
        <v>704</v>
      </c>
      <c r="I238" s="9">
        <v>45305</v>
      </c>
    </row>
    <row r="239" spans="1:9" x14ac:dyDescent="0.15">
      <c r="A239" s="6">
        <v>238</v>
      </c>
      <c r="B239" s="7" t="s">
        <v>10</v>
      </c>
      <c r="C239" s="8">
        <v>1888</v>
      </c>
      <c r="D239" s="9">
        <v>45432</v>
      </c>
      <c r="E239" s="13" t="str">
        <f>+HYPERLINK("http://trademark.i-assist.jp/data/china/image_1888th/76381084.pdf","76381084")</f>
        <v>76381084</v>
      </c>
      <c r="F239" s="7" t="s">
        <v>705</v>
      </c>
      <c r="G239" s="7" t="s">
        <v>706</v>
      </c>
      <c r="H239" s="7" t="s">
        <v>707</v>
      </c>
      <c r="I239" s="9">
        <v>45306</v>
      </c>
    </row>
    <row r="240" spans="1:9" x14ac:dyDescent="0.15">
      <c r="A240" s="6">
        <v>239</v>
      </c>
      <c r="B240" s="7" t="s">
        <v>10</v>
      </c>
      <c r="C240" s="8">
        <v>1888</v>
      </c>
      <c r="D240" s="9">
        <v>45432</v>
      </c>
      <c r="E240" s="13" t="str">
        <f>+HYPERLINK("http://trademark.i-assist.jp/data/china/image_1888th/76388750.pdf","76388750")</f>
        <v>76388750</v>
      </c>
      <c r="F240" s="7" t="s">
        <v>708</v>
      </c>
      <c r="G240" s="7" t="s">
        <v>709</v>
      </c>
      <c r="H240" s="7" t="s">
        <v>710</v>
      </c>
      <c r="I240" s="9">
        <v>45306</v>
      </c>
    </row>
    <row r="241" spans="1:9" x14ac:dyDescent="0.15">
      <c r="A241" s="6">
        <v>240</v>
      </c>
      <c r="B241" s="7" t="s">
        <v>10</v>
      </c>
      <c r="C241" s="8">
        <v>1888</v>
      </c>
      <c r="D241" s="9">
        <v>45432</v>
      </c>
      <c r="E241" s="13" t="str">
        <f>+HYPERLINK("http://trademark.i-assist.jp/data/china/image_1888th/76391000.pdf","76391000")</f>
        <v>76391000</v>
      </c>
      <c r="F241" s="7" t="s">
        <v>711</v>
      </c>
      <c r="G241" s="7" t="s">
        <v>712</v>
      </c>
      <c r="H241" s="7" t="s">
        <v>713</v>
      </c>
      <c r="I241" s="9">
        <v>45306</v>
      </c>
    </row>
    <row r="242" spans="1:9" ht="27" x14ac:dyDescent="0.15">
      <c r="A242" s="6">
        <v>241</v>
      </c>
      <c r="B242" s="7" t="s">
        <v>10</v>
      </c>
      <c r="C242" s="8">
        <v>1888</v>
      </c>
      <c r="D242" s="9">
        <v>45432</v>
      </c>
      <c r="E242" s="13" t="str">
        <f>+HYPERLINK("http://trademark.i-assist.jp/data/china/image_1888th/76400470.pdf","76400470")</f>
        <v>76400470</v>
      </c>
      <c r="F242" s="7" t="s">
        <v>76</v>
      </c>
      <c r="G242" s="7" t="s">
        <v>714</v>
      </c>
      <c r="H242" s="7" t="s">
        <v>715</v>
      </c>
      <c r="I242" s="9">
        <v>45306</v>
      </c>
    </row>
    <row r="243" spans="1:9" x14ac:dyDescent="0.15">
      <c r="A243" s="6">
        <v>242</v>
      </c>
      <c r="B243" s="7" t="s">
        <v>10</v>
      </c>
      <c r="C243" s="8">
        <v>1888</v>
      </c>
      <c r="D243" s="9">
        <v>45432</v>
      </c>
      <c r="E243" s="13" t="str">
        <f>+HYPERLINK("http://trademark.i-assist.jp/data/china/image_1888th/76405602.pdf","76405602")</f>
        <v>76405602</v>
      </c>
      <c r="F243" s="7" t="s">
        <v>716</v>
      </c>
      <c r="G243" s="7" t="s">
        <v>717</v>
      </c>
      <c r="H243" s="7" t="s">
        <v>718</v>
      </c>
      <c r="I243" s="9">
        <v>45307</v>
      </c>
    </row>
    <row r="244" spans="1:9" x14ac:dyDescent="0.15">
      <c r="A244" s="6">
        <v>243</v>
      </c>
      <c r="B244" s="7" t="s">
        <v>10</v>
      </c>
      <c r="C244" s="8">
        <v>1888</v>
      </c>
      <c r="D244" s="9">
        <v>45432</v>
      </c>
      <c r="E244" s="13" t="str">
        <f>+HYPERLINK("http://trademark.i-assist.jp/data/china/image_1888th/76411167.pdf","76411167")</f>
        <v>76411167</v>
      </c>
      <c r="F244" s="7" t="s">
        <v>719</v>
      </c>
      <c r="G244" s="7" t="s">
        <v>720</v>
      </c>
      <c r="H244" s="7" t="s">
        <v>721</v>
      </c>
      <c r="I244" s="9">
        <v>45307</v>
      </c>
    </row>
    <row r="245" spans="1:9" x14ac:dyDescent="0.15">
      <c r="A245" s="6">
        <v>244</v>
      </c>
      <c r="B245" s="7" t="s">
        <v>10</v>
      </c>
      <c r="C245" s="8">
        <v>1888</v>
      </c>
      <c r="D245" s="9">
        <v>45432</v>
      </c>
      <c r="E245" s="13" t="str">
        <f>+HYPERLINK("http://trademark.i-assist.jp/data/china/image_1888th/76411401.pdf","76411401")</f>
        <v>76411401</v>
      </c>
      <c r="F245" s="7" t="s">
        <v>722</v>
      </c>
      <c r="G245" s="7" t="s">
        <v>723</v>
      </c>
      <c r="H245" s="7" t="s">
        <v>724</v>
      </c>
      <c r="I245" s="9">
        <v>45307</v>
      </c>
    </row>
    <row r="246" spans="1:9" x14ac:dyDescent="0.15">
      <c r="A246" s="6">
        <v>245</v>
      </c>
      <c r="B246" s="7" t="s">
        <v>10</v>
      </c>
      <c r="C246" s="8">
        <v>1888</v>
      </c>
      <c r="D246" s="9">
        <v>45432</v>
      </c>
      <c r="E246" s="13" t="str">
        <f>+HYPERLINK("http://trademark.i-assist.jp/data/china/image_1888th/76421116.pdf","76421116")</f>
        <v>76421116</v>
      </c>
      <c r="F246" s="7" t="s">
        <v>76</v>
      </c>
      <c r="G246" s="7" t="s">
        <v>725</v>
      </c>
      <c r="H246" s="7" t="s">
        <v>726</v>
      </c>
      <c r="I246" s="9">
        <v>45307</v>
      </c>
    </row>
    <row r="247" spans="1:9" x14ac:dyDescent="0.15">
      <c r="A247" s="6">
        <v>246</v>
      </c>
      <c r="B247" s="7" t="s">
        <v>10</v>
      </c>
      <c r="C247" s="8">
        <v>1888</v>
      </c>
      <c r="D247" s="9">
        <v>45432</v>
      </c>
      <c r="E247" s="13" t="str">
        <f>+HYPERLINK("http://trademark.i-assist.jp/data/china/image_1888th/76425411.pdf","76425411")</f>
        <v>76425411</v>
      </c>
      <c r="F247" s="7" t="s">
        <v>727</v>
      </c>
      <c r="G247" s="7" t="s">
        <v>728</v>
      </c>
      <c r="H247" s="7" t="s">
        <v>729</v>
      </c>
      <c r="I247" s="9">
        <v>45307</v>
      </c>
    </row>
    <row r="248" spans="1:9" x14ac:dyDescent="0.15">
      <c r="A248" s="6">
        <v>247</v>
      </c>
      <c r="B248" s="7" t="s">
        <v>10</v>
      </c>
      <c r="C248" s="8">
        <v>1888</v>
      </c>
      <c r="D248" s="9">
        <v>45432</v>
      </c>
      <c r="E248" s="13" t="str">
        <f>+HYPERLINK("http://trademark.i-assist.jp/data/china/image_1888th/76425932.pdf","76425932")</f>
        <v>76425932</v>
      </c>
      <c r="F248" s="7" t="s">
        <v>730</v>
      </c>
      <c r="G248" s="7" t="s">
        <v>731</v>
      </c>
      <c r="H248" s="7" t="s">
        <v>732</v>
      </c>
      <c r="I248" s="9">
        <v>45307</v>
      </c>
    </row>
    <row r="249" spans="1:9" x14ac:dyDescent="0.15">
      <c r="A249" s="6">
        <v>248</v>
      </c>
      <c r="B249" s="7" t="s">
        <v>10</v>
      </c>
      <c r="C249" s="8">
        <v>1888</v>
      </c>
      <c r="D249" s="9">
        <v>45432</v>
      </c>
      <c r="E249" s="13" t="str">
        <f>+HYPERLINK("http://trademark.i-assist.jp/data/china/image_1888th/76427913.pdf","76427913")</f>
        <v>76427913</v>
      </c>
      <c r="F249" s="7" t="s">
        <v>76</v>
      </c>
      <c r="G249" s="7" t="s">
        <v>733</v>
      </c>
      <c r="H249" s="7" t="s">
        <v>734</v>
      </c>
      <c r="I249" s="9">
        <v>45307</v>
      </c>
    </row>
    <row r="250" spans="1:9" ht="27" x14ac:dyDescent="0.15">
      <c r="A250" s="6">
        <v>249</v>
      </c>
      <c r="B250" s="7" t="s">
        <v>10</v>
      </c>
      <c r="C250" s="8">
        <v>1888</v>
      </c>
      <c r="D250" s="9">
        <v>45432</v>
      </c>
      <c r="E250" s="13" t="str">
        <f>+HYPERLINK("http://trademark.i-assist.jp/data/china/image_1888th/76429774.pdf","76429774")</f>
        <v>76429774</v>
      </c>
      <c r="F250" s="7" t="s">
        <v>735</v>
      </c>
      <c r="G250" s="7" t="s">
        <v>736</v>
      </c>
      <c r="H250" s="7" t="s">
        <v>737</v>
      </c>
      <c r="I250" s="9">
        <v>45307</v>
      </c>
    </row>
    <row r="251" spans="1:9" x14ac:dyDescent="0.15">
      <c r="A251" s="6">
        <v>250</v>
      </c>
      <c r="B251" s="7" t="s">
        <v>10</v>
      </c>
      <c r="C251" s="8">
        <v>1888</v>
      </c>
      <c r="D251" s="9">
        <v>45432</v>
      </c>
      <c r="E251" s="13" t="str">
        <f>+HYPERLINK("http://trademark.i-assist.jp/data/china/image_1888th/76430121.pdf","76430121")</f>
        <v>76430121</v>
      </c>
      <c r="F251" s="7" t="s">
        <v>738</v>
      </c>
      <c r="G251" s="7" t="s">
        <v>739</v>
      </c>
      <c r="H251" s="7" t="s">
        <v>740</v>
      </c>
      <c r="I251" s="9">
        <v>45307</v>
      </c>
    </row>
    <row r="252" spans="1:9" ht="27" x14ac:dyDescent="0.15">
      <c r="A252" s="6">
        <v>251</v>
      </c>
      <c r="B252" s="7" t="s">
        <v>10</v>
      </c>
      <c r="C252" s="8">
        <v>1888</v>
      </c>
      <c r="D252" s="9">
        <v>45432</v>
      </c>
      <c r="E252" s="13" t="str">
        <f>+HYPERLINK("http://trademark.i-assist.jp/data/china/image_1888th/76431608.pdf","76431608")</f>
        <v>76431608</v>
      </c>
      <c r="F252" s="7" t="s">
        <v>741</v>
      </c>
      <c r="G252" s="7" t="s">
        <v>742</v>
      </c>
      <c r="H252" s="7" t="s">
        <v>743</v>
      </c>
      <c r="I252" s="9">
        <v>45307</v>
      </c>
    </row>
    <row r="253" spans="1:9" x14ac:dyDescent="0.15">
      <c r="A253" s="6">
        <v>252</v>
      </c>
      <c r="B253" s="7" t="s">
        <v>10</v>
      </c>
      <c r="C253" s="8">
        <v>1888</v>
      </c>
      <c r="D253" s="9">
        <v>45432</v>
      </c>
      <c r="E253" s="13" t="str">
        <f>+HYPERLINK("http://trademark.i-assist.jp/data/china/image_1888th/76432057.pdf","76432057")</f>
        <v>76432057</v>
      </c>
      <c r="F253" s="7" t="s">
        <v>744</v>
      </c>
      <c r="G253" s="7" t="s">
        <v>720</v>
      </c>
      <c r="H253" s="7" t="s">
        <v>745</v>
      </c>
      <c r="I253" s="9">
        <v>45307</v>
      </c>
    </row>
    <row r="254" spans="1:9" x14ac:dyDescent="0.15">
      <c r="A254" s="6">
        <v>253</v>
      </c>
      <c r="B254" s="7" t="s">
        <v>10</v>
      </c>
      <c r="C254" s="8">
        <v>1888</v>
      </c>
      <c r="D254" s="9">
        <v>45432</v>
      </c>
      <c r="E254" s="13" t="str">
        <f>+HYPERLINK("http://trademark.i-assist.jp/data/china/image_1888th/76432349.pdf","76432349")</f>
        <v>76432349</v>
      </c>
      <c r="F254" s="7" t="s">
        <v>746</v>
      </c>
      <c r="G254" s="7" t="s">
        <v>747</v>
      </c>
      <c r="H254" s="7" t="s">
        <v>748</v>
      </c>
      <c r="I254" s="9">
        <v>45307</v>
      </c>
    </row>
    <row r="255" spans="1:9" ht="27" x14ac:dyDescent="0.15">
      <c r="A255" s="6">
        <v>254</v>
      </c>
      <c r="B255" s="7" t="s">
        <v>10</v>
      </c>
      <c r="C255" s="8">
        <v>1888</v>
      </c>
      <c r="D255" s="9">
        <v>45432</v>
      </c>
      <c r="E255" s="13" t="str">
        <f>+HYPERLINK("http://trademark.i-assist.jp/data/china/image_1888th/76440167.pdf","76440167")</f>
        <v>76440167</v>
      </c>
      <c r="F255" s="7" t="s">
        <v>749</v>
      </c>
      <c r="G255" s="7" t="s">
        <v>750</v>
      </c>
      <c r="H255" s="7" t="s">
        <v>751</v>
      </c>
      <c r="I255" s="9">
        <v>45308</v>
      </c>
    </row>
    <row r="256" spans="1:9" x14ac:dyDescent="0.15">
      <c r="A256" s="6">
        <v>255</v>
      </c>
      <c r="B256" s="7" t="s">
        <v>10</v>
      </c>
      <c r="C256" s="8">
        <v>1888</v>
      </c>
      <c r="D256" s="9">
        <v>45432</v>
      </c>
      <c r="E256" s="13" t="str">
        <f>+HYPERLINK("http://trademark.i-assist.jp/data/china/image_1888th/76440637.pdf","76440637")</f>
        <v>76440637</v>
      </c>
      <c r="F256" s="7" t="s">
        <v>752</v>
      </c>
      <c r="G256" s="7" t="s">
        <v>753</v>
      </c>
      <c r="H256" s="7" t="s">
        <v>754</v>
      </c>
      <c r="I256" s="9">
        <v>45308</v>
      </c>
    </row>
    <row r="257" spans="1:9" x14ac:dyDescent="0.15">
      <c r="A257" s="6">
        <v>256</v>
      </c>
      <c r="B257" s="7" t="s">
        <v>10</v>
      </c>
      <c r="C257" s="8">
        <v>1888</v>
      </c>
      <c r="D257" s="9">
        <v>45432</v>
      </c>
      <c r="E257" s="13" t="str">
        <f>+HYPERLINK("http://trademark.i-assist.jp/data/china/image_1888th/76443434.pdf","76443434")</f>
        <v>76443434</v>
      </c>
      <c r="F257" s="7" t="s">
        <v>755</v>
      </c>
      <c r="G257" s="7" t="s">
        <v>753</v>
      </c>
      <c r="H257" s="7" t="s">
        <v>756</v>
      </c>
      <c r="I257" s="9">
        <v>45308</v>
      </c>
    </row>
    <row r="258" spans="1:9" x14ac:dyDescent="0.15">
      <c r="A258" s="6">
        <v>257</v>
      </c>
      <c r="B258" s="7" t="s">
        <v>10</v>
      </c>
      <c r="C258" s="8">
        <v>1888</v>
      </c>
      <c r="D258" s="9">
        <v>45432</v>
      </c>
      <c r="E258" s="13" t="str">
        <f>+HYPERLINK("http://trademark.i-assist.jp/data/china/image_1888th/76443456.pdf","76443456")</f>
        <v>76443456</v>
      </c>
      <c r="F258" s="7" t="s">
        <v>757</v>
      </c>
      <c r="G258" s="7" t="s">
        <v>753</v>
      </c>
      <c r="H258" s="7" t="s">
        <v>758</v>
      </c>
      <c r="I258" s="9">
        <v>45308</v>
      </c>
    </row>
    <row r="259" spans="1:9" x14ac:dyDescent="0.15">
      <c r="A259" s="6">
        <v>258</v>
      </c>
      <c r="B259" s="7" t="s">
        <v>10</v>
      </c>
      <c r="C259" s="8">
        <v>1888</v>
      </c>
      <c r="D259" s="9">
        <v>45432</v>
      </c>
      <c r="E259" s="13" t="str">
        <f>+HYPERLINK("http://trademark.i-assist.jp/data/china/image_1888th/76446903.pdf","76446903")</f>
        <v>76446903</v>
      </c>
      <c r="F259" s="7" t="s">
        <v>759</v>
      </c>
      <c r="G259" s="7" t="s">
        <v>760</v>
      </c>
      <c r="H259" s="7" t="s">
        <v>761</v>
      </c>
      <c r="I259" s="9">
        <v>45308</v>
      </c>
    </row>
    <row r="260" spans="1:9" x14ac:dyDescent="0.15">
      <c r="A260" s="6">
        <v>259</v>
      </c>
      <c r="B260" s="7" t="s">
        <v>10</v>
      </c>
      <c r="C260" s="8">
        <v>1888</v>
      </c>
      <c r="D260" s="9">
        <v>45432</v>
      </c>
      <c r="E260" s="13" t="str">
        <f>+HYPERLINK("http://trademark.i-assist.jp/data/china/image_1888th/76448261.pdf","76448261")</f>
        <v>76448261</v>
      </c>
      <c r="F260" s="7" t="s">
        <v>762</v>
      </c>
      <c r="G260" s="7" t="s">
        <v>753</v>
      </c>
      <c r="H260" s="7" t="s">
        <v>763</v>
      </c>
      <c r="I260" s="9">
        <v>45308</v>
      </c>
    </row>
    <row r="261" spans="1:9" ht="27" x14ac:dyDescent="0.15">
      <c r="A261" s="6">
        <v>260</v>
      </c>
      <c r="B261" s="7" t="s">
        <v>10</v>
      </c>
      <c r="C261" s="8">
        <v>1888</v>
      </c>
      <c r="D261" s="9">
        <v>45432</v>
      </c>
      <c r="E261" s="13" t="str">
        <f>+HYPERLINK("http://trademark.i-assist.jp/data/china/image_1888th/76454421.pdf","76454421")</f>
        <v>76454421</v>
      </c>
      <c r="F261" s="7" t="s">
        <v>764</v>
      </c>
      <c r="G261" s="7" t="s">
        <v>765</v>
      </c>
      <c r="H261" s="7" t="s">
        <v>766</v>
      </c>
      <c r="I261" s="9">
        <v>45308</v>
      </c>
    </row>
    <row r="262" spans="1:9" x14ac:dyDescent="0.15">
      <c r="A262" s="6">
        <v>261</v>
      </c>
      <c r="B262" s="7" t="s">
        <v>10</v>
      </c>
      <c r="C262" s="8">
        <v>1888</v>
      </c>
      <c r="D262" s="9">
        <v>45432</v>
      </c>
      <c r="E262" s="13" t="str">
        <f>+HYPERLINK("http://trademark.i-assist.jp/data/china/image_1888th/76456272.pdf","76456272")</f>
        <v>76456272</v>
      </c>
      <c r="F262" s="7" t="s">
        <v>767</v>
      </c>
      <c r="G262" s="7" t="s">
        <v>768</v>
      </c>
      <c r="H262" s="7" t="s">
        <v>769</v>
      </c>
      <c r="I262" s="9">
        <v>45308</v>
      </c>
    </row>
    <row r="263" spans="1:9" x14ac:dyDescent="0.15">
      <c r="A263" s="6">
        <v>262</v>
      </c>
      <c r="B263" s="7" t="s">
        <v>10</v>
      </c>
      <c r="C263" s="8">
        <v>1888</v>
      </c>
      <c r="D263" s="9">
        <v>45432</v>
      </c>
      <c r="E263" s="13" t="str">
        <f>+HYPERLINK("http://trademark.i-assist.jp/data/china/image_1888th/76456708.pdf","76456708")</f>
        <v>76456708</v>
      </c>
      <c r="F263" s="7" t="s">
        <v>770</v>
      </c>
      <c r="G263" s="7" t="s">
        <v>771</v>
      </c>
      <c r="H263" s="7" t="s">
        <v>772</v>
      </c>
      <c r="I263" s="9">
        <v>45308</v>
      </c>
    </row>
    <row r="264" spans="1:9" x14ac:dyDescent="0.15">
      <c r="A264" s="6">
        <v>263</v>
      </c>
      <c r="B264" s="7" t="s">
        <v>10</v>
      </c>
      <c r="C264" s="8">
        <v>1888</v>
      </c>
      <c r="D264" s="9">
        <v>45432</v>
      </c>
      <c r="E264" s="13" t="str">
        <f>+HYPERLINK("http://trademark.i-assist.jp/data/china/image_1888th/76458858.pdf","76458858")</f>
        <v>76458858</v>
      </c>
      <c r="F264" s="7" t="s">
        <v>773</v>
      </c>
      <c r="G264" s="7" t="s">
        <v>774</v>
      </c>
      <c r="H264" s="7" t="s">
        <v>775</v>
      </c>
      <c r="I264" s="9">
        <v>45308</v>
      </c>
    </row>
    <row r="265" spans="1:9" x14ac:dyDescent="0.15">
      <c r="A265" s="6">
        <v>264</v>
      </c>
      <c r="B265" s="7" t="s">
        <v>10</v>
      </c>
      <c r="C265" s="8">
        <v>1888</v>
      </c>
      <c r="D265" s="9">
        <v>45432</v>
      </c>
      <c r="E265" s="13" t="str">
        <f>+HYPERLINK("http://trademark.i-assist.jp/data/china/image_1888th/76459582.pdf","76459582")</f>
        <v>76459582</v>
      </c>
      <c r="F265" s="7" t="s">
        <v>776</v>
      </c>
      <c r="G265" s="7" t="s">
        <v>777</v>
      </c>
      <c r="H265" s="7" t="s">
        <v>778</v>
      </c>
      <c r="I265" s="9">
        <v>45309</v>
      </c>
    </row>
    <row r="266" spans="1:9" x14ac:dyDescent="0.15">
      <c r="A266" s="6">
        <v>265</v>
      </c>
      <c r="B266" s="7" t="s">
        <v>10</v>
      </c>
      <c r="C266" s="8">
        <v>1888</v>
      </c>
      <c r="D266" s="9">
        <v>45432</v>
      </c>
      <c r="E266" s="13" t="str">
        <f>+HYPERLINK("http://trademark.i-assist.jp/data/china/image_1888th/76462794.pdf","76462794")</f>
        <v>76462794</v>
      </c>
      <c r="F266" s="7" t="s">
        <v>779</v>
      </c>
      <c r="G266" s="7" t="s">
        <v>780</v>
      </c>
      <c r="H266" s="7" t="s">
        <v>781</v>
      </c>
      <c r="I266" s="9">
        <v>45309</v>
      </c>
    </row>
    <row r="267" spans="1:9" ht="27" x14ac:dyDescent="0.15">
      <c r="A267" s="6">
        <v>266</v>
      </c>
      <c r="B267" s="7" t="s">
        <v>10</v>
      </c>
      <c r="C267" s="8">
        <v>1888</v>
      </c>
      <c r="D267" s="9">
        <v>45432</v>
      </c>
      <c r="E267" s="13" t="str">
        <f>+HYPERLINK("http://trademark.i-assist.jp/data/china/image_1888th/76466522.pdf","76466522")</f>
        <v>76466522</v>
      </c>
      <c r="F267" s="7" t="s">
        <v>782</v>
      </c>
      <c r="G267" s="7" t="s">
        <v>783</v>
      </c>
      <c r="H267" s="7" t="s">
        <v>75</v>
      </c>
      <c r="I267" s="9">
        <v>45310</v>
      </c>
    </row>
    <row r="268" spans="1:9" x14ac:dyDescent="0.15">
      <c r="A268" s="6">
        <v>267</v>
      </c>
      <c r="B268" s="7" t="s">
        <v>10</v>
      </c>
      <c r="C268" s="8">
        <v>1888</v>
      </c>
      <c r="D268" s="9">
        <v>45432</v>
      </c>
      <c r="E268" s="13" t="str">
        <f>+HYPERLINK("http://trademark.i-assist.jp/data/china/image_1888th/76468612.pdf","76468612")</f>
        <v>76468612</v>
      </c>
      <c r="F268" s="7" t="s">
        <v>784</v>
      </c>
      <c r="G268" s="7" t="s">
        <v>785</v>
      </c>
      <c r="H268" s="7" t="s">
        <v>786</v>
      </c>
      <c r="I268" s="9">
        <v>45309</v>
      </c>
    </row>
    <row r="269" spans="1:9" x14ac:dyDescent="0.15">
      <c r="A269" s="6">
        <v>268</v>
      </c>
      <c r="B269" s="7" t="s">
        <v>10</v>
      </c>
      <c r="C269" s="8">
        <v>1888</v>
      </c>
      <c r="D269" s="9">
        <v>45432</v>
      </c>
      <c r="E269" s="13" t="str">
        <f>+HYPERLINK("http://trademark.i-assist.jp/data/china/image_1888th/76478957.pdf","76478957")</f>
        <v>76478957</v>
      </c>
      <c r="F269" s="7" t="s">
        <v>76</v>
      </c>
      <c r="G269" s="7" t="s">
        <v>787</v>
      </c>
      <c r="H269" s="7" t="s">
        <v>788</v>
      </c>
      <c r="I269" s="9">
        <v>45310</v>
      </c>
    </row>
    <row r="270" spans="1:9" x14ac:dyDescent="0.15">
      <c r="A270" s="6">
        <v>269</v>
      </c>
      <c r="B270" s="7" t="s">
        <v>10</v>
      </c>
      <c r="C270" s="8">
        <v>1888</v>
      </c>
      <c r="D270" s="9">
        <v>45432</v>
      </c>
      <c r="E270" s="13" t="str">
        <f>+HYPERLINK("http://trademark.i-assist.jp/data/china/image_1888th/76482828.pdf","76482828")</f>
        <v>76482828</v>
      </c>
      <c r="F270" s="7" t="s">
        <v>789</v>
      </c>
      <c r="G270" s="7" t="s">
        <v>790</v>
      </c>
      <c r="H270" s="7" t="s">
        <v>791</v>
      </c>
      <c r="I270" s="9">
        <v>45310</v>
      </c>
    </row>
    <row r="271" spans="1:9" x14ac:dyDescent="0.15">
      <c r="A271" s="6">
        <v>270</v>
      </c>
      <c r="B271" s="7" t="s">
        <v>10</v>
      </c>
      <c r="C271" s="8">
        <v>1888</v>
      </c>
      <c r="D271" s="9">
        <v>45432</v>
      </c>
      <c r="E271" s="13" t="str">
        <f>+HYPERLINK("http://trademark.i-assist.jp/data/china/image_1888th/76483413.pdf","76483413")</f>
        <v>76483413</v>
      </c>
      <c r="F271" s="7" t="s">
        <v>792</v>
      </c>
      <c r="G271" s="7" t="s">
        <v>793</v>
      </c>
      <c r="H271" s="7" t="s">
        <v>794</v>
      </c>
      <c r="I271" s="9">
        <v>45310</v>
      </c>
    </row>
    <row r="272" spans="1:9" x14ac:dyDescent="0.15">
      <c r="A272" s="6">
        <v>271</v>
      </c>
      <c r="B272" s="7" t="s">
        <v>10</v>
      </c>
      <c r="C272" s="8">
        <v>1888</v>
      </c>
      <c r="D272" s="9">
        <v>45432</v>
      </c>
      <c r="E272" s="13" t="str">
        <f>+HYPERLINK("http://trademark.i-assist.jp/data/china/image_1888th/76492388.pdf","76492388")</f>
        <v>76492388</v>
      </c>
      <c r="F272" s="7" t="s">
        <v>795</v>
      </c>
      <c r="G272" s="7" t="s">
        <v>796</v>
      </c>
      <c r="H272" s="7" t="s">
        <v>797</v>
      </c>
      <c r="I272" s="9">
        <v>45309</v>
      </c>
    </row>
    <row r="273" spans="1:9" x14ac:dyDescent="0.15">
      <c r="A273" s="6">
        <v>272</v>
      </c>
      <c r="B273" s="7" t="s">
        <v>10</v>
      </c>
      <c r="C273" s="8">
        <v>1888</v>
      </c>
      <c r="D273" s="9">
        <v>45432</v>
      </c>
      <c r="E273" s="13" t="str">
        <f>+HYPERLINK("http://trademark.i-assist.jp/data/china/image_1888th/76493025.pdf","76493025")</f>
        <v>76493025</v>
      </c>
      <c r="F273" s="7" t="s">
        <v>798</v>
      </c>
      <c r="G273" s="7" t="s">
        <v>799</v>
      </c>
      <c r="H273" s="7" t="s">
        <v>800</v>
      </c>
      <c r="I273" s="9">
        <v>45311</v>
      </c>
    </row>
    <row r="274" spans="1:9" x14ac:dyDescent="0.15">
      <c r="A274" s="6">
        <v>273</v>
      </c>
      <c r="B274" s="7" t="s">
        <v>10</v>
      </c>
      <c r="C274" s="8">
        <v>1888</v>
      </c>
      <c r="D274" s="9">
        <v>45432</v>
      </c>
      <c r="E274" s="13" t="str">
        <f>+HYPERLINK("http://trademark.i-assist.jp/data/china/image_1888th/76498537.pdf","76498537")</f>
        <v>76498537</v>
      </c>
      <c r="F274" s="7" t="s">
        <v>801</v>
      </c>
      <c r="G274" s="7" t="s">
        <v>802</v>
      </c>
      <c r="H274" s="7" t="s">
        <v>803</v>
      </c>
      <c r="I274" s="9">
        <v>45310</v>
      </c>
    </row>
    <row r="275" spans="1:9" x14ac:dyDescent="0.15">
      <c r="A275" s="6">
        <v>274</v>
      </c>
      <c r="B275" s="7" t="s">
        <v>10</v>
      </c>
      <c r="C275" s="8">
        <v>1888</v>
      </c>
      <c r="D275" s="9">
        <v>45432</v>
      </c>
      <c r="E275" s="13" t="str">
        <f>+HYPERLINK("http://trademark.i-assist.jp/data/china/image_1888th/76499927.pdf","76499927")</f>
        <v>76499927</v>
      </c>
      <c r="F275" s="7" t="s">
        <v>804</v>
      </c>
      <c r="G275" s="7" t="s">
        <v>805</v>
      </c>
      <c r="H275" s="7" t="s">
        <v>806</v>
      </c>
      <c r="I275" s="9">
        <v>45310</v>
      </c>
    </row>
    <row r="276" spans="1:9" x14ac:dyDescent="0.15">
      <c r="A276" s="6">
        <v>275</v>
      </c>
      <c r="B276" s="7" t="s">
        <v>10</v>
      </c>
      <c r="C276" s="8">
        <v>1888</v>
      </c>
      <c r="D276" s="9">
        <v>45432</v>
      </c>
      <c r="E276" s="13" t="str">
        <f>+HYPERLINK("http://trademark.i-assist.jp/data/china/image_1888th/76500596.pdf","76500596")</f>
        <v>76500596</v>
      </c>
      <c r="F276" s="7" t="s">
        <v>807</v>
      </c>
      <c r="G276" s="7" t="s">
        <v>808</v>
      </c>
      <c r="H276" s="7" t="s">
        <v>809</v>
      </c>
      <c r="I276" s="9">
        <v>45310</v>
      </c>
    </row>
    <row r="277" spans="1:9" ht="27" x14ac:dyDescent="0.15">
      <c r="A277" s="6">
        <v>276</v>
      </c>
      <c r="B277" s="7" t="s">
        <v>10</v>
      </c>
      <c r="C277" s="8">
        <v>1888</v>
      </c>
      <c r="D277" s="9">
        <v>45432</v>
      </c>
      <c r="E277" s="13" t="str">
        <f>+HYPERLINK("http://trademark.i-assist.jp/data/china/image_1888th/76500714.pdf","76500714")</f>
        <v>76500714</v>
      </c>
      <c r="F277" s="7" t="s">
        <v>810</v>
      </c>
      <c r="G277" s="7" t="s">
        <v>811</v>
      </c>
      <c r="H277" s="7" t="s">
        <v>812</v>
      </c>
      <c r="I277" s="9">
        <v>45309</v>
      </c>
    </row>
    <row r="278" spans="1:9" x14ac:dyDescent="0.15">
      <c r="A278" s="6">
        <v>277</v>
      </c>
      <c r="B278" s="7" t="s">
        <v>10</v>
      </c>
      <c r="C278" s="8">
        <v>1888</v>
      </c>
      <c r="D278" s="9">
        <v>45432</v>
      </c>
      <c r="E278" s="13" t="str">
        <f>+HYPERLINK("http://trademark.i-assist.jp/data/china/image_1888th/76502100.pdf","76502100")</f>
        <v>76502100</v>
      </c>
      <c r="F278" s="7" t="s">
        <v>813</v>
      </c>
      <c r="G278" s="7" t="s">
        <v>814</v>
      </c>
      <c r="H278" s="7" t="s">
        <v>815</v>
      </c>
      <c r="I278" s="9">
        <v>45309</v>
      </c>
    </row>
    <row r="279" spans="1:9" x14ac:dyDescent="0.15">
      <c r="A279" s="6">
        <v>278</v>
      </c>
      <c r="B279" s="7" t="s">
        <v>10</v>
      </c>
      <c r="C279" s="8">
        <v>1888</v>
      </c>
      <c r="D279" s="9">
        <v>45432</v>
      </c>
      <c r="E279" s="13" t="str">
        <f>+HYPERLINK("http://trademark.i-assist.jp/data/china/image_1888th/76502419.pdf","76502419")</f>
        <v>76502419</v>
      </c>
      <c r="F279" s="7" t="s">
        <v>816</v>
      </c>
      <c r="G279" s="7" t="s">
        <v>817</v>
      </c>
      <c r="H279" s="7" t="s">
        <v>818</v>
      </c>
      <c r="I279" s="9">
        <v>45309</v>
      </c>
    </row>
    <row r="280" spans="1:9" x14ac:dyDescent="0.15">
      <c r="A280" s="6">
        <v>279</v>
      </c>
      <c r="B280" s="7" t="s">
        <v>10</v>
      </c>
      <c r="C280" s="8">
        <v>1888</v>
      </c>
      <c r="D280" s="9">
        <v>45432</v>
      </c>
      <c r="E280" s="13" t="str">
        <f>+HYPERLINK("http://trademark.i-assist.jp/data/china/image_1888th/76505949.pdf","76505949")</f>
        <v>76505949</v>
      </c>
      <c r="F280" s="7" t="s">
        <v>76</v>
      </c>
      <c r="G280" s="7" t="s">
        <v>819</v>
      </c>
      <c r="H280" s="7" t="s">
        <v>820</v>
      </c>
      <c r="I280" s="9">
        <v>45311</v>
      </c>
    </row>
    <row r="281" spans="1:9" x14ac:dyDescent="0.15">
      <c r="A281" s="6">
        <v>280</v>
      </c>
      <c r="B281" s="7" t="s">
        <v>10</v>
      </c>
      <c r="C281" s="8">
        <v>1888</v>
      </c>
      <c r="D281" s="9">
        <v>45432</v>
      </c>
      <c r="E281" s="13" t="str">
        <f>+HYPERLINK("http://trademark.i-assist.jp/data/china/image_1888th/76508352.pdf","76508352")</f>
        <v>76508352</v>
      </c>
      <c r="F281" s="7" t="s">
        <v>821</v>
      </c>
      <c r="G281" s="7" t="s">
        <v>822</v>
      </c>
      <c r="H281" s="7" t="s">
        <v>823</v>
      </c>
      <c r="I281" s="9">
        <v>45310</v>
      </c>
    </row>
    <row r="282" spans="1:9" x14ac:dyDescent="0.15">
      <c r="A282" s="6">
        <v>281</v>
      </c>
      <c r="B282" s="7" t="s">
        <v>10</v>
      </c>
      <c r="C282" s="8">
        <v>1888</v>
      </c>
      <c r="D282" s="9">
        <v>45432</v>
      </c>
      <c r="E282" s="13" t="str">
        <f>+HYPERLINK("http://trademark.i-assist.jp/data/china/image_1888th/76508672.pdf","76508672")</f>
        <v>76508672</v>
      </c>
      <c r="F282" s="7" t="s">
        <v>824</v>
      </c>
      <c r="G282" s="7" t="s">
        <v>825</v>
      </c>
      <c r="H282" s="7" t="s">
        <v>826</v>
      </c>
      <c r="I282" s="9">
        <v>45309</v>
      </c>
    </row>
    <row r="283" spans="1:9" x14ac:dyDescent="0.15">
      <c r="A283" s="6">
        <v>282</v>
      </c>
      <c r="B283" s="7" t="s">
        <v>10</v>
      </c>
      <c r="C283" s="8">
        <v>1888</v>
      </c>
      <c r="D283" s="9">
        <v>45432</v>
      </c>
      <c r="E283" s="13" t="str">
        <f>+HYPERLINK("http://trademark.i-assist.jp/data/china/image_1888th/76510720.pdf","76510720")</f>
        <v>76510720</v>
      </c>
      <c r="F283" s="7" t="s">
        <v>827</v>
      </c>
      <c r="G283" s="7" t="s">
        <v>828</v>
      </c>
      <c r="H283" s="7" t="s">
        <v>829</v>
      </c>
      <c r="I283" s="9">
        <v>45311</v>
      </c>
    </row>
    <row r="284" spans="1:9" x14ac:dyDescent="0.15">
      <c r="A284" s="6">
        <v>283</v>
      </c>
      <c r="B284" s="7" t="s">
        <v>10</v>
      </c>
      <c r="C284" s="8">
        <v>1888</v>
      </c>
      <c r="D284" s="9">
        <v>45432</v>
      </c>
      <c r="E284" s="13" t="str">
        <f>+HYPERLINK("http://trademark.i-assist.jp/data/china/image_1888th/76512122.pdf","76512122")</f>
        <v>76512122</v>
      </c>
      <c r="F284" s="7" t="s">
        <v>830</v>
      </c>
      <c r="G284" s="7" t="s">
        <v>831</v>
      </c>
      <c r="H284" s="7" t="s">
        <v>832</v>
      </c>
      <c r="I284" s="9">
        <v>45311</v>
      </c>
    </row>
    <row r="285" spans="1:9" x14ac:dyDescent="0.15">
      <c r="A285" s="6">
        <v>284</v>
      </c>
      <c r="B285" s="7" t="s">
        <v>10</v>
      </c>
      <c r="C285" s="8">
        <v>1888</v>
      </c>
      <c r="D285" s="9">
        <v>45432</v>
      </c>
      <c r="E285" s="13" t="str">
        <f>+HYPERLINK("http://trademark.i-assist.jp/data/china/image_1888th/76523705.pdf","76523705")</f>
        <v>76523705</v>
      </c>
      <c r="F285" s="7" t="s">
        <v>833</v>
      </c>
      <c r="G285" s="7" t="s">
        <v>834</v>
      </c>
      <c r="H285" s="7" t="s">
        <v>835</v>
      </c>
      <c r="I285" s="9">
        <v>45313</v>
      </c>
    </row>
    <row r="286" spans="1:9" x14ac:dyDescent="0.15">
      <c r="A286" s="6">
        <v>285</v>
      </c>
      <c r="B286" s="7" t="s">
        <v>10</v>
      </c>
      <c r="C286" s="8">
        <v>1888</v>
      </c>
      <c r="D286" s="9">
        <v>45432</v>
      </c>
      <c r="E286" s="13" t="str">
        <f>+HYPERLINK("http://trademark.i-assist.jp/data/china/image_1888th/76524722.pdf","76524722")</f>
        <v>76524722</v>
      </c>
      <c r="F286" s="7" t="s">
        <v>836</v>
      </c>
      <c r="G286" s="7" t="s">
        <v>837</v>
      </c>
      <c r="H286" s="7" t="s">
        <v>838</v>
      </c>
      <c r="I286" s="9">
        <v>45313</v>
      </c>
    </row>
    <row r="287" spans="1:9" x14ac:dyDescent="0.15">
      <c r="A287" s="6">
        <v>286</v>
      </c>
      <c r="B287" s="7" t="s">
        <v>10</v>
      </c>
      <c r="C287" s="8">
        <v>1888</v>
      </c>
      <c r="D287" s="9">
        <v>45432</v>
      </c>
      <c r="E287" s="13" t="str">
        <f>+HYPERLINK("http://trademark.i-assist.jp/data/china/image_1888th/76526535.pdf","76526535")</f>
        <v>76526535</v>
      </c>
      <c r="F287" s="7" t="s">
        <v>839</v>
      </c>
      <c r="G287" s="7" t="s">
        <v>840</v>
      </c>
      <c r="H287" s="7" t="s">
        <v>841</v>
      </c>
      <c r="I287" s="9">
        <v>45313</v>
      </c>
    </row>
    <row r="288" spans="1:9" ht="27" x14ac:dyDescent="0.15">
      <c r="A288" s="6">
        <v>287</v>
      </c>
      <c r="B288" s="7" t="s">
        <v>10</v>
      </c>
      <c r="C288" s="8">
        <v>1888</v>
      </c>
      <c r="D288" s="9">
        <v>45432</v>
      </c>
      <c r="E288" s="13" t="str">
        <f>+HYPERLINK("http://trademark.i-assist.jp/data/china/image_1888th/76528643.pdf","76528643")</f>
        <v>76528643</v>
      </c>
      <c r="F288" s="7" t="s">
        <v>842</v>
      </c>
      <c r="G288" s="7" t="s">
        <v>843</v>
      </c>
      <c r="H288" s="7" t="s">
        <v>844</v>
      </c>
      <c r="I288" s="9">
        <v>45313</v>
      </c>
    </row>
    <row r="289" spans="1:9" x14ac:dyDescent="0.15">
      <c r="A289" s="6">
        <v>288</v>
      </c>
      <c r="B289" s="7" t="s">
        <v>10</v>
      </c>
      <c r="C289" s="8">
        <v>1888</v>
      </c>
      <c r="D289" s="9">
        <v>45432</v>
      </c>
      <c r="E289" s="13" t="str">
        <f>+HYPERLINK("http://trademark.i-assist.jp/data/china/image_1888th/76529699.pdf","76529699")</f>
        <v>76529699</v>
      </c>
      <c r="F289" s="7" t="s">
        <v>845</v>
      </c>
      <c r="G289" s="7" t="s">
        <v>846</v>
      </c>
      <c r="H289" s="7" t="s">
        <v>847</v>
      </c>
      <c r="I289" s="9">
        <v>45313</v>
      </c>
    </row>
    <row r="290" spans="1:9" x14ac:dyDescent="0.15">
      <c r="A290" s="6">
        <v>289</v>
      </c>
      <c r="B290" s="7" t="s">
        <v>10</v>
      </c>
      <c r="C290" s="8">
        <v>1888</v>
      </c>
      <c r="D290" s="9">
        <v>45432</v>
      </c>
      <c r="E290" s="13" t="str">
        <f>+HYPERLINK("http://trademark.i-assist.jp/data/china/image_1888th/76531753.pdf","76531753")</f>
        <v>76531753</v>
      </c>
      <c r="F290" s="7" t="s">
        <v>848</v>
      </c>
      <c r="G290" s="7" t="s">
        <v>849</v>
      </c>
      <c r="H290" s="7" t="s">
        <v>850</v>
      </c>
      <c r="I290" s="9">
        <v>45313</v>
      </c>
    </row>
    <row r="291" spans="1:9" x14ac:dyDescent="0.15">
      <c r="A291" s="6">
        <v>290</v>
      </c>
      <c r="B291" s="7" t="s">
        <v>10</v>
      </c>
      <c r="C291" s="8">
        <v>1888</v>
      </c>
      <c r="D291" s="9">
        <v>45432</v>
      </c>
      <c r="E291" s="13" t="str">
        <f>+HYPERLINK("http://trademark.i-assist.jp/data/china/image_1888th/76534296.pdf","76534296")</f>
        <v>76534296</v>
      </c>
      <c r="F291" s="7" t="s">
        <v>851</v>
      </c>
      <c r="G291" s="7" t="s">
        <v>852</v>
      </c>
      <c r="H291" s="7" t="s">
        <v>853</v>
      </c>
      <c r="I291" s="9">
        <v>45313</v>
      </c>
    </row>
    <row r="292" spans="1:9" x14ac:dyDescent="0.15">
      <c r="A292" s="6">
        <v>291</v>
      </c>
      <c r="B292" s="7" t="s">
        <v>10</v>
      </c>
      <c r="C292" s="8">
        <v>1888</v>
      </c>
      <c r="D292" s="9">
        <v>45432</v>
      </c>
      <c r="E292" s="13" t="str">
        <f>+HYPERLINK("http://trademark.i-assist.jp/data/china/image_1888th/76534772.pdf","76534772")</f>
        <v>76534772</v>
      </c>
      <c r="F292" s="7" t="s">
        <v>851</v>
      </c>
      <c r="G292" s="7" t="s">
        <v>852</v>
      </c>
      <c r="H292" s="7" t="s">
        <v>853</v>
      </c>
      <c r="I292" s="9">
        <v>45313</v>
      </c>
    </row>
    <row r="293" spans="1:9" x14ac:dyDescent="0.15">
      <c r="A293" s="6">
        <v>292</v>
      </c>
      <c r="B293" s="7" t="s">
        <v>10</v>
      </c>
      <c r="C293" s="8">
        <v>1888</v>
      </c>
      <c r="D293" s="9">
        <v>45432</v>
      </c>
      <c r="E293" s="13" t="str">
        <f>+HYPERLINK("http://trademark.i-assist.jp/data/china/image_1888th/76534839.pdf","76534839")</f>
        <v>76534839</v>
      </c>
      <c r="F293" s="7" t="s">
        <v>854</v>
      </c>
      <c r="G293" s="7" t="s">
        <v>852</v>
      </c>
      <c r="H293" s="7" t="s">
        <v>853</v>
      </c>
      <c r="I293" s="9">
        <v>45313</v>
      </c>
    </row>
    <row r="294" spans="1:9" x14ac:dyDescent="0.15">
      <c r="A294" s="6">
        <v>293</v>
      </c>
      <c r="B294" s="7" t="s">
        <v>10</v>
      </c>
      <c r="C294" s="8">
        <v>1888</v>
      </c>
      <c r="D294" s="9">
        <v>45432</v>
      </c>
      <c r="E294" s="13" t="str">
        <f>+HYPERLINK("http://trademark.i-assist.jp/data/china/image_1888th/76536725.pdf","76536725")</f>
        <v>76536725</v>
      </c>
      <c r="F294" s="7" t="s">
        <v>855</v>
      </c>
      <c r="G294" s="7" t="s">
        <v>856</v>
      </c>
      <c r="H294" s="7" t="s">
        <v>857</v>
      </c>
      <c r="I294" s="9">
        <v>45313</v>
      </c>
    </row>
    <row r="295" spans="1:9" x14ac:dyDescent="0.15">
      <c r="A295" s="6">
        <v>294</v>
      </c>
      <c r="B295" s="7" t="s">
        <v>10</v>
      </c>
      <c r="C295" s="8">
        <v>1888</v>
      </c>
      <c r="D295" s="9">
        <v>45432</v>
      </c>
      <c r="E295" s="13" t="str">
        <f>+HYPERLINK("http://trademark.i-assist.jp/data/china/image_1888th/76537346.pdf","76537346")</f>
        <v>76537346</v>
      </c>
      <c r="F295" s="7" t="s">
        <v>851</v>
      </c>
      <c r="G295" s="7" t="s">
        <v>852</v>
      </c>
      <c r="H295" s="7" t="s">
        <v>858</v>
      </c>
      <c r="I295" s="9">
        <v>45313</v>
      </c>
    </row>
    <row r="296" spans="1:9" x14ac:dyDescent="0.15">
      <c r="A296" s="6">
        <v>295</v>
      </c>
      <c r="B296" s="7" t="s">
        <v>10</v>
      </c>
      <c r="C296" s="8">
        <v>1888</v>
      </c>
      <c r="D296" s="9">
        <v>45432</v>
      </c>
      <c r="E296" s="13" t="str">
        <f>+HYPERLINK("http://trademark.i-assist.jp/data/china/image_1888th/76538242.pdf","76538242")</f>
        <v>76538242</v>
      </c>
      <c r="F296" s="7" t="s">
        <v>851</v>
      </c>
      <c r="G296" s="7" t="s">
        <v>852</v>
      </c>
      <c r="H296" s="7" t="s">
        <v>859</v>
      </c>
      <c r="I296" s="9">
        <v>45313</v>
      </c>
    </row>
    <row r="297" spans="1:9" x14ac:dyDescent="0.15">
      <c r="A297" s="6">
        <v>296</v>
      </c>
      <c r="B297" s="7" t="s">
        <v>10</v>
      </c>
      <c r="C297" s="8">
        <v>1888</v>
      </c>
      <c r="D297" s="9">
        <v>45432</v>
      </c>
      <c r="E297" s="13" t="str">
        <f>+HYPERLINK("http://trademark.i-assist.jp/data/china/image_1888th/76538306.pdf","76538306")</f>
        <v>76538306</v>
      </c>
      <c r="F297" s="7" t="s">
        <v>860</v>
      </c>
      <c r="G297" s="7" t="s">
        <v>861</v>
      </c>
      <c r="H297" s="7" t="s">
        <v>862</v>
      </c>
      <c r="I297" s="9">
        <v>45313</v>
      </c>
    </row>
    <row r="298" spans="1:9" x14ac:dyDescent="0.15">
      <c r="A298" s="6">
        <v>297</v>
      </c>
      <c r="B298" s="7" t="s">
        <v>10</v>
      </c>
      <c r="C298" s="8">
        <v>1888</v>
      </c>
      <c r="D298" s="9">
        <v>45432</v>
      </c>
      <c r="E298" s="13" t="str">
        <f>+HYPERLINK("http://trademark.i-assist.jp/data/china/image_1888th/76538377.pdf","76538377")</f>
        <v>76538377</v>
      </c>
      <c r="F298" s="7" t="s">
        <v>863</v>
      </c>
      <c r="G298" s="7" t="s">
        <v>864</v>
      </c>
      <c r="H298" s="7" t="s">
        <v>865</v>
      </c>
      <c r="I298" s="9">
        <v>45313</v>
      </c>
    </row>
    <row r="299" spans="1:9" x14ac:dyDescent="0.15">
      <c r="A299" s="6">
        <v>298</v>
      </c>
      <c r="B299" s="7" t="s">
        <v>10</v>
      </c>
      <c r="C299" s="8">
        <v>1888</v>
      </c>
      <c r="D299" s="9">
        <v>45432</v>
      </c>
      <c r="E299" s="13" t="str">
        <f>+HYPERLINK("http://trademark.i-assist.jp/data/china/image_1888th/76541508.pdf","76541508")</f>
        <v>76541508</v>
      </c>
      <c r="F299" s="7" t="s">
        <v>851</v>
      </c>
      <c r="G299" s="7" t="s">
        <v>852</v>
      </c>
      <c r="H299" s="7" t="s">
        <v>853</v>
      </c>
      <c r="I299" s="9">
        <v>45313</v>
      </c>
    </row>
    <row r="300" spans="1:9" x14ac:dyDescent="0.15">
      <c r="A300" s="6">
        <v>299</v>
      </c>
      <c r="B300" s="7" t="s">
        <v>10</v>
      </c>
      <c r="C300" s="8">
        <v>1888</v>
      </c>
      <c r="D300" s="9">
        <v>45432</v>
      </c>
      <c r="E300" s="13" t="str">
        <f>+HYPERLINK("http://trademark.i-assist.jp/data/china/image_1888th/76542387.pdf","76542387")</f>
        <v>76542387</v>
      </c>
      <c r="F300" s="7" t="s">
        <v>866</v>
      </c>
      <c r="G300" s="7" t="s">
        <v>867</v>
      </c>
      <c r="H300" s="7" t="s">
        <v>868</v>
      </c>
      <c r="I300" s="9">
        <v>45313</v>
      </c>
    </row>
    <row r="301" spans="1:9" x14ac:dyDescent="0.15">
      <c r="A301" s="6">
        <v>300</v>
      </c>
      <c r="B301" s="7" t="s">
        <v>10</v>
      </c>
      <c r="C301" s="8">
        <v>1888</v>
      </c>
      <c r="D301" s="9">
        <v>45432</v>
      </c>
      <c r="E301" s="13" t="str">
        <f>+HYPERLINK("http://trademark.i-assist.jp/data/china/image_1888th/76542433.pdf","76542433")</f>
        <v>76542433</v>
      </c>
      <c r="F301" s="7" t="s">
        <v>869</v>
      </c>
      <c r="G301" s="7" t="s">
        <v>870</v>
      </c>
      <c r="H301" s="7" t="s">
        <v>871</v>
      </c>
      <c r="I301" s="9">
        <v>45313</v>
      </c>
    </row>
    <row r="302" spans="1:9" x14ac:dyDescent="0.15">
      <c r="A302" s="6">
        <v>301</v>
      </c>
      <c r="B302" s="7" t="s">
        <v>10</v>
      </c>
      <c r="C302" s="8">
        <v>1888</v>
      </c>
      <c r="D302" s="9">
        <v>45432</v>
      </c>
      <c r="E302" s="13" t="str">
        <f>+HYPERLINK("http://trademark.i-assist.jp/data/china/image_1888th/76542843.pdf","76542843")</f>
        <v>76542843</v>
      </c>
      <c r="F302" s="7" t="s">
        <v>872</v>
      </c>
      <c r="G302" s="7" t="s">
        <v>873</v>
      </c>
      <c r="H302" s="7" t="s">
        <v>874</v>
      </c>
      <c r="I302" s="9">
        <v>45313</v>
      </c>
    </row>
    <row r="303" spans="1:9" x14ac:dyDescent="0.15">
      <c r="A303" s="6">
        <v>302</v>
      </c>
      <c r="B303" s="7" t="s">
        <v>10</v>
      </c>
      <c r="C303" s="8">
        <v>1888</v>
      </c>
      <c r="D303" s="9">
        <v>45432</v>
      </c>
      <c r="E303" s="13" t="str">
        <f>+HYPERLINK("http://trademark.i-assist.jp/data/china/image_1888th/76544605.pdf","76544605")</f>
        <v>76544605</v>
      </c>
      <c r="F303" s="7" t="s">
        <v>875</v>
      </c>
      <c r="G303" s="7" t="s">
        <v>876</v>
      </c>
      <c r="H303" s="7" t="s">
        <v>877</v>
      </c>
      <c r="I303" s="9">
        <v>45314</v>
      </c>
    </row>
    <row r="304" spans="1:9" x14ac:dyDescent="0.15">
      <c r="A304" s="6">
        <v>303</v>
      </c>
      <c r="B304" s="7" t="s">
        <v>10</v>
      </c>
      <c r="C304" s="8">
        <v>1888</v>
      </c>
      <c r="D304" s="9">
        <v>45432</v>
      </c>
      <c r="E304" s="13" t="str">
        <f>+HYPERLINK("http://trademark.i-assist.jp/data/china/image_1888th/76544758.pdf","76544758")</f>
        <v>76544758</v>
      </c>
      <c r="F304" s="7" t="s">
        <v>878</v>
      </c>
      <c r="G304" s="7" t="s">
        <v>607</v>
      </c>
      <c r="H304" s="7" t="s">
        <v>879</v>
      </c>
      <c r="I304" s="9">
        <v>45314</v>
      </c>
    </row>
    <row r="305" spans="1:9" x14ac:dyDescent="0.15">
      <c r="A305" s="6">
        <v>304</v>
      </c>
      <c r="B305" s="7" t="s">
        <v>10</v>
      </c>
      <c r="C305" s="8">
        <v>1888</v>
      </c>
      <c r="D305" s="9">
        <v>45432</v>
      </c>
      <c r="E305" s="13" t="str">
        <f>+HYPERLINK("http://trademark.i-assist.jp/data/china/image_1888th/76559831.pdf","76559831")</f>
        <v>76559831</v>
      </c>
      <c r="F305" s="7" t="s">
        <v>880</v>
      </c>
      <c r="G305" s="7" t="s">
        <v>881</v>
      </c>
      <c r="H305" s="7" t="s">
        <v>882</v>
      </c>
      <c r="I305" s="9">
        <v>45314</v>
      </c>
    </row>
    <row r="306" spans="1:9" x14ac:dyDescent="0.15">
      <c r="A306" s="6">
        <v>305</v>
      </c>
      <c r="B306" s="7" t="s">
        <v>10</v>
      </c>
      <c r="C306" s="8">
        <v>1888</v>
      </c>
      <c r="D306" s="9">
        <v>45432</v>
      </c>
      <c r="E306" s="13" t="str">
        <f>+HYPERLINK("http://trademark.i-assist.jp/data/china/image_1888th/76560191.pdf","76560191")</f>
        <v>76560191</v>
      </c>
      <c r="F306" s="7" t="s">
        <v>883</v>
      </c>
      <c r="G306" s="7" t="s">
        <v>884</v>
      </c>
      <c r="H306" s="7" t="s">
        <v>885</v>
      </c>
      <c r="I306" s="9">
        <v>45314</v>
      </c>
    </row>
    <row r="307" spans="1:9" x14ac:dyDescent="0.15">
      <c r="A307" s="6">
        <v>306</v>
      </c>
      <c r="B307" s="7" t="s">
        <v>10</v>
      </c>
      <c r="C307" s="8">
        <v>1888</v>
      </c>
      <c r="D307" s="9">
        <v>45432</v>
      </c>
      <c r="E307" s="13" t="str">
        <f>+HYPERLINK("http://trademark.i-assist.jp/data/china/image_1888th/76562207.pdf","76562207")</f>
        <v>76562207</v>
      </c>
      <c r="F307" s="7" t="s">
        <v>886</v>
      </c>
      <c r="G307" s="7" t="s">
        <v>887</v>
      </c>
      <c r="H307" s="7" t="s">
        <v>888</v>
      </c>
      <c r="I307" s="9">
        <v>45314</v>
      </c>
    </row>
    <row r="308" spans="1:9" x14ac:dyDescent="0.15">
      <c r="A308" s="6">
        <v>307</v>
      </c>
      <c r="B308" s="7" t="s">
        <v>10</v>
      </c>
      <c r="C308" s="8">
        <v>1888</v>
      </c>
      <c r="D308" s="9">
        <v>45432</v>
      </c>
      <c r="E308" s="13" t="str">
        <f>+HYPERLINK("http://trademark.i-assist.jp/data/china/image_1888th/76562476.pdf","76562476")</f>
        <v>76562476</v>
      </c>
      <c r="F308" s="7" t="s">
        <v>76</v>
      </c>
      <c r="G308" s="7" t="s">
        <v>889</v>
      </c>
      <c r="H308" s="7" t="s">
        <v>890</v>
      </c>
      <c r="I308" s="9">
        <v>45314</v>
      </c>
    </row>
    <row r="309" spans="1:9" x14ac:dyDescent="0.15">
      <c r="A309" s="6">
        <v>308</v>
      </c>
      <c r="B309" s="7" t="s">
        <v>10</v>
      </c>
      <c r="C309" s="8">
        <v>1888</v>
      </c>
      <c r="D309" s="9">
        <v>45432</v>
      </c>
      <c r="E309" s="13" t="str">
        <f>+HYPERLINK("http://trademark.i-assist.jp/data/china/image_1888th/76562480.pdf","76562480")</f>
        <v>76562480</v>
      </c>
      <c r="F309" s="7" t="s">
        <v>891</v>
      </c>
      <c r="G309" s="7" t="s">
        <v>889</v>
      </c>
      <c r="H309" s="7" t="s">
        <v>892</v>
      </c>
      <c r="I309" s="9">
        <v>45314</v>
      </c>
    </row>
    <row r="310" spans="1:9" ht="27" x14ac:dyDescent="0.15">
      <c r="A310" s="6">
        <v>309</v>
      </c>
      <c r="B310" s="7" t="s">
        <v>10</v>
      </c>
      <c r="C310" s="8">
        <v>1888</v>
      </c>
      <c r="D310" s="9">
        <v>45432</v>
      </c>
      <c r="E310" s="13" t="str">
        <f>+HYPERLINK("http://trademark.i-assist.jp/data/china/image_1888th/76563951.pdf","76563951")</f>
        <v>76563951</v>
      </c>
      <c r="F310" s="7" t="s">
        <v>893</v>
      </c>
      <c r="G310" s="7" t="s">
        <v>894</v>
      </c>
      <c r="H310" s="7" t="s">
        <v>895</v>
      </c>
      <c r="I310" s="9">
        <v>45314</v>
      </c>
    </row>
    <row r="311" spans="1:9" x14ac:dyDescent="0.15">
      <c r="A311" s="6">
        <v>310</v>
      </c>
      <c r="B311" s="7" t="s">
        <v>10</v>
      </c>
      <c r="C311" s="8">
        <v>1888</v>
      </c>
      <c r="D311" s="9">
        <v>45432</v>
      </c>
      <c r="E311" s="13" t="str">
        <f>+HYPERLINK("http://trademark.i-assist.jp/data/china/image_1888th/76565380.pdf","76565380")</f>
        <v>76565380</v>
      </c>
      <c r="F311" s="7" t="s">
        <v>896</v>
      </c>
      <c r="G311" s="7" t="s">
        <v>897</v>
      </c>
      <c r="H311" s="7" t="s">
        <v>898</v>
      </c>
      <c r="I311" s="9">
        <v>45314</v>
      </c>
    </row>
    <row r="312" spans="1:9" ht="27" x14ac:dyDescent="0.15">
      <c r="A312" s="6">
        <v>311</v>
      </c>
      <c r="B312" s="7" t="s">
        <v>10</v>
      </c>
      <c r="C312" s="8">
        <v>1888</v>
      </c>
      <c r="D312" s="9">
        <v>45432</v>
      </c>
      <c r="E312" s="13" t="str">
        <f>+HYPERLINK("http://trademark.i-assist.jp/data/china/image_1888th/76566211A.pdf","76566211A")</f>
        <v>76566211A</v>
      </c>
      <c r="F312" s="7" t="s">
        <v>899</v>
      </c>
      <c r="G312" s="7" t="s">
        <v>900</v>
      </c>
      <c r="H312" s="7" t="s">
        <v>901</v>
      </c>
      <c r="I312" s="9">
        <v>45314</v>
      </c>
    </row>
    <row r="313" spans="1:9" x14ac:dyDescent="0.15">
      <c r="A313" s="6">
        <v>312</v>
      </c>
      <c r="B313" s="7" t="s">
        <v>10</v>
      </c>
      <c r="C313" s="8">
        <v>1888</v>
      </c>
      <c r="D313" s="9">
        <v>45432</v>
      </c>
      <c r="E313" s="13" t="str">
        <f>+HYPERLINK("http://trademark.i-assist.jp/data/china/image_1888th/76570151.pdf","76570151")</f>
        <v>76570151</v>
      </c>
      <c r="F313" s="7" t="s">
        <v>902</v>
      </c>
      <c r="G313" s="7" t="s">
        <v>903</v>
      </c>
      <c r="H313" s="7" t="s">
        <v>904</v>
      </c>
      <c r="I313" s="9">
        <v>45315</v>
      </c>
    </row>
    <row r="314" spans="1:9" x14ac:dyDescent="0.15">
      <c r="A314" s="6">
        <v>313</v>
      </c>
      <c r="B314" s="7" t="s">
        <v>10</v>
      </c>
      <c r="C314" s="8">
        <v>1888</v>
      </c>
      <c r="D314" s="9">
        <v>45432</v>
      </c>
      <c r="E314" s="13" t="str">
        <f>+HYPERLINK("http://trademark.i-assist.jp/data/china/image_1888th/76573512A.pdf","76573512A")</f>
        <v>76573512A</v>
      </c>
      <c r="F314" s="7" t="s">
        <v>905</v>
      </c>
      <c r="G314" s="7" t="s">
        <v>906</v>
      </c>
      <c r="H314" s="7" t="s">
        <v>907</v>
      </c>
      <c r="I314" s="9">
        <v>45315</v>
      </c>
    </row>
    <row r="315" spans="1:9" x14ac:dyDescent="0.15">
      <c r="A315" s="6">
        <v>314</v>
      </c>
      <c r="B315" s="7" t="s">
        <v>10</v>
      </c>
      <c r="C315" s="8">
        <v>1888</v>
      </c>
      <c r="D315" s="9">
        <v>45432</v>
      </c>
      <c r="E315" s="13" t="str">
        <f>+HYPERLINK("http://trademark.i-assist.jp/data/china/image_1888th/76574010.pdf","76574010")</f>
        <v>76574010</v>
      </c>
      <c r="F315" s="7" t="s">
        <v>908</v>
      </c>
      <c r="G315" s="7" t="s">
        <v>909</v>
      </c>
      <c r="H315" s="7" t="s">
        <v>910</v>
      </c>
      <c r="I315" s="9">
        <v>45315</v>
      </c>
    </row>
    <row r="316" spans="1:9" x14ac:dyDescent="0.15">
      <c r="A316" s="6">
        <v>315</v>
      </c>
      <c r="B316" s="7" t="s">
        <v>10</v>
      </c>
      <c r="C316" s="8">
        <v>1888</v>
      </c>
      <c r="D316" s="9">
        <v>45432</v>
      </c>
      <c r="E316" s="13" t="str">
        <f>+HYPERLINK("http://trademark.i-assist.jp/data/china/image_1888th/76574551.pdf","76574551")</f>
        <v>76574551</v>
      </c>
      <c r="F316" s="7" t="s">
        <v>911</v>
      </c>
      <c r="G316" s="7" t="s">
        <v>912</v>
      </c>
      <c r="H316" s="7" t="s">
        <v>913</v>
      </c>
      <c r="I316" s="9">
        <v>45315</v>
      </c>
    </row>
    <row r="317" spans="1:9" ht="27" x14ac:dyDescent="0.15">
      <c r="A317" s="6">
        <v>316</v>
      </c>
      <c r="B317" s="7" t="s">
        <v>10</v>
      </c>
      <c r="C317" s="8">
        <v>1888</v>
      </c>
      <c r="D317" s="9">
        <v>45432</v>
      </c>
      <c r="E317" s="13" t="str">
        <f>+HYPERLINK("http://trademark.i-assist.jp/data/china/image_1888th/76578531.pdf","76578531")</f>
        <v>76578531</v>
      </c>
      <c r="F317" s="7" t="s">
        <v>914</v>
      </c>
      <c r="G317" s="7" t="s">
        <v>915</v>
      </c>
      <c r="H317" s="7" t="s">
        <v>916</v>
      </c>
      <c r="I317" s="9">
        <v>45315</v>
      </c>
    </row>
    <row r="318" spans="1:9" x14ac:dyDescent="0.15">
      <c r="A318" s="6">
        <v>317</v>
      </c>
      <c r="B318" s="7" t="s">
        <v>10</v>
      </c>
      <c r="C318" s="8">
        <v>1888</v>
      </c>
      <c r="D318" s="9">
        <v>45432</v>
      </c>
      <c r="E318" s="13" t="str">
        <f>+HYPERLINK("http://trademark.i-assist.jp/data/china/image_1888th/76579749.pdf","76579749")</f>
        <v>76579749</v>
      </c>
      <c r="F318" s="7" t="s">
        <v>917</v>
      </c>
      <c r="G318" s="7" t="s">
        <v>918</v>
      </c>
      <c r="H318" s="7" t="s">
        <v>919</v>
      </c>
      <c r="I318" s="9">
        <v>45315</v>
      </c>
    </row>
    <row r="319" spans="1:9" x14ac:dyDescent="0.15">
      <c r="A319" s="6">
        <v>318</v>
      </c>
      <c r="B319" s="7" t="s">
        <v>10</v>
      </c>
      <c r="C319" s="8">
        <v>1888</v>
      </c>
      <c r="D319" s="9">
        <v>45432</v>
      </c>
      <c r="E319" s="13" t="str">
        <f>+HYPERLINK("http://trademark.i-assist.jp/data/china/image_1888th/76580276.pdf","76580276")</f>
        <v>76580276</v>
      </c>
      <c r="F319" s="7" t="s">
        <v>920</v>
      </c>
      <c r="G319" s="7" t="s">
        <v>921</v>
      </c>
      <c r="H319" s="7" t="s">
        <v>922</v>
      </c>
      <c r="I319" s="9">
        <v>45315</v>
      </c>
    </row>
    <row r="320" spans="1:9" x14ac:dyDescent="0.15">
      <c r="A320" s="6">
        <v>319</v>
      </c>
      <c r="B320" s="7" t="s">
        <v>10</v>
      </c>
      <c r="C320" s="8">
        <v>1888</v>
      </c>
      <c r="D320" s="9">
        <v>45432</v>
      </c>
      <c r="E320" s="13" t="str">
        <f>+HYPERLINK("http://trademark.i-assist.jp/data/china/image_1888th/76583518.pdf","76583518")</f>
        <v>76583518</v>
      </c>
      <c r="F320" s="7" t="s">
        <v>923</v>
      </c>
      <c r="G320" s="7" t="s">
        <v>924</v>
      </c>
      <c r="H320" s="7" t="s">
        <v>925</v>
      </c>
      <c r="I320" s="9">
        <v>45315</v>
      </c>
    </row>
    <row r="321" spans="1:9" ht="27" x14ac:dyDescent="0.15">
      <c r="A321" s="6">
        <v>320</v>
      </c>
      <c r="B321" s="7" t="s">
        <v>10</v>
      </c>
      <c r="C321" s="8">
        <v>1888</v>
      </c>
      <c r="D321" s="9">
        <v>45432</v>
      </c>
      <c r="E321" s="13" t="str">
        <f>+HYPERLINK("http://trademark.i-assist.jp/data/china/image_1888th/76584152.pdf","76584152")</f>
        <v>76584152</v>
      </c>
      <c r="F321" s="7" t="s">
        <v>926</v>
      </c>
      <c r="G321" s="7" t="s">
        <v>927</v>
      </c>
      <c r="H321" s="7" t="s">
        <v>928</v>
      </c>
      <c r="I321" s="9">
        <v>45315</v>
      </c>
    </row>
    <row r="322" spans="1:9" ht="27" x14ac:dyDescent="0.15">
      <c r="A322" s="6">
        <v>321</v>
      </c>
      <c r="B322" s="7" t="s">
        <v>10</v>
      </c>
      <c r="C322" s="8">
        <v>1888</v>
      </c>
      <c r="D322" s="9">
        <v>45432</v>
      </c>
      <c r="E322" s="13" t="str">
        <f>+HYPERLINK("http://trademark.i-assist.jp/data/china/image_1888th/76584624.pdf","76584624")</f>
        <v>76584624</v>
      </c>
      <c r="F322" s="7" t="s">
        <v>929</v>
      </c>
      <c r="G322" s="7" t="s">
        <v>930</v>
      </c>
      <c r="H322" s="7" t="s">
        <v>75</v>
      </c>
      <c r="I322" s="9">
        <v>45315</v>
      </c>
    </row>
    <row r="323" spans="1:9" x14ac:dyDescent="0.15">
      <c r="A323" s="6">
        <v>322</v>
      </c>
      <c r="B323" s="7" t="s">
        <v>10</v>
      </c>
      <c r="C323" s="8">
        <v>1888</v>
      </c>
      <c r="D323" s="9">
        <v>45432</v>
      </c>
      <c r="E323" s="13" t="str">
        <f>+HYPERLINK("http://trademark.i-assist.jp/data/china/image_1888th/76585895.pdf","76585895")</f>
        <v>76585895</v>
      </c>
      <c r="F323" s="7" t="s">
        <v>931</v>
      </c>
      <c r="G323" s="7" t="s">
        <v>932</v>
      </c>
      <c r="H323" s="7" t="s">
        <v>933</v>
      </c>
      <c r="I323" s="9">
        <v>45315</v>
      </c>
    </row>
    <row r="324" spans="1:9" x14ac:dyDescent="0.15">
      <c r="A324" s="6">
        <v>323</v>
      </c>
      <c r="B324" s="7" t="s">
        <v>10</v>
      </c>
      <c r="C324" s="8">
        <v>1888</v>
      </c>
      <c r="D324" s="9">
        <v>45432</v>
      </c>
      <c r="E324" s="13" t="str">
        <f>+HYPERLINK("http://trademark.i-assist.jp/data/china/image_1888th/76586094.pdf","76586094")</f>
        <v>76586094</v>
      </c>
      <c r="F324" s="7" t="s">
        <v>934</v>
      </c>
      <c r="G324" s="7" t="s">
        <v>935</v>
      </c>
      <c r="H324" s="7" t="s">
        <v>936</v>
      </c>
      <c r="I324" s="9">
        <v>45315</v>
      </c>
    </row>
    <row r="325" spans="1:9" x14ac:dyDescent="0.15">
      <c r="A325" s="6">
        <v>324</v>
      </c>
      <c r="B325" s="7" t="s">
        <v>10</v>
      </c>
      <c r="C325" s="8">
        <v>1888</v>
      </c>
      <c r="D325" s="9">
        <v>45432</v>
      </c>
      <c r="E325" s="13" t="str">
        <f>+HYPERLINK("http://trademark.i-assist.jp/data/china/image_1888th/76586236.pdf","76586236")</f>
        <v>76586236</v>
      </c>
      <c r="F325" s="7" t="s">
        <v>937</v>
      </c>
      <c r="G325" s="7" t="s">
        <v>938</v>
      </c>
      <c r="H325" s="7" t="s">
        <v>939</v>
      </c>
      <c r="I325" s="9">
        <v>45315</v>
      </c>
    </row>
    <row r="326" spans="1:9" x14ac:dyDescent="0.15">
      <c r="A326" s="6">
        <v>325</v>
      </c>
      <c r="B326" s="7" t="s">
        <v>10</v>
      </c>
      <c r="C326" s="8">
        <v>1888</v>
      </c>
      <c r="D326" s="9">
        <v>45432</v>
      </c>
      <c r="E326" s="13" t="str">
        <f>+HYPERLINK("http://trademark.i-assist.jp/data/china/image_1888th/76587929.pdf","76587929")</f>
        <v>76587929</v>
      </c>
      <c r="F326" s="7" t="s">
        <v>76</v>
      </c>
      <c r="G326" s="7" t="s">
        <v>940</v>
      </c>
      <c r="H326" s="7" t="s">
        <v>941</v>
      </c>
      <c r="I326" s="9">
        <v>45315</v>
      </c>
    </row>
    <row r="327" spans="1:9" x14ac:dyDescent="0.15">
      <c r="A327" s="6">
        <v>326</v>
      </c>
      <c r="B327" s="7" t="s">
        <v>10</v>
      </c>
      <c r="C327" s="8">
        <v>1888</v>
      </c>
      <c r="D327" s="9">
        <v>45432</v>
      </c>
      <c r="E327" s="13" t="str">
        <f>+HYPERLINK("http://trademark.i-assist.jp/data/china/image_1888th/76588518.pdf","76588518")</f>
        <v>76588518</v>
      </c>
      <c r="F327" s="7" t="s">
        <v>942</v>
      </c>
      <c r="G327" s="7" t="s">
        <v>943</v>
      </c>
      <c r="H327" s="7" t="s">
        <v>944</v>
      </c>
      <c r="I327" s="9">
        <v>45315</v>
      </c>
    </row>
    <row r="328" spans="1:9" ht="27" x14ac:dyDescent="0.15">
      <c r="A328" s="6">
        <v>327</v>
      </c>
      <c r="B328" s="7" t="s">
        <v>10</v>
      </c>
      <c r="C328" s="8">
        <v>1888</v>
      </c>
      <c r="D328" s="9">
        <v>45432</v>
      </c>
      <c r="E328" s="13" t="str">
        <f>+HYPERLINK("http://trademark.i-assist.jp/data/china/image_1888th/76589382.pdf","76589382")</f>
        <v>76589382</v>
      </c>
      <c r="F328" s="7" t="s">
        <v>945</v>
      </c>
      <c r="G328" s="7" t="s">
        <v>946</v>
      </c>
      <c r="H328" s="7" t="s">
        <v>947</v>
      </c>
      <c r="I328" s="9">
        <v>45315</v>
      </c>
    </row>
    <row r="329" spans="1:9" x14ac:dyDescent="0.15">
      <c r="A329" s="6">
        <v>328</v>
      </c>
      <c r="B329" s="7" t="s">
        <v>10</v>
      </c>
      <c r="C329" s="8">
        <v>1888</v>
      </c>
      <c r="D329" s="9">
        <v>45432</v>
      </c>
      <c r="E329" s="13" t="str">
        <f>+HYPERLINK("http://trademark.i-assist.jp/data/china/image_1888th/76590263.pdf","76590263")</f>
        <v>76590263</v>
      </c>
      <c r="F329" s="7" t="s">
        <v>948</v>
      </c>
      <c r="G329" s="7" t="s">
        <v>949</v>
      </c>
      <c r="H329" s="7" t="s">
        <v>950</v>
      </c>
      <c r="I329" s="9">
        <v>45315</v>
      </c>
    </row>
    <row r="330" spans="1:9" x14ac:dyDescent="0.15">
      <c r="A330" s="6">
        <v>329</v>
      </c>
      <c r="B330" s="7" t="s">
        <v>10</v>
      </c>
      <c r="C330" s="8">
        <v>1888</v>
      </c>
      <c r="D330" s="9">
        <v>45432</v>
      </c>
      <c r="E330" s="13" t="str">
        <f>+HYPERLINK("http://trademark.i-assist.jp/data/china/image_1888th/76593169.pdf","76593169")</f>
        <v>76593169</v>
      </c>
      <c r="F330" s="7" t="s">
        <v>951</v>
      </c>
      <c r="G330" s="7" t="s">
        <v>952</v>
      </c>
      <c r="H330" s="7" t="s">
        <v>953</v>
      </c>
      <c r="I330" s="9">
        <v>45316</v>
      </c>
    </row>
    <row r="331" spans="1:9" ht="27" x14ac:dyDescent="0.15">
      <c r="A331" s="6">
        <v>330</v>
      </c>
      <c r="B331" s="7" t="s">
        <v>10</v>
      </c>
      <c r="C331" s="8">
        <v>1888</v>
      </c>
      <c r="D331" s="9">
        <v>45432</v>
      </c>
      <c r="E331" s="13" t="str">
        <f>+HYPERLINK("http://trademark.i-assist.jp/data/china/image_1888th/76595579.pdf","76595579")</f>
        <v>76595579</v>
      </c>
      <c r="F331" s="7" t="s">
        <v>954</v>
      </c>
      <c r="G331" s="7" t="s">
        <v>955</v>
      </c>
      <c r="H331" s="7" t="s">
        <v>956</v>
      </c>
      <c r="I331" s="9">
        <v>45316</v>
      </c>
    </row>
    <row r="332" spans="1:9" ht="27" x14ac:dyDescent="0.15">
      <c r="A332" s="6">
        <v>331</v>
      </c>
      <c r="B332" s="7" t="s">
        <v>10</v>
      </c>
      <c r="C332" s="8">
        <v>1888</v>
      </c>
      <c r="D332" s="9">
        <v>45432</v>
      </c>
      <c r="E332" s="13" t="str">
        <f>+HYPERLINK("http://trademark.i-assist.jp/data/china/image_1888th/76598053.pdf","76598053")</f>
        <v>76598053</v>
      </c>
      <c r="F332" s="7" t="s">
        <v>957</v>
      </c>
      <c r="G332" s="7" t="s">
        <v>958</v>
      </c>
      <c r="H332" s="7" t="s">
        <v>959</v>
      </c>
      <c r="I332" s="9">
        <v>45316</v>
      </c>
    </row>
    <row r="333" spans="1:9" ht="27" x14ac:dyDescent="0.15">
      <c r="A333" s="6">
        <v>332</v>
      </c>
      <c r="B333" s="7" t="s">
        <v>10</v>
      </c>
      <c r="C333" s="8">
        <v>1888</v>
      </c>
      <c r="D333" s="9">
        <v>45432</v>
      </c>
      <c r="E333" s="13" t="str">
        <f>+HYPERLINK("http://trademark.i-assist.jp/data/china/image_1888th/76601758.pdf","76601758")</f>
        <v>76601758</v>
      </c>
      <c r="F333" s="7" t="s">
        <v>960</v>
      </c>
      <c r="G333" s="7" t="s">
        <v>958</v>
      </c>
      <c r="H333" s="7" t="s">
        <v>959</v>
      </c>
      <c r="I333" s="9">
        <v>45316</v>
      </c>
    </row>
    <row r="334" spans="1:9" x14ac:dyDescent="0.15">
      <c r="A334" s="6">
        <v>333</v>
      </c>
      <c r="B334" s="7" t="s">
        <v>10</v>
      </c>
      <c r="C334" s="8">
        <v>1888</v>
      </c>
      <c r="D334" s="9">
        <v>45432</v>
      </c>
      <c r="E334" s="13" t="str">
        <f>+HYPERLINK("http://trademark.i-assist.jp/data/china/image_1888th/76604815.pdf","76604815")</f>
        <v>76604815</v>
      </c>
      <c r="F334" s="7" t="s">
        <v>961</v>
      </c>
      <c r="G334" s="7" t="s">
        <v>962</v>
      </c>
      <c r="H334" s="7" t="s">
        <v>963</v>
      </c>
      <c r="I334" s="9">
        <v>45316</v>
      </c>
    </row>
    <row r="335" spans="1:9" x14ac:dyDescent="0.15">
      <c r="A335" s="6">
        <v>334</v>
      </c>
      <c r="B335" s="7" t="s">
        <v>10</v>
      </c>
      <c r="C335" s="8">
        <v>1888</v>
      </c>
      <c r="D335" s="9">
        <v>45432</v>
      </c>
      <c r="E335" s="13" t="str">
        <f>+HYPERLINK("http://trademark.i-assist.jp/data/china/image_1888th/76607307.pdf","76607307")</f>
        <v>76607307</v>
      </c>
      <c r="F335" s="7" t="s">
        <v>964</v>
      </c>
      <c r="G335" s="7" t="s">
        <v>965</v>
      </c>
      <c r="H335" s="7" t="s">
        <v>966</v>
      </c>
      <c r="I335" s="9">
        <v>45316</v>
      </c>
    </row>
    <row r="336" spans="1:9" ht="27" x14ac:dyDescent="0.15">
      <c r="A336" s="6">
        <v>335</v>
      </c>
      <c r="B336" s="7" t="s">
        <v>10</v>
      </c>
      <c r="C336" s="8">
        <v>1888</v>
      </c>
      <c r="D336" s="9">
        <v>45432</v>
      </c>
      <c r="E336" s="13" t="str">
        <f>+HYPERLINK("http://trademark.i-assist.jp/data/china/image_1888th/76607677.pdf","76607677")</f>
        <v>76607677</v>
      </c>
      <c r="F336" s="7" t="s">
        <v>967</v>
      </c>
      <c r="G336" s="7" t="s">
        <v>968</v>
      </c>
      <c r="H336" s="7" t="s">
        <v>969</v>
      </c>
      <c r="I336" s="9">
        <v>45316</v>
      </c>
    </row>
    <row r="337" spans="1:9" x14ac:dyDescent="0.15">
      <c r="A337" s="6">
        <v>336</v>
      </c>
      <c r="B337" s="7" t="s">
        <v>10</v>
      </c>
      <c r="C337" s="8">
        <v>1888</v>
      </c>
      <c r="D337" s="9">
        <v>45432</v>
      </c>
      <c r="E337" s="13" t="str">
        <f>+HYPERLINK("http://trademark.i-assist.jp/data/china/image_1888th/76609362.pdf","76609362")</f>
        <v>76609362</v>
      </c>
      <c r="F337" s="7" t="s">
        <v>970</v>
      </c>
      <c r="G337" s="7" t="s">
        <v>971</v>
      </c>
      <c r="H337" s="7" t="s">
        <v>972</v>
      </c>
      <c r="I337" s="9">
        <v>45316</v>
      </c>
    </row>
    <row r="338" spans="1:9" x14ac:dyDescent="0.15">
      <c r="A338" s="6">
        <v>337</v>
      </c>
      <c r="B338" s="7" t="s">
        <v>10</v>
      </c>
      <c r="C338" s="8">
        <v>1888</v>
      </c>
      <c r="D338" s="9">
        <v>45432</v>
      </c>
      <c r="E338" s="13" t="str">
        <f>+HYPERLINK("http://trademark.i-assist.jp/data/china/image_1888th/76610316.pdf","76610316")</f>
        <v>76610316</v>
      </c>
      <c r="F338" s="7" t="s">
        <v>973</v>
      </c>
      <c r="G338" s="7" t="s">
        <v>974</v>
      </c>
      <c r="H338" s="7" t="s">
        <v>975</v>
      </c>
      <c r="I338" s="9">
        <v>45316</v>
      </c>
    </row>
    <row r="339" spans="1:9" x14ac:dyDescent="0.15">
      <c r="A339" s="6">
        <v>338</v>
      </c>
      <c r="B339" s="7" t="s">
        <v>10</v>
      </c>
      <c r="C339" s="8">
        <v>1888</v>
      </c>
      <c r="D339" s="9">
        <v>45432</v>
      </c>
      <c r="E339" s="13" t="str">
        <f>+HYPERLINK("http://trademark.i-assist.jp/data/china/image_1888th/76610413.pdf","76610413")</f>
        <v>76610413</v>
      </c>
      <c r="F339" s="7" t="s">
        <v>976</v>
      </c>
      <c r="G339" s="7" t="s">
        <v>977</v>
      </c>
      <c r="H339" s="7" t="s">
        <v>978</v>
      </c>
      <c r="I339" s="9">
        <v>45316</v>
      </c>
    </row>
    <row r="340" spans="1:9" x14ac:dyDescent="0.15">
      <c r="A340" s="6">
        <v>339</v>
      </c>
      <c r="B340" s="7" t="s">
        <v>10</v>
      </c>
      <c r="C340" s="8">
        <v>1888</v>
      </c>
      <c r="D340" s="9">
        <v>45432</v>
      </c>
      <c r="E340" s="13" t="str">
        <f>+HYPERLINK("http://trademark.i-assist.jp/data/china/image_1888th/76610866.pdf","76610866")</f>
        <v>76610866</v>
      </c>
      <c r="F340" s="7" t="s">
        <v>979</v>
      </c>
      <c r="G340" s="7" t="s">
        <v>980</v>
      </c>
      <c r="H340" s="7" t="s">
        <v>981</v>
      </c>
      <c r="I340" s="9">
        <v>45316</v>
      </c>
    </row>
    <row r="341" spans="1:9" x14ac:dyDescent="0.15">
      <c r="A341" s="6">
        <v>340</v>
      </c>
      <c r="B341" s="7" t="s">
        <v>10</v>
      </c>
      <c r="C341" s="8">
        <v>1888</v>
      </c>
      <c r="D341" s="9">
        <v>45432</v>
      </c>
      <c r="E341" s="13" t="str">
        <f>+HYPERLINK("http://trademark.i-assist.jp/data/china/image_1888th/76612278.pdf","76612278")</f>
        <v>76612278</v>
      </c>
      <c r="F341" s="7" t="s">
        <v>982</v>
      </c>
      <c r="G341" s="7" t="s">
        <v>983</v>
      </c>
      <c r="H341" s="7" t="s">
        <v>984</v>
      </c>
      <c r="I341" s="9">
        <v>45316</v>
      </c>
    </row>
    <row r="342" spans="1:9" ht="27" x14ac:dyDescent="0.15">
      <c r="A342" s="6">
        <v>341</v>
      </c>
      <c r="B342" s="7" t="s">
        <v>10</v>
      </c>
      <c r="C342" s="8">
        <v>1888</v>
      </c>
      <c r="D342" s="9">
        <v>45432</v>
      </c>
      <c r="E342" s="13" t="str">
        <f>+HYPERLINK("http://trademark.i-assist.jp/data/china/image_1888th/76614711.pdf","76614711")</f>
        <v>76614711</v>
      </c>
      <c r="F342" s="7" t="s">
        <v>985</v>
      </c>
      <c r="G342" s="7" t="s">
        <v>986</v>
      </c>
      <c r="H342" s="7" t="s">
        <v>987</v>
      </c>
      <c r="I342" s="9">
        <v>45316</v>
      </c>
    </row>
    <row r="343" spans="1:9" x14ac:dyDescent="0.15">
      <c r="A343" s="6">
        <v>342</v>
      </c>
      <c r="B343" s="7" t="s">
        <v>10</v>
      </c>
      <c r="C343" s="8">
        <v>1888</v>
      </c>
      <c r="D343" s="9">
        <v>45432</v>
      </c>
      <c r="E343" s="13" t="str">
        <f>+HYPERLINK("http://trademark.i-assist.jp/data/china/image_1888th/76616200.pdf","76616200")</f>
        <v>76616200</v>
      </c>
      <c r="F343" s="7" t="s">
        <v>988</v>
      </c>
      <c r="G343" s="7" t="s">
        <v>989</v>
      </c>
      <c r="H343" s="7" t="s">
        <v>990</v>
      </c>
      <c r="I343" s="9">
        <v>45316</v>
      </c>
    </row>
    <row r="344" spans="1:9" x14ac:dyDescent="0.15">
      <c r="A344" s="6">
        <v>343</v>
      </c>
      <c r="B344" s="7" t="s">
        <v>10</v>
      </c>
      <c r="C344" s="8">
        <v>1888</v>
      </c>
      <c r="D344" s="9">
        <v>45432</v>
      </c>
      <c r="E344" s="13" t="str">
        <f>+HYPERLINK("http://trademark.i-assist.jp/data/china/image_1888th/76616467.pdf","76616467")</f>
        <v>76616467</v>
      </c>
      <c r="F344" s="7" t="s">
        <v>991</v>
      </c>
      <c r="G344" s="7" t="s">
        <v>992</v>
      </c>
      <c r="H344" s="7" t="s">
        <v>993</v>
      </c>
      <c r="I344" s="9">
        <v>45316</v>
      </c>
    </row>
    <row r="345" spans="1:9" x14ac:dyDescent="0.15">
      <c r="A345" s="6">
        <v>344</v>
      </c>
      <c r="B345" s="7" t="s">
        <v>10</v>
      </c>
      <c r="C345" s="8">
        <v>1888</v>
      </c>
      <c r="D345" s="9">
        <v>45432</v>
      </c>
      <c r="E345" s="13" t="str">
        <f>+HYPERLINK("http://trademark.i-assist.jp/data/china/image_1888th/76616477.pdf","76616477")</f>
        <v>76616477</v>
      </c>
      <c r="F345" s="7" t="s">
        <v>991</v>
      </c>
      <c r="G345" s="7" t="s">
        <v>992</v>
      </c>
      <c r="H345" s="7" t="s">
        <v>993</v>
      </c>
      <c r="I345" s="9">
        <v>45316</v>
      </c>
    </row>
    <row r="346" spans="1:9" ht="27" x14ac:dyDescent="0.15">
      <c r="A346" s="6">
        <v>345</v>
      </c>
      <c r="B346" s="7" t="s">
        <v>10</v>
      </c>
      <c r="C346" s="8">
        <v>1888</v>
      </c>
      <c r="D346" s="9">
        <v>45432</v>
      </c>
      <c r="E346" s="13" t="str">
        <f>+HYPERLINK("http://trademark.i-assist.jp/data/china/image_1888th/76617862.pdf","76617862")</f>
        <v>76617862</v>
      </c>
      <c r="F346" s="7" t="s">
        <v>994</v>
      </c>
      <c r="G346" s="7" t="s">
        <v>995</v>
      </c>
      <c r="H346" s="7" t="s">
        <v>996</v>
      </c>
      <c r="I346" s="9">
        <v>45317</v>
      </c>
    </row>
    <row r="347" spans="1:9" ht="27" x14ac:dyDescent="0.15">
      <c r="A347" s="6">
        <v>346</v>
      </c>
      <c r="B347" s="7" t="s">
        <v>10</v>
      </c>
      <c r="C347" s="8">
        <v>1888</v>
      </c>
      <c r="D347" s="9">
        <v>45432</v>
      </c>
      <c r="E347" s="13" t="str">
        <f>+HYPERLINK("http://trademark.i-assist.jp/data/china/image_1888th/76622277.pdf","76622277")</f>
        <v>76622277</v>
      </c>
      <c r="F347" s="7" t="s">
        <v>997</v>
      </c>
      <c r="G347" s="7" t="s">
        <v>998</v>
      </c>
      <c r="H347" s="7" t="s">
        <v>999</v>
      </c>
      <c r="I347" s="9">
        <v>45317</v>
      </c>
    </row>
    <row r="348" spans="1:9" x14ac:dyDescent="0.15">
      <c r="A348" s="6">
        <v>347</v>
      </c>
      <c r="B348" s="7" t="s">
        <v>10</v>
      </c>
      <c r="C348" s="8">
        <v>1888</v>
      </c>
      <c r="D348" s="9">
        <v>45432</v>
      </c>
      <c r="E348" s="13" t="str">
        <f>+HYPERLINK("http://trademark.i-assist.jp/data/china/image_1888th/76623789.pdf","76623789")</f>
        <v>76623789</v>
      </c>
      <c r="F348" s="7" t="s">
        <v>1000</v>
      </c>
      <c r="G348" s="7" t="s">
        <v>1001</v>
      </c>
      <c r="H348" s="7" t="s">
        <v>1002</v>
      </c>
      <c r="I348" s="9">
        <v>45317</v>
      </c>
    </row>
    <row r="349" spans="1:9" ht="27" x14ac:dyDescent="0.15">
      <c r="A349" s="6">
        <v>348</v>
      </c>
      <c r="B349" s="7" t="s">
        <v>10</v>
      </c>
      <c r="C349" s="8">
        <v>1888</v>
      </c>
      <c r="D349" s="9">
        <v>45432</v>
      </c>
      <c r="E349" s="13" t="str">
        <f>+HYPERLINK("http://trademark.i-assist.jp/data/china/image_1888th/76624154.pdf","76624154")</f>
        <v>76624154</v>
      </c>
      <c r="F349" s="7" t="s">
        <v>1003</v>
      </c>
      <c r="G349" s="7" t="s">
        <v>998</v>
      </c>
      <c r="H349" s="7" t="s">
        <v>1004</v>
      </c>
      <c r="I349" s="9">
        <v>45317</v>
      </c>
    </row>
    <row r="350" spans="1:9" x14ac:dyDescent="0.15">
      <c r="A350" s="6">
        <v>349</v>
      </c>
      <c r="B350" s="7" t="s">
        <v>10</v>
      </c>
      <c r="C350" s="8">
        <v>1888</v>
      </c>
      <c r="D350" s="9">
        <v>45432</v>
      </c>
      <c r="E350" s="13" t="str">
        <f>+HYPERLINK("http://trademark.i-assist.jp/data/china/image_1888th/76628350.pdf","76628350")</f>
        <v>76628350</v>
      </c>
      <c r="F350" s="7" t="s">
        <v>76</v>
      </c>
      <c r="G350" s="7" t="s">
        <v>1005</v>
      </c>
      <c r="H350" s="7" t="s">
        <v>1006</v>
      </c>
      <c r="I350" s="9">
        <v>45317</v>
      </c>
    </row>
    <row r="351" spans="1:9" x14ac:dyDescent="0.15">
      <c r="A351" s="6">
        <v>350</v>
      </c>
      <c r="B351" s="7" t="s">
        <v>10</v>
      </c>
      <c r="C351" s="8">
        <v>1888</v>
      </c>
      <c r="D351" s="9">
        <v>45432</v>
      </c>
      <c r="E351" s="13" t="str">
        <f>+HYPERLINK("http://trademark.i-assist.jp/data/china/image_1888th/76628433.pdf","76628433")</f>
        <v>76628433</v>
      </c>
      <c r="F351" s="7" t="s">
        <v>1007</v>
      </c>
      <c r="G351" s="7" t="s">
        <v>1008</v>
      </c>
      <c r="H351" s="7" t="s">
        <v>1009</v>
      </c>
      <c r="I351" s="9">
        <v>45317</v>
      </c>
    </row>
    <row r="352" spans="1:9" ht="27" x14ac:dyDescent="0.15">
      <c r="A352" s="6">
        <v>351</v>
      </c>
      <c r="B352" s="7" t="s">
        <v>10</v>
      </c>
      <c r="C352" s="8">
        <v>1888</v>
      </c>
      <c r="D352" s="9">
        <v>45432</v>
      </c>
      <c r="E352" s="13" t="str">
        <f>+HYPERLINK("http://trademark.i-assist.jp/data/china/image_1888th/76629257.pdf","76629257")</f>
        <v>76629257</v>
      </c>
      <c r="F352" s="7" t="s">
        <v>1010</v>
      </c>
      <c r="G352" s="7" t="s">
        <v>998</v>
      </c>
      <c r="H352" s="7" t="s">
        <v>1011</v>
      </c>
      <c r="I352" s="9">
        <v>45317</v>
      </c>
    </row>
    <row r="353" spans="1:9" ht="27" x14ac:dyDescent="0.15">
      <c r="A353" s="6">
        <v>352</v>
      </c>
      <c r="B353" s="7" t="s">
        <v>10</v>
      </c>
      <c r="C353" s="8">
        <v>1888</v>
      </c>
      <c r="D353" s="9">
        <v>45432</v>
      </c>
      <c r="E353" s="13" t="str">
        <f>+HYPERLINK("http://trademark.i-assist.jp/data/china/image_1888th/76630225.pdf","76630225")</f>
        <v>76630225</v>
      </c>
      <c r="F353" s="7" t="s">
        <v>1012</v>
      </c>
      <c r="G353" s="7" t="s">
        <v>1013</v>
      </c>
      <c r="H353" s="7" t="s">
        <v>1014</v>
      </c>
      <c r="I353" s="9">
        <v>45317</v>
      </c>
    </row>
    <row r="354" spans="1:9" ht="27" x14ac:dyDescent="0.15">
      <c r="A354" s="6">
        <v>353</v>
      </c>
      <c r="B354" s="7" t="s">
        <v>10</v>
      </c>
      <c r="C354" s="8">
        <v>1888</v>
      </c>
      <c r="D354" s="9">
        <v>45432</v>
      </c>
      <c r="E354" s="13" t="str">
        <f>+HYPERLINK("http://trademark.i-assist.jp/data/china/image_1888th/76631667.pdf","76631667")</f>
        <v>76631667</v>
      </c>
      <c r="F354" s="7" t="s">
        <v>1015</v>
      </c>
      <c r="G354" s="7" t="s">
        <v>1013</v>
      </c>
      <c r="H354" s="7" t="s">
        <v>1014</v>
      </c>
      <c r="I354" s="9">
        <v>45317</v>
      </c>
    </row>
    <row r="355" spans="1:9" x14ac:dyDescent="0.15">
      <c r="A355" s="6">
        <v>354</v>
      </c>
      <c r="B355" s="7" t="s">
        <v>10</v>
      </c>
      <c r="C355" s="8">
        <v>1888</v>
      </c>
      <c r="D355" s="9">
        <v>45432</v>
      </c>
      <c r="E355" s="13" t="str">
        <f>+HYPERLINK("http://trademark.i-assist.jp/data/china/image_1888th/76634290.pdf","76634290")</f>
        <v>76634290</v>
      </c>
      <c r="F355" s="7" t="s">
        <v>1016</v>
      </c>
      <c r="G355" s="7" t="s">
        <v>1017</v>
      </c>
      <c r="H355" s="7" t="s">
        <v>1018</v>
      </c>
      <c r="I355" s="9">
        <v>45317</v>
      </c>
    </row>
    <row r="356" spans="1:9" ht="27" x14ac:dyDescent="0.15">
      <c r="A356" s="6">
        <v>355</v>
      </c>
      <c r="B356" s="7" t="s">
        <v>10</v>
      </c>
      <c r="C356" s="8">
        <v>1888</v>
      </c>
      <c r="D356" s="9">
        <v>45432</v>
      </c>
      <c r="E356" s="13" t="str">
        <f>+HYPERLINK("http://trademark.i-assist.jp/data/china/image_1888th/76635737.pdf","76635737")</f>
        <v>76635737</v>
      </c>
      <c r="F356" s="7" t="s">
        <v>1019</v>
      </c>
      <c r="G356" s="7" t="s">
        <v>1020</v>
      </c>
      <c r="H356" s="7" t="s">
        <v>1021</v>
      </c>
      <c r="I356" s="9">
        <v>45317</v>
      </c>
    </row>
    <row r="357" spans="1:9" x14ac:dyDescent="0.15">
      <c r="A357" s="6">
        <v>356</v>
      </c>
      <c r="B357" s="7" t="s">
        <v>10</v>
      </c>
      <c r="C357" s="8">
        <v>1888</v>
      </c>
      <c r="D357" s="9">
        <v>45432</v>
      </c>
      <c r="E357" s="13" t="str">
        <f>+HYPERLINK("http://trademark.i-assist.jp/data/china/image_1888th/76636715.pdf","76636715")</f>
        <v>76636715</v>
      </c>
      <c r="F357" s="7" t="s">
        <v>1022</v>
      </c>
      <c r="G357" s="7" t="s">
        <v>1023</v>
      </c>
      <c r="H357" s="7" t="s">
        <v>1024</v>
      </c>
      <c r="I357" s="9">
        <v>45317</v>
      </c>
    </row>
    <row r="358" spans="1:9" x14ac:dyDescent="0.15">
      <c r="A358" s="6">
        <v>357</v>
      </c>
      <c r="B358" s="7" t="s">
        <v>10</v>
      </c>
      <c r="C358" s="8">
        <v>1888</v>
      </c>
      <c r="D358" s="9">
        <v>45432</v>
      </c>
      <c r="E358" s="13" t="str">
        <f>+HYPERLINK("http://trademark.i-assist.jp/data/china/image_1888th/76638129.pdf","76638129")</f>
        <v>76638129</v>
      </c>
      <c r="F358" s="7" t="s">
        <v>1025</v>
      </c>
      <c r="G358" s="7" t="s">
        <v>1026</v>
      </c>
      <c r="H358" s="7" t="s">
        <v>1027</v>
      </c>
      <c r="I358" s="9">
        <v>45317</v>
      </c>
    </row>
    <row r="359" spans="1:9" ht="27" x14ac:dyDescent="0.15">
      <c r="A359" s="6">
        <v>358</v>
      </c>
      <c r="B359" s="7" t="s">
        <v>10</v>
      </c>
      <c r="C359" s="8">
        <v>1888</v>
      </c>
      <c r="D359" s="9">
        <v>45432</v>
      </c>
      <c r="E359" s="13" t="str">
        <f>+HYPERLINK("http://trademark.i-assist.jp/data/china/image_1888th/76638142.pdf","76638142")</f>
        <v>76638142</v>
      </c>
      <c r="F359" s="7" t="s">
        <v>1028</v>
      </c>
      <c r="G359" s="7" t="s">
        <v>998</v>
      </c>
      <c r="H359" s="7" t="s">
        <v>1029</v>
      </c>
      <c r="I359" s="9">
        <v>45317</v>
      </c>
    </row>
    <row r="360" spans="1:9" x14ac:dyDescent="0.15">
      <c r="A360" s="6">
        <v>359</v>
      </c>
      <c r="B360" s="7" t="s">
        <v>10</v>
      </c>
      <c r="C360" s="8">
        <v>1888</v>
      </c>
      <c r="D360" s="9">
        <v>45432</v>
      </c>
      <c r="E360" s="13" t="str">
        <f>+HYPERLINK("http://trademark.i-assist.jp/data/china/image_1888th/76638201.pdf","76638201")</f>
        <v>76638201</v>
      </c>
      <c r="F360" s="7" t="s">
        <v>1030</v>
      </c>
      <c r="G360" s="7" t="s">
        <v>1031</v>
      </c>
      <c r="H360" s="7" t="s">
        <v>1032</v>
      </c>
      <c r="I360" s="9">
        <v>45317</v>
      </c>
    </row>
    <row r="361" spans="1:9" x14ac:dyDescent="0.15">
      <c r="A361" s="6">
        <v>360</v>
      </c>
      <c r="B361" s="7" t="s">
        <v>10</v>
      </c>
      <c r="C361" s="8">
        <v>1888</v>
      </c>
      <c r="D361" s="9">
        <v>45432</v>
      </c>
      <c r="E361" s="13" t="str">
        <f>+HYPERLINK("http://trademark.i-assist.jp/data/china/image_1888th/76638652.pdf","76638652")</f>
        <v>76638652</v>
      </c>
      <c r="F361" s="7" t="s">
        <v>1033</v>
      </c>
      <c r="G361" s="7" t="s">
        <v>1034</v>
      </c>
      <c r="H361" s="7" t="s">
        <v>1035</v>
      </c>
      <c r="I361" s="9">
        <v>45317</v>
      </c>
    </row>
    <row r="362" spans="1:9" x14ac:dyDescent="0.15">
      <c r="A362" s="6">
        <v>361</v>
      </c>
      <c r="B362" s="7" t="s">
        <v>10</v>
      </c>
      <c r="C362" s="8">
        <v>1888</v>
      </c>
      <c r="D362" s="9">
        <v>45432</v>
      </c>
      <c r="E362" s="13" t="str">
        <f>+HYPERLINK("http://trademark.i-assist.jp/data/china/image_1888th/76639751.pdf","76639751")</f>
        <v>76639751</v>
      </c>
      <c r="F362" s="7" t="s">
        <v>1036</v>
      </c>
      <c r="G362" s="7" t="s">
        <v>1037</v>
      </c>
      <c r="H362" s="7" t="s">
        <v>1038</v>
      </c>
      <c r="I362" s="9">
        <v>45317</v>
      </c>
    </row>
    <row r="363" spans="1:9" x14ac:dyDescent="0.15">
      <c r="A363" s="6">
        <v>362</v>
      </c>
      <c r="B363" s="7" t="s">
        <v>10</v>
      </c>
      <c r="C363" s="8">
        <v>1888</v>
      </c>
      <c r="D363" s="9">
        <v>45432</v>
      </c>
      <c r="E363" s="13" t="str">
        <f>+HYPERLINK("http://trademark.i-assist.jp/data/china/image_1888th/76639787.pdf","76639787")</f>
        <v>76639787</v>
      </c>
      <c r="F363" s="7" t="s">
        <v>1039</v>
      </c>
      <c r="G363" s="7" t="s">
        <v>1040</v>
      </c>
      <c r="H363" s="7" t="s">
        <v>1041</v>
      </c>
      <c r="I363" s="9">
        <v>45317</v>
      </c>
    </row>
    <row r="364" spans="1:9" x14ac:dyDescent="0.15">
      <c r="A364" s="6">
        <v>363</v>
      </c>
      <c r="B364" s="7" t="s">
        <v>10</v>
      </c>
      <c r="C364" s="8">
        <v>1888</v>
      </c>
      <c r="D364" s="9">
        <v>45432</v>
      </c>
      <c r="E364" s="13" t="str">
        <f>+HYPERLINK("http://trademark.i-assist.jp/data/china/image_1888th/76639884.pdf","76639884")</f>
        <v>76639884</v>
      </c>
      <c r="F364" s="7" t="s">
        <v>1042</v>
      </c>
      <c r="G364" s="7" t="s">
        <v>1043</v>
      </c>
      <c r="H364" s="7" t="s">
        <v>1044</v>
      </c>
      <c r="I364" s="9">
        <v>45317</v>
      </c>
    </row>
    <row r="365" spans="1:9" x14ac:dyDescent="0.15">
      <c r="A365" s="6">
        <v>364</v>
      </c>
      <c r="B365" s="7" t="s">
        <v>10</v>
      </c>
      <c r="C365" s="8">
        <v>1888</v>
      </c>
      <c r="D365" s="9">
        <v>45432</v>
      </c>
      <c r="E365" s="13" t="str">
        <f>+HYPERLINK("http://trademark.i-assist.jp/data/china/image_1888th/76642801.pdf","76642801")</f>
        <v>76642801</v>
      </c>
      <c r="F365" s="7" t="s">
        <v>1045</v>
      </c>
      <c r="G365" s="7" t="s">
        <v>1046</v>
      </c>
      <c r="H365" s="7" t="s">
        <v>1047</v>
      </c>
      <c r="I365" s="9">
        <v>45318</v>
      </c>
    </row>
    <row r="366" spans="1:9" x14ac:dyDescent="0.15">
      <c r="A366" s="6">
        <v>365</v>
      </c>
      <c r="B366" s="7" t="s">
        <v>10</v>
      </c>
      <c r="C366" s="8">
        <v>1888</v>
      </c>
      <c r="D366" s="9">
        <v>45432</v>
      </c>
      <c r="E366" s="13" t="str">
        <f>+HYPERLINK("http://trademark.i-assist.jp/data/china/image_1888th/76643095.pdf","76643095")</f>
        <v>76643095</v>
      </c>
      <c r="F366" s="7" t="s">
        <v>1048</v>
      </c>
      <c r="G366" s="7" t="s">
        <v>1049</v>
      </c>
      <c r="H366" s="7" t="s">
        <v>1050</v>
      </c>
      <c r="I366" s="9">
        <v>45318</v>
      </c>
    </row>
    <row r="367" spans="1:9" x14ac:dyDescent="0.15">
      <c r="A367" s="6">
        <v>366</v>
      </c>
      <c r="B367" s="7" t="s">
        <v>10</v>
      </c>
      <c r="C367" s="8">
        <v>1888</v>
      </c>
      <c r="D367" s="9">
        <v>45432</v>
      </c>
      <c r="E367" s="13" t="str">
        <f>+HYPERLINK("http://trademark.i-assist.jp/data/china/image_1888th/76643509.pdf","76643509")</f>
        <v>76643509</v>
      </c>
      <c r="F367" s="7" t="s">
        <v>1051</v>
      </c>
      <c r="G367" s="7" t="s">
        <v>1052</v>
      </c>
      <c r="H367" s="7" t="s">
        <v>1053</v>
      </c>
      <c r="I367" s="9">
        <v>45318</v>
      </c>
    </row>
    <row r="368" spans="1:9" x14ac:dyDescent="0.15">
      <c r="A368" s="6">
        <v>367</v>
      </c>
      <c r="B368" s="7" t="s">
        <v>10</v>
      </c>
      <c r="C368" s="8">
        <v>1888</v>
      </c>
      <c r="D368" s="9">
        <v>45432</v>
      </c>
      <c r="E368" s="13" t="str">
        <f>+HYPERLINK("http://trademark.i-assist.jp/data/china/image_1888th/76644040.pdf","76644040")</f>
        <v>76644040</v>
      </c>
      <c r="F368" s="7" t="s">
        <v>1054</v>
      </c>
      <c r="G368" s="7" t="s">
        <v>1055</v>
      </c>
      <c r="H368" s="7" t="s">
        <v>1056</v>
      </c>
      <c r="I368" s="9">
        <v>45318</v>
      </c>
    </row>
    <row r="369" spans="1:9" x14ac:dyDescent="0.15">
      <c r="A369" s="6">
        <v>368</v>
      </c>
      <c r="B369" s="7" t="s">
        <v>10</v>
      </c>
      <c r="C369" s="8">
        <v>1888</v>
      </c>
      <c r="D369" s="9">
        <v>45432</v>
      </c>
      <c r="E369" s="13" t="str">
        <f>+HYPERLINK("http://trademark.i-assist.jp/data/china/image_1888th/76644922.pdf","76644922")</f>
        <v>76644922</v>
      </c>
      <c r="F369" s="7" t="s">
        <v>1057</v>
      </c>
      <c r="G369" s="7" t="s">
        <v>1058</v>
      </c>
      <c r="H369" s="7" t="s">
        <v>1059</v>
      </c>
      <c r="I369" s="9">
        <v>45318</v>
      </c>
    </row>
    <row r="370" spans="1:9" x14ac:dyDescent="0.15">
      <c r="A370" s="6">
        <v>369</v>
      </c>
      <c r="B370" s="7" t="s">
        <v>10</v>
      </c>
      <c r="C370" s="8">
        <v>1888</v>
      </c>
      <c r="D370" s="9">
        <v>45432</v>
      </c>
      <c r="E370" s="13" t="str">
        <f>+HYPERLINK("http://trademark.i-assist.jp/data/china/image_1888th/76646793.pdf","76646793")</f>
        <v>76646793</v>
      </c>
      <c r="F370" s="7" t="s">
        <v>1060</v>
      </c>
      <c r="G370" s="7" t="s">
        <v>1052</v>
      </c>
      <c r="H370" s="7" t="s">
        <v>1061</v>
      </c>
      <c r="I370" s="9">
        <v>45318</v>
      </c>
    </row>
    <row r="371" spans="1:9" x14ac:dyDescent="0.15">
      <c r="A371" s="6">
        <v>370</v>
      </c>
      <c r="B371" s="7" t="s">
        <v>10</v>
      </c>
      <c r="C371" s="8">
        <v>1888</v>
      </c>
      <c r="D371" s="9">
        <v>45432</v>
      </c>
      <c r="E371" s="13" t="str">
        <f>+HYPERLINK("http://trademark.i-assist.jp/data/china/image_1888th/76647505.pdf","76647505")</f>
        <v>76647505</v>
      </c>
      <c r="F371" s="7" t="s">
        <v>1062</v>
      </c>
      <c r="G371" s="7" t="s">
        <v>1063</v>
      </c>
      <c r="H371" s="7" t="s">
        <v>1064</v>
      </c>
      <c r="I371" s="9">
        <v>45319</v>
      </c>
    </row>
    <row r="372" spans="1:9" x14ac:dyDescent="0.15">
      <c r="A372" s="6">
        <v>371</v>
      </c>
      <c r="B372" s="7" t="s">
        <v>10</v>
      </c>
      <c r="C372" s="8">
        <v>1888</v>
      </c>
      <c r="D372" s="9">
        <v>45432</v>
      </c>
      <c r="E372" s="13" t="str">
        <f>+HYPERLINK("http://trademark.i-assist.jp/data/china/image_1888th/76647553.pdf","76647553")</f>
        <v>76647553</v>
      </c>
      <c r="F372" s="7" t="s">
        <v>1065</v>
      </c>
      <c r="G372" s="7" t="s">
        <v>1066</v>
      </c>
      <c r="H372" s="7" t="s">
        <v>1067</v>
      </c>
      <c r="I372" s="9">
        <v>45319</v>
      </c>
    </row>
    <row r="373" spans="1:9" x14ac:dyDescent="0.15">
      <c r="A373" s="6">
        <v>372</v>
      </c>
      <c r="B373" s="7" t="s">
        <v>10</v>
      </c>
      <c r="C373" s="8">
        <v>1888</v>
      </c>
      <c r="D373" s="9">
        <v>45432</v>
      </c>
      <c r="E373" s="13" t="str">
        <f>+HYPERLINK("http://trademark.i-assist.jp/data/china/image_1888th/76648924.pdf","76648924")</f>
        <v>76648924</v>
      </c>
      <c r="F373" s="7" t="s">
        <v>1068</v>
      </c>
      <c r="G373" s="7" t="s">
        <v>1069</v>
      </c>
      <c r="H373" s="7" t="s">
        <v>1070</v>
      </c>
      <c r="I373" s="9">
        <v>45319</v>
      </c>
    </row>
    <row r="374" spans="1:9" x14ac:dyDescent="0.15">
      <c r="A374" s="6">
        <v>373</v>
      </c>
      <c r="B374" s="7" t="s">
        <v>10</v>
      </c>
      <c r="C374" s="8">
        <v>1888</v>
      </c>
      <c r="D374" s="9">
        <v>45432</v>
      </c>
      <c r="E374" s="13" t="str">
        <f>+HYPERLINK("http://trademark.i-assist.jp/data/china/image_1888th/76650715.pdf","76650715")</f>
        <v>76650715</v>
      </c>
      <c r="F374" s="7" t="s">
        <v>1071</v>
      </c>
      <c r="G374" s="7" t="s">
        <v>1072</v>
      </c>
      <c r="H374" s="7" t="s">
        <v>1073</v>
      </c>
      <c r="I374" s="9">
        <v>45320</v>
      </c>
    </row>
    <row r="375" spans="1:9" ht="27" x14ac:dyDescent="0.15">
      <c r="A375" s="6">
        <v>374</v>
      </c>
      <c r="B375" s="7" t="s">
        <v>10</v>
      </c>
      <c r="C375" s="8">
        <v>1888</v>
      </c>
      <c r="D375" s="9">
        <v>45432</v>
      </c>
      <c r="E375" s="13" t="str">
        <f>+HYPERLINK("http://trademark.i-assist.jp/data/china/image_1888th/76650831.pdf","76650831")</f>
        <v>76650831</v>
      </c>
      <c r="F375" s="7" t="s">
        <v>1074</v>
      </c>
      <c r="G375" s="7" t="s">
        <v>1075</v>
      </c>
      <c r="H375" s="7" t="s">
        <v>1076</v>
      </c>
      <c r="I375" s="9">
        <v>45320</v>
      </c>
    </row>
    <row r="376" spans="1:9" x14ac:dyDescent="0.15">
      <c r="A376" s="6">
        <v>375</v>
      </c>
      <c r="B376" s="7" t="s">
        <v>10</v>
      </c>
      <c r="C376" s="8">
        <v>1888</v>
      </c>
      <c r="D376" s="9">
        <v>45432</v>
      </c>
      <c r="E376" s="13" t="str">
        <f>+HYPERLINK("http://trademark.i-assist.jp/data/china/image_1888th/76651936.pdf","76651936")</f>
        <v>76651936</v>
      </c>
      <c r="F376" s="7" t="s">
        <v>1077</v>
      </c>
      <c r="G376" s="7" t="s">
        <v>1078</v>
      </c>
      <c r="H376" s="7" t="s">
        <v>1079</v>
      </c>
      <c r="I376" s="9">
        <v>45320</v>
      </c>
    </row>
    <row r="377" spans="1:9" x14ac:dyDescent="0.15">
      <c r="A377" s="6">
        <v>376</v>
      </c>
      <c r="B377" s="7" t="s">
        <v>10</v>
      </c>
      <c r="C377" s="8">
        <v>1888</v>
      </c>
      <c r="D377" s="9">
        <v>45432</v>
      </c>
      <c r="E377" s="13" t="str">
        <f>+HYPERLINK("http://trademark.i-assist.jp/data/china/image_1888th/76652941.pdf","76652941")</f>
        <v>76652941</v>
      </c>
      <c r="F377" s="7" t="s">
        <v>1080</v>
      </c>
      <c r="G377" s="7" t="s">
        <v>1081</v>
      </c>
      <c r="H377" s="7" t="s">
        <v>1082</v>
      </c>
      <c r="I377" s="9">
        <v>45320</v>
      </c>
    </row>
    <row r="378" spans="1:9" x14ac:dyDescent="0.15">
      <c r="A378" s="6">
        <v>377</v>
      </c>
      <c r="B378" s="7" t="s">
        <v>10</v>
      </c>
      <c r="C378" s="8">
        <v>1888</v>
      </c>
      <c r="D378" s="9">
        <v>45432</v>
      </c>
      <c r="E378" s="13" t="str">
        <f>+HYPERLINK("http://trademark.i-assist.jp/data/china/image_1888th/76656545.pdf","76656545")</f>
        <v>76656545</v>
      </c>
      <c r="F378" s="7" t="s">
        <v>1083</v>
      </c>
      <c r="G378" s="7" t="s">
        <v>1084</v>
      </c>
      <c r="H378" s="7" t="s">
        <v>1085</v>
      </c>
      <c r="I378" s="9">
        <v>45320</v>
      </c>
    </row>
    <row r="379" spans="1:9" x14ac:dyDescent="0.15">
      <c r="A379" s="6">
        <v>378</v>
      </c>
      <c r="B379" s="7" t="s">
        <v>10</v>
      </c>
      <c r="C379" s="8">
        <v>1888</v>
      </c>
      <c r="D379" s="9">
        <v>45432</v>
      </c>
      <c r="E379" s="13" t="str">
        <f>+HYPERLINK("http://trademark.i-assist.jp/data/china/image_1888th/76656556.pdf","76656556")</f>
        <v>76656556</v>
      </c>
      <c r="F379" s="7" t="s">
        <v>1086</v>
      </c>
      <c r="G379" s="7" t="s">
        <v>1087</v>
      </c>
      <c r="H379" s="7" t="s">
        <v>1088</v>
      </c>
      <c r="I379" s="9">
        <v>45320</v>
      </c>
    </row>
    <row r="380" spans="1:9" x14ac:dyDescent="0.15">
      <c r="A380" s="6">
        <v>379</v>
      </c>
      <c r="B380" s="7" t="s">
        <v>10</v>
      </c>
      <c r="C380" s="8">
        <v>1888</v>
      </c>
      <c r="D380" s="9">
        <v>45432</v>
      </c>
      <c r="E380" s="13" t="str">
        <f>+HYPERLINK("http://trademark.i-assist.jp/data/china/image_1888th/76656939.pdf","76656939")</f>
        <v>76656939</v>
      </c>
      <c r="F380" s="7" t="s">
        <v>1089</v>
      </c>
      <c r="G380" s="7" t="s">
        <v>1090</v>
      </c>
      <c r="H380" s="7" t="s">
        <v>1091</v>
      </c>
      <c r="I380" s="9">
        <v>45320</v>
      </c>
    </row>
    <row r="381" spans="1:9" x14ac:dyDescent="0.15">
      <c r="A381" s="6">
        <v>380</v>
      </c>
      <c r="B381" s="7" t="s">
        <v>10</v>
      </c>
      <c r="C381" s="8">
        <v>1888</v>
      </c>
      <c r="D381" s="9">
        <v>45432</v>
      </c>
      <c r="E381" s="13" t="str">
        <f>+HYPERLINK("http://trademark.i-assist.jp/data/china/image_1888th/76657434.pdf","76657434")</f>
        <v>76657434</v>
      </c>
      <c r="F381" s="7" t="s">
        <v>1092</v>
      </c>
      <c r="G381" s="7" t="s">
        <v>1093</v>
      </c>
      <c r="H381" s="7" t="s">
        <v>1094</v>
      </c>
      <c r="I381" s="9">
        <v>45320</v>
      </c>
    </row>
    <row r="382" spans="1:9" x14ac:dyDescent="0.15">
      <c r="A382" s="6">
        <v>381</v>
      </c>
      <c r="B382" s="7" t="s">
        <v>10</v>
      </c>
      <c r="C382" s="8">
        <v>1888</v>
      </c>
      <c r="D382" s="9">
        <v>45432</v>
      </c>
      <c r="E382" s="13" t="str">
        <f>+HYPERLINK("http://trademark.i-assist.jp/data/china/image_1888th/76659191.pdf","76659191")</f>
        <v>76659191</v>
      </c>
      <c r="F382" s="7" t="s">
        <v>1095</v>
      </c>
      <c r="G382" s="7" t="s">
        <v>1096</v>
      </c>
      <c r="H382" s="7" t="s">
        <v>1097</v>
      </c>
      <c r="I382" s="9">
        <v>45320</v>
      </c>
    </row>
    <row r="383" spans="1:9" x14ac:dyDescent="0.15">
      <c r="A383" s="6">
        <v>382</v>
      </c>
      <c r="B383" s="7" t="s">
        <v>10</v>
      </c>
      <c r="C383" s="8">
        <v>1888</v>
      </c>
      <c r="D383" s="9">
        <v>45432</v>
      </c>
      <c r="E383" s="13" t="str">
        <f>+HYPERLINK("http://trademark.i-assist.jp/data/china/image_1888th/76659514.pdf","76659514")</f>
        <v>76659514</v>
      </c>
      <c r="F383" s="7" t="s">
        <v>1098</v>
      </c>
      <c r="G383" s="7" t="s">
        <v>1099</v>
      </c>
      <c r="H383" s="7" t="s">
        <v>1100</v>
      </c>
      <c r="I383" s="9">
        <v>45320</v>
      </c>
    </row>
    <row r="384" spans="1:9" x14ac:dyDescent="0.15">
      <c r="A384" s="6">
        <v>383</v>
      </c>
      <c r="B384" s="7" t="s">
        <v>10</v>
      </c>
      <c r="C384" s="8">
        <v>1888</v>
      </c>
      <c r="D384" s="9">
        <v>45432</v>
      </c>
      <c r="E384" s="13" t="str">
        <f>+HYPERLINK("http://trademark.i-assist.jp/data/china/image_1888th/76659576.pdf","76659576")</f>
        <v>76659576</v>
      </c>
      <c r="F384" s="7" t="s">
        <v>1101</v>
      </c>
      <c r="G384" s="7" t="s">
        <v>1102</v>
      </c>
      <c r="H384" s="7" t="s">
        <v>1103</v>
      </c>
      <c r="I384" s="9">
        <v>45320</v>
      </c>
    </row>
    <row r="385" spans="1:9" x14ac:dyDescent="0.15">
      <c r="A385" s="6">
        <v>384</v>
      </c>
      <c r="B385" s="7" t="s">
        <v>10</v>
      </c>
      <c r="C385" s="8">
        <v>1888</v>
      </c>
      <c r="D385" s="9">
        <v>45432</v>
      </c>
      <c r="E385" s="13" t="str">
        <f>+HYPERLINK("http://trademark.i-assist.jp/data/china/image_1888th/76661229.pdf","76661229")</f>
        <v>76661229</v>
      </c>
      <c r="F385" s="7" t="s">
        <v>1104</v>
      </c>
      <c r="G385" s="7" t="s">
        <v>1105</v>
      </c>
      <c r="H385" s="7" t="s">
        <v>1106</v>
      </c>
      <c r="I385" s="9">
        <v>45320</v>
      </c>
    </row>
    <row r="386" spans="1:9" ht="27" x14ac:dyDescent="0.15">
      <c r="A386" s="6">
        <v>385</v>
      </c>
      <c r="B386" s="7" t="s">
        <v>10</v>
      </c>
      <c r="C386" s="8">
        <v>1888</v>
      </c>
      <c r="D386" s="9">
        <v>45432</v>
      </c>
      <c r="E386" s="13" t="str">
        <f>+HYPERLINK("http://trademark.i-assist.jp/data/china/image_1888th/76661624.pdf","76661624")</f>
        <v>76661624</v>
      </c>
      <c r="F386" s="7" t="s">
        <v>1107</v>
      </c>
      <c r="G386" s="7" t="s">
        <v>1108</v>
      </c>
      <c r="H386" s="7" t="s">
        <v>1109</v>
      </c>
      <c r="I386" s="9">
        <v>45320</v>
      </c>
    </row>
    <row r="387" spans="1:9" x14ac:dyDescent="0.15">
      <c r="A387" s="6">
        <v>386</v>
      </c>
      <c r="B387" s="7" t="s">
        <v>10</v>
      </c>
      <c r="C387" s="8">
        <v>1888</v>
      </c>
      <c r="D387" s="9">
        <v>45432</v>
      </c>
      <c r="E387" s="13" t="str">
        <f>+HYPERLINK("http://trademark.i-assist.jp/data/china/image_1888th/76661760.pdf","76661760")</f>
        <v>76661760</v>
      </c>
      <c r="F387" s="7" t="s">
        <v>1110</v>
      </c>
      <c r="G387" s="7" t="s">
        <v>1111</v>
      </c>
      <c r="H387" s="7" t="s">
        <v>1112</v>
      </c>
      <c r="I387" s="9">
        <v>45320</v>
      </c>
    </row>
    <row r="388" spans="1:9" x14ac:dyDescent="0.15">
      <c r="A388" s="6">
        <v>387</v>
      </c>
      <c r="B388" s="7" t="s">
        <v>10</v>
      </c>
      <c r="C388" s="8">
        <v>1888</v>
      </c>
      <c r="D388" s="9">
        <v>45432</v>
      </c>
      <c r="E388" s="13" t="str">
        <f>+HYPERLINK("http://trademark.i-assist.jp/data/china/image_1888th/76661761.pdf","76661761")</f>
        <v>76661761</v>
      </c>
      <c r="F388" s="7" t="s">
        <v>1101</v>
      </c>
      <c r="G388" s="7" t="s">
        <v>1102</v>
      </c>
      <c r="H388" s="7" t="s">
        <v>1113</v>
      </c>
      <c r="I388" s="9">
        <v>45320</v>
      </c>
    </row>
    <row r="389" spans="1:9" x14ac:dyDescent="0.15">
      <c r="A389" s="6">
        <v>388</v>
      </c>
      <c r="B389" s="7" t="s">
        <v>10</v>
      </c>
      <c r="C389" s="8">
        <v>1888</v>
      </c>
      <c r="D389" s="9">
        <v>45432</v>
      </c>
      <c r="E389" s="13" t="str">
        <f>+HYPERLINK("http://trademark.i-assist.jp/data/china/image_1888th/76661882.pdf","76661882")</f>
        <v>76661882</v>
      </c>
      <c r="F389" s="7" t="s">
        <v>1114</v>
      </c>
      <c r="G389" s="7" t="s">
        <v>1115</v>
      </c>
      <c r="H389" s="7" t="s">
        <v>1116</v>
      </c>
      <c r="I389" s="9">
        <v>45320</v>
      </c>
    </row>
    <row r="390" spans="1:9" ht="27" x14ac:dyDescent="0.15">
      <c r="A390" s="6">
        <v>389</v>
      </c>
      <c r="B390" s="7" t="s">
        <v>10</v>
      </c>
      <c r="C390" s="8">
        <v>1888</v>
      </c>
      <c r="D390" s="9">
        <v>45432</v>
      </c>
      <c r="E390" s="13" t="str">
        <f>+HYPERLINK("http://trademark.i-assist.jp/data/china/image_1888th/76662643.pdf","76662643")</f>
        <v>76662643</v>
      </c>
      <c r="F390" s="7" t="s">
        <v>1117</v>
      </c>
      <c r="G390" s="7" t="s">
        <v>1118</v>
      </c>
      <c r="H390" s="7" t="s">
        <v>1119</v>
      </c>
      <c r="I390" s="9">
        <v>45320</v>
      </c>
    </row>
    <row r="391" spans="1:9" x14ac:dyDescent="0.15">
      <c r="A391" s="6">
        <v>390</v>
      </c>
      <c r="B391" s="7" t="s">
        <v>10</v>
      </c>
      <c r="C391" s="8">
        <v>1888</v>
      </c>
      <c r="D391" s="9">
        <v>45432</v>
      </c>
      <c r="E391" s="13" t="str">
        <f>+HYPERLINK("http://trademark.i-assist.jp/data/china/image_1888th/76662968.pdf","76662968")</f>
        <v>76662968</v>
      </c>
      <c r="F391" s="7" t="s">
        <v>1120</v>
      </c>
      <c r="G391" s="7" t="s">
        <v>1121</v>
      </c>
      <c r="H391" s="7" t="s">
        <v>1122</v>
      </c>
      <c r="I391" s="9">
        <v>45320</v>
      </c>
    </row>
    <row r="392" spans="1:9" ht="27" x14ac:dyDescent="0.15">
      <c r="A392" s="6">
        <v>391</v>
      </c>
      <c r="B392" s="7" t="s">
        <v>10</v>
      </c>
      <c r="C392" s="8">
        <v>1888</v>
      </c>
      <c r="D392" s="9">
        <v>45432</v>
      </c>
      <c r="E392" s="13" t="str">
        <f>+HYPERLINK("http://trademark.i-assist.jp/data/china/image_1888th/76664193.pdf","76664193")</f>
        <v>76664193</v>
      </c>
      <c r="F392" s="7" t="s">
        <v>1123</v>
      </c>
      <c r="G392" s="7" t="s">
        <v>1108</v>
      </c>
      <c r="H392" s="7" t="s">
        <v>1124</v>
      </c>
      <c r="I392" s="9">
        <v>45320</v>
      </c>
    </row>
    <row r="393" spans="1:9" x14ac:dyDescent="0.15">
      <c r="A393" s="6">
        <v>392</v>
      </c>
      <c r="B393" s="7" t="s">
        <v>10</v>
      </c>
      <c r="C393" s="8">
        <v>1888</v>
      </c>
      <c r="D393" s="9">
        <v>45432</v>
      </c>
      <c r="E393" s="13" t="str">
        <f>+HYPERLINK("http://trademark.i-assist.jp/data/china/image_1888th/76665098.pdf","76665098")</f>
        <v>76665098</v>
      </c>
      <c r="F393" s="7" t="s">
        <v>1125</v>
      </c>
      <c r="G393" s="7" t="s">
        <v>1090</v>
      </c>
      <c r="H393" s="7" t="s">
        <v>1126</v>
      </c>
      <c r="I393" s="9">
        <v>45320</v>
      </c>
    </row>
    <row r="394" spans="1:9" ht="27" x14ac:dyDescent="0.15">
      <c r="A394" s="6">
        <v>393</v>
      </c>
      <c r="B394" s="7" t="s">
        <v>10</v>
      </c>
      <c r="C394" s="8">
        <v>1888</v>
      </c>
      <c r="D394" s="9">
        <v>45432</v>
      </c>
      <c r="E394" s="13" t="str">
        <f>+HYPERLINK("http://trademark.i-assist.jp/data/china/image_1888th/76665404.pdf","76665404")</f>
        <v>76665404</v>
      </c>
      <c r="F394" s="7" t="s">
        <v>1127</v>
      </c>
      <c r="G394" s="7" t="s">
        <v>1128</v>
      </c>
      <c r="H394" s="7" t="s">
        <v>1129</v>
      </c>
      <c r="I394" s="9">
        <v>45320</v>
      </c>
    </row>
    <row r="395" spans="1:9" x14ac:dyDescent="0.15">
      <c r="A395" s="6">
        <v>394</v>
      </c>
      <c r="B395" s="7" t="s">
        <v>10</v>
      </c>
      <c r="C395" s="8">
        <v>1888</v>
      </c>
      <c r="D395" s="9">
        <v>45432</v>
      </c>
      <c r="E395" s="13" t="str">
        <f>+HYPERLINK("http://trademark.i-assist.jp/data/china/image_1888th/76666866.pdf","76666866")</f>
        <v>76666866</v>
      </c>
      <c r="F395" s="7" t="s">
        <v>1130</v>
      </c>
      <c r="G395" s="7" t="s">
        <v>1131</v>
      </c>
      <c r="H395" s="7" t="s">
        <v>1132</v>
      </c>
      <c r="I395" s="9">
        <v>45320</v>
      </c>
    </row>
    <row r="396" spans="1:9" x14ac:dyDescent="0.15">
      <c r="A396" s="6">
        <v>395</v>
      </c>
      <c r="B396" s="7" t="s">
        <v>10</v>
      </c>
      <c r="C396" s="8">
        <v>1888</v>
      </c>
      <c r="D396" s="9">
        <v>45432</v>
      </c>
      <c r="E396" s="13" t="str">
        <f>+HYPERLINK("http://trademark.i-assist.jp/data/china/image_1888th/76667376.pdf","76667376")</f>
        <v>76667376</v>
      </c>
      <c r="F396" s="7" t="s">
        <v>1133</v>
      </c>
      <c r="G396" s="7" t="s">
        <v>1134</v>
      </c>
      <c r="H396" s="7" t="s">
        <v>1135</v>
      </c>
      <c r="I396" s="9">
        <v>45320</v>
      </c>
    </row>
    <row r="397" spans="1:9" x14ac:dyDescent="0.15">
      <c r="A397" s="6">
        <v>396</v>
      </c>
      <c r="B397" s="7" t="s">
        <v>10</v>
      </c>
      <c r="C397" s="8">
        <v>1888</v>
      </c>
      <c r="D397" s="9">
        <v>45432</v>
      </c>
      <c r="E397" s="13" t="str">
        <f>+HYPERLINK("http://trademark.i-assist.jp/data/china/image_1888th/76668355.pdf","76668355")</f>
        <v>76668355</v>
      </c>
      <c r="F397" s="7" t="s">
        <v>1136</v>
      </c>
      <c r="G397" s="7" t="s">
        <v>1090</v>
      </c>
      <c r="H397" s="7" t="s">
        <v>1126</v>
      </c>
      <c r="I397" s="9">
        <v>45320</v>
      </c>
    </row>
    <row r="398" spans="1:9" x14ac:dyDescent="0.15">
      <c r="A398" s="6">
        <v>397</v>
      </c>
      <c r="B398" s="7" t="s">
        <v>10</v>
      </c>
      <c r="C398" s="8">
        <v>1888</v>
      </c>
      <c r="D398" s="9">
        <v>45432</v>
      </c>
      <c r="E398" s="13" t="str">
        <f>+HYPERLINK("http://trademark.i-assist.jp/data/china/image_1888th/76668805.pdf","76668805")</f>
        <v>76668805</v>
      </c>
      <c r="F398" s="7" t="s">
        <v>1137</v>
      </c>
      <c r="G398" s="7" t="s">
        <v>1138</v>
      </c>
      <c r="H398" s="7" t="s">
        <v>1139</v>
      </c>
      <c r="I398" s="9">
        <v>45320</v>
      </c>
    </row>
    <row r="399" spans="1:9" ht="27" x14ac:dyDescent="0.15">
      <c r="A399" s="6">
        <v>398</v>
      </c>
      <c r="B399" s="7" t="s">
        <v>10</v>
      </c>
      <c r="C399" s="8">
        <v>1888</v>
      </c>
      <c r="D399" s="9">
        <v>45432</v>
      </c>
      <c r="E399" s="13" t="str">
        <f>+HYPERLINK("http://trademark.i-assist.jp/data/china/image_1888th/76669196.pdf","76669196")</f>
        <v>76669196</v>
      </c>
      <c r="F399" s="7" t="s">
        <v>1140</v>
      </c>
      <c r="G399" s="7" t="s">
        <v>1141</v>
      </c>
      <c r="H399" s="7" t="s">
        <v>1142</v>
      </c>
      <c r="I399" s="9">
        <v>45320</v>
      </c>
    </row>
    <row r="400" spans="1:9" x14ac:dyDescent="0.15">
      <c r="A400" s="6">
        <v>399</v>
      </c>
      <c r="B400" s="7" t="s">
        <v>10</v>
      </c>
      <c r="C400" s="8">
        <v>1888</v>
      </c>
      <c r="D400" s="9">
        <v>45432</v>
      </c>
      <c r="E400" s="13" t="str">
        <f>+HYPERLINK("http://trademark.i-assist.jp/data/china/image_1888th/76669518.pdf","76669518")</f>
        <v>76669518</v>
      </c>
      <c r="F400" s="7" t="s">
        <v>1143</v>
      </c>
      <c r="G400" s="7" t="s">
        <v>1144</v>
      </c>
      <c r="H400" s="7" t="s">
        <v>1145</v>
      </c>
      <c r="I400" s="9">
        <v>45320</v>
      </c>
    </row>
    <row r="401" spans="1:9" x14ac:dyDescent="0.15">
      <c r="A401" s="6">
        <v>400</v>
      </c>
      <c r="B401" s="7" t="s">
        <v>10</v>
      </c>
      <c r="C401" s="8">
        <v>1888</v>
      </c>
      <c r="D401" s="9">
        <v>45432</v>
      </c>
      <c r="E401" s="13" t="str">
        <f>+HYPERLINK("http://trademark.i-assist.jp/data/china/image_1888th/76670160.pdf","76670160")</f>
        <v>76670160</v>
      </c>
      <c r="F401" s="7" t="s">
        <v>1146</v>
      </c>
      <c r="G401" s="7" t="s">
        <v>1147</v>
      </c>
      <c r="H401" s="7" t="s">
        <v>1148</v>
      </c>
      <c r="I401" s="9">
        <v>45320</v>
      </c>
    </row>
    <row r="402" spans="1:9" ht="27" x14ac:dyDescent="0.15">
      <c r="A402" s="6">
        <v>401</v>
      </c>
      <c r="B402" s="7" t="s">
        <v>10</v>
      </c>
      <c r="C402" s="8">
        <v>1888</v>
      </c>
      <c r="D402" s="9">
        <v>45432</v>
      </c>
      <c r="E402" s="13" t="str">
        <f>+HYPERLINK("http://trademark.i-assist.jp/data/china/image_1888th/76670736.pdf","76670736")</f>
        <v>76670736</v>
      </c>
      <c r="F402" s="7" t="s">
        <v>1149</v>
      </c>
      <c r="G402" s="7" t="s">
        <v>1150</v>
      </c>
      <c r="H402" s="7" t="s">
        <v>1151</v>
      </c>
      <c r="I402" s="9">
        <v>45320</v>
      </c>
    </row>
    <row r="403" spans="1:9" ht="27" x14ac:dyDescent="0.15">
      <c r="A403" s="6">
        <v>402</v>
      </c>
      <c r="B403" s="7" t="s">
        <v>10</v>
      </c>
      <c r="C403" s="8">
        <v>1888</v>
      </c>
      <c r="D403" s="9">
        <v>45432</v>
      </c>
      <c r="E403" s="13" t="str">
        <f>+HYPERLINK("http://trademark.i-assist.jp/data/china/image_1888th/76671292.pdf","76671292")</f>
        <v>76671292</v>
      </c>
      <c r="F403" s="7" t="s">
        <v>1152</v>
      </c>
      <c r="G403" s="7" t="s">
        <v>1153</v>
      </c>
      <c r="H403" s="7" t="s">
        <v>1154</v>
      </c>
      <c r="I403" s="9">
        <v>45320</v>
      </c>
    </row>
    <row r="404" spans="1:9" x14ac:dyDescent="0.15">
      <c r="A404" s="6">
        <v>403</v>
      </c>
      <c r="B404" s="7" t="s">
        <v>10</v>
      </c>
      <c r="C404" s="8">
        <v>1888</v>
      </c>
      <c r="D404" s="9">
        <v>45432</v>
      </c>
      <c r="E404" s="13" t="str">
        <f>+HYPERLINK("http://trademark.i-assist.jp/data/china/image_1888th/76671725.pdf","76671725")</f>
        <v>76671725</v>
      </c>
      <c r="F404" s="7" t="s">
        <v>1155</v>
      </c>
      <c r="G404" s="7" t="s">
        <v>1156</v>
      </c>
      <c r="H404" s="7" t="s">
        <v>1157</v>
      </c>
      <c r="I404" s="9">
        <v>45320</v>
      </c>
    </row>
    <row r="405" spans="1:9" x14ac:dyDescent="0.15">
      <c r="A405" s="6">
        <v>404</v>
      </c>
      <c r="B405" s="7" t="s">
        <v>10</v>
      </c>
      <c r="C405" s="8">
        <v>1888</v>
      </c>
      <c r="D405" s="9">
        <v>45432</v>
      </c>
      <c r="E405" s="13" t="str">
        <f>+HYPERLINK("http://trademark.i-assist.jp/data/china/image_1888th/76673823.pdf","76673823")</f>
        <v>76673823</v>
      </c>
      <c r="F405" s="7" t="s">
        <v>1158</v>
      </c>
      <c r="G405" s="7" t="s">
        <v>1159</v>
      </c>
      <c r="H405" s="7" t="s">
        <v>13</v>
      </c>
      <c r="I405" s="9">
        <v>45320</v>
      </c>
    </row>
    <row r="406" spans="1:9" x14ac:dyDescent="0.15">
      <c r="A406" s="6">
        <v>405</v>
      </c>
      <c r="B406" s="7" t="s">
        <v>10</v>
      </c>
      <c r="C406" s="8">
        <v>1888</v>
      </c>
      <c r="D406" s="9">
        <v>45432</v>
      </c>
      <c r="E406" s="13" t="str">
        <f>+HYPERLINK("http://trademark.i-assist.jp/data/china/image_1888th/76675376.pdf","76675376")</f>
        <v>76675376</v>
      </c>
      <c r="F406" s="7" t="s">
        <v>1160</v>
      </c>
      <c r="G406" s="7" t="s">
        <v>1161</v>
      </c>
      <c r="H406" s="7" t="s">
        <v>1162</v>
      </c>
      <c r="I406" s="9">
        <v>45321</v>
      </c>
    </row>
    <row r="407" spans="1:9" ht="27" x14ac:dyDescent="0.15">
      <c r="A407" s="6">
        <v>406</v>
      </c>
      <c r="B407" s="7" t="s">
        <v>10</v>
      </c>
      <c r="C407" s="8">
        <v>1888</v>
      </c>
      <c r="D407" s="9">
        <v>45432</v>
      </c>
      <c r="E407" s="13" t="str">
        <f>+HYPERLINK("http://trademark.i-assist.jp/data/china/image_1888th/76675833.pdf","76675833")</f>
        <v>76675833</v>
      </c>
      <c r="F407" s="7" t="s">
        <v>1163</v>
      </c>
      <c r="G407" s="7" t="s">
        <v>1164</v>
      </c>
      <c r="H407" s="7" t="s">
        <v>1165</v>
      </c>
      <c r="I407" s="9">
        <v>45321</v>
      </c>
    </row>
    <row r="408" spans="1:9" x14ac:dyDescent="0.15">
      <c r="A408" s="6">
        <v>407</v>
      </c>
      <c r="B408" s="7" t="s">
        <v>10</v>
      </c>
      <c r="C408" s="8">
        <v>1888</v>
      </c>
      <c r="D408" s="9">
        <v>45432</v>
      </c>
      <c r="E408" s="13" t="str">
        <f>+HYPERLINK("http://trademark.i-assist.jp/data/china/image_1888th/76677253.pdf","76677253")</f>
        <v>76677253</v>
      </c>
      <c r="F408" s="7" t="s">
        <v>1166</v>
      </c>
      <c r="G408" s="7" t="s">
        <v>1167</v>
      </c>
      <c r="H408" s="7" t="s">
        <v>1168</v>
      </c>
      <c r="I408" s="9">
        <v>45321</v>
      </c>
    </row>
    <row r="409" spans="1:9" x14ac:dyDescent="0.15">
      <c r="A409" s="6">
        <v>408</v>
      </c>
      <c r="B409" s="7" t="s">
        <v>10</v>
      </c>
      <c r="C409" s="8">
        <v>1888</v>
      </c>
      <c r="D409" s="9">
        <v>45432</v>
      </c>
      <c r="E409" s="13" t="str">
        <f>+HYPERLINK("http://trademark.i-assist.jp/data/china/image_1888th/76677461.pdf","76677461")</f>
        <v>76677461</v>
      </c>
      <c r="F409" s="7" t="s">
        <v>1169</v>
      </c>
      <c r="G409" s="7" t="s">
        <v>1170</v>
      </c>
      <c r="H409" s="7" t="s">
        <v>1171</v>
      </c>
      <c r="I409" s="9">
        <v>45321</v>
      </c>
    </row>
    <row r="410" spans="1:9" x14ac:dyDescent="0.15">
      <c r="A410" s="6">
        <v>409</v>
      </c>
      <c r="B410" s="7" t="s">
        <v>10</v>
      </c>
      <c r="C410" s="8">
        <v>1888</v>
      </c>
      <c r="D410" s="9">
        <v>45432</v>
      </c>
      <c r="E410" s="13" t="str">
        <f>+HYPERLINK("http://trademark.i-assist.jp/data/china/image_1888th/76678724.pdf","76678724")</f>
        <v>76678724</v>
      </c>
      <c r="F410" s="7" t="s">
        <v>1172</v>
      </c>
      <c r="G410" s="7" t="s">
        <v>1173</v>
      </c>
      <c r="H410" s="7" t="s">
        <v>1174</v>
      </c>
      <c r="I410" s="9">
        <v>45321</v>
      </c>
    </row>
    <row r="411" spans="1:9" x14ac:dyDescent="0.15">
      <c r="A411" s="6">
        <v>410</v>
      </c>
      <c r="B411" s="7" t="s">
        <v>10</v>
      </c>
      <c r="C411" s="8">
        <v>1888</v>
      </c>
      <c r="D411" s="9">
        <v>45432</v>
      </c>
      <c r="E411" s="13" t="str">
        <f>+HYPERLINK("http://trademark.i-assist.jp/data/china/image_1888th/76679287.pdf","76679287")</f>
        <v>76679287</v>
      </c>
      <c r="F411" s="7" t="s">
        <v>1175</v>
      </c>
      <c r="G411" s="7" t="s">
        <v>1176</v>
      </c>
      <c r="H411" s="7" t="s">
        <v>1112</v>
      </c>
      <c r="I411" s="9">
        <v>45321</v>
      </c>
    </row>
    <row r="412" spans="1:9" ht="27" x14ac:dyDescent="0.15">
      <c r="A412" s="6">
        <v>411</v>
      </c>
      <c r="B412" s="7" t="s">
        <v>10</v>
      </c>
      <c r="C412" s="8">
        <v>1888</v>
      </c>
      <c r="D412" s="9">
        <v>45432</v>
      </c>
      <c r="E412" s="13" t="str">
        <f>+HYPERLINK("http://trademark.i-assist.jp/data/china/image_1888th/76679655.pdf","76679655")</f>
        <v>76679655</v>
      </c>
      <c r="F412" s="7" t="s">
        <v>76</v>
      </c>
      <c r="G412" s="7" t="s">
        <v>1177</v>
      </c>
      <c r="H412" s="7" t="s">
        <v>1178</v>
      </c>
      <c r="I412" s="9">
        <v>45321</v>
      </c>
    </row>
    <row r="413" spans="1:9" x14ac:dyDescent="0.15">
      <c r="A413" s="6">
        <v>412</v>
      </c>
      <c r="B413" s="7" t="s">
        <v>10</v>
      </c>
      <c r="C413" s="8">
        <v>1888</v>
      </c>
      <c r="D413" s="9">
        <v>45432</v>
      </c>
      <c r="E413" s="13" t="str">
        <f>+HYPERLINK("http://trademark.i-assist.jp/data/china/image_1888th/76680032.pdf","76680032")</f>
        <v>76680032</v>
      </c>
      <c r="F413" s="7" t="s">
        <v>76</v>
      </c>
      <c r="G413" s="7" t="s">
        <v>1179</v>
      </c>
      <c r="H413" s="7" t="s">
        <v>1180</v>
      </c>
      <c r="I413" s="9">
        <v>45321</v>
      </c>
    </row>
    <row r="414" spans="1:9" x14ac:dyDescent="0.15">
      <c r="A414" s="6">
        <v>413</v>
      </c>
      <c r="B414" s="7" t="s">
        <v>10</v>
      </c>
      <c r="C414" s="8">
        <v>1888</v>
      </c>
      <c r="D414" s="9">
        <v>45432</v>
      </c>
      <c r="E414" s="13" t="str">
        <f>+HYPERLINK("http://trademark.i-assist.jp/data/china/image_1888th/76680748.pdf","76680748")</f>
        <v>76680748</v>
      </c>
      <c r="F414" s="7" t="s">
        <v>1181</v>
      </c>
      <c r="G414" s="7" t="s">
        <v>1182</v>
      </c>
      <c r="H414" s="7" t="s">
        <v>1183</v>
      </c>
      <c r="I414" s="9">
        <v>45321</v>
      </c>
    </row>
    <row r="415" spans="1:9" x14ac:dyDescent="0.15">
      <c r="A415" s="6">
        <v>414</v>
      </c>
      <c r="B415" s="7" t="s">
        <v>10</v>
      </c>
      <c r="C415" s="8">
        <v>1888</v>
      </c>
      <c r="D415" s="9">
        <v>45432</v>
      </c>
      <c r="E415" s="13" t="str">
        <f>+HYPERLINK("http://trademark.i-assist.jp/data/china/image_1888th/76683590.pdf","76683590")</f>
        <v>76683590</v>
      </c>
      <c r="F415" s="7" t="s">
        <v>1184</v>
      </c>
      <c r="G415" s="7" t="s">
        <v>1185</v>
      </c>
      <c r="H415" s="7" t="s">
        <v>1186</v>
      </c>
      <c r="I415" s="9">
        <v>45321</v>
      </c>
    </row>
    <row r="416" spans="1:9" x14ac:dyDescent="0.15">
      <c r="A416" s="6">
        <v>415</v>
      </c>
      <c r="B416" s="7" t="s">
        <v>10</v>
      </c>
      <c r="C416" s="8">
        <v>1888</v>
      </c>
      <c r="D416" s="9">
        <v>45432</v>
      </c>
      <c r="E416" s="13" t="str">
        <f>+HYPERLINK("http://trademark.i-assist.jp/data/china/image_1888th/76684187.pdf","76684187")</f>
        <v>76684187</v>
      </c>
      <c r="F416" s="7" t="s">
        <v>1187</v>
      </c>
      <c r="G416" s="7" t="s">
        <v>1188</v>
      </c>
      <c r="H416" s="7" t="s">
        <v>1189</v>
      </c>
      <c r="I416" s="9">
        <v>45321</v>
      </c>
    </row>
    <row r="417" spans="1:9" x14ac:dyDescent="0.15">
      <c r="A417" s="6">
        <v>416</v>
      </c>
      <c r="B417" s="7" t="s">
        <v>10</v>
      </c>
      <c r="C417" s="8">
        <v>1888</v>
      </c>
      <c r="D417" s="9">
        <v>45432</v>
      </c>
      <c r="E417" s="13" t="str">
        <f>+HYPERLINK("http://trademark.i-assist.jp/data/china/image_1888th/76685846.pdf","76685846")</f>
        <v>76685846</v>
      </c>
      <c r="F417" s="7" t="s">
        <v>1190</v>
      </c>
      <c r="G417" s="7" t="s">
        <v>1191</v>
      </c>
      <c r="H417" s="7" t="s">
        <v>1192</v>
      </c>
      <c r="I417" s="9">
        <v>45321</v>
      </c>
    </row>
    <row r="418" spans="1:9" x14ac:dyDescent="0.15">
      <c r="A418" s="6">
        <v>417</v>
      </c>
      <c r="B418" s="7" t="s">
        <v>10</v>
      </c>
      <c r="C418" s="8">
        <v>1888</v>
      </c>
      <c r="D418" s="9">
        <v>45432</v>
      </c>
      <c r="E418" s="13" t="str">
        <f>+HYPERLINK("http://trademark.i-assist.jp/data/china/image_1888th/76686065.pdf","76686065")</f>
        <v>76686065</v>
      </c>
      <c r="F418" s="7" t="s">
        <v>1193</v>
      </c>
      <c r="G418" s="7" t="s">
        <v>1194</v>
      </c>
      <c r="H418" s="7" t="s">
        <v>1195</v>
      </c>
      <c r="I418" s="9">
        <v>45321</v>
      </c>
    </row>
    <row r="419" spans="1:9" x14ac:dyDescent="0.15">
      <c r="A419" s="6">
        <v>418</v>
      </c>
      <c r="B419" s="7" t="s">
        <v>10</v>
      </c>
      <c r="C419" s="8">
        <v>1888</v>
      </c>
      <c r="D419" s="9">
        <v>45432</v>
      </c>
      <c r="E419" s="13" t="str">
        <f>+HYPERLINK("http://trademark.i-assist.jp/data/china/image_1888th/76687037.pdf","76687037")</f>
        <v>76687037</v>
      </c>
      <c r="F419" s="7" t="s">
        <v>1196</v>
      </c>
      <c r="G419" s="7" t="s">
        <v>1197</v>
      </c>
      <c r="H419" s="7" t="s">
        <v>1198</v>
      </c>
      <c r="I419" s="9">
        <v>45321</v>
      </c>
    </row>
    <row r="420" spans="1:9" x14ac:dyDescent="0.15">
      <c r="A420" s="6">
        <v>419</v>
      </c>
      <c r="B420" s="7" t="s">
        <v>10</v>
      </c>
      <c r="C420" s="8">
        <v>1888</v>
      </c>
      <c r="D420" s="9">
        <v>45432</v>
      </c>
      <c r="E420" s="13" t="str">
        <f>+HYPERLINK("http://trademark.i-assist.jp/data/china/image_1888th/76687611.pdf","76687611")</f>
        <v>76687611</v>
      </c>
      <c r="F420" s="7" t="s">
        <v>1199</v>
      </c>
      <c r="G420" s="7" t="s">
        <v>1199</v>
      </c>
      <c r="H420" s="7" t="s">
        <v>1200</v>
      </c>
      <c r="I420" s="9">
        <v>45321</v>
      </c>
    </row>
    <row r="421" spans="1:9" x14ac:dyDescent="0.15">
      <c r="A421" s="6">
        <v>420</v>
      </c>
      <c r="B421" s="7" t="s">
        <v>10</v>
      </c>
      <c r="C421" s="8">
        <v>1888</v>
      </c>
      <c r="D421" s="9">
        <v>45432</v>
      </c>
      <c r="E421" s="13" t="str">
        <f>+HYPERLINK("http://trademark.i-assist.jp/data/china/image_1888th/76687945.pdf","76687945")</f>
        <v>76687945</v>
      </c>
      <c r="F421" s="7" t="s">
        <v>1201</v>
      </c>
      <c r="G421" s="7" t="s">
        <v>1202</v>
      </c>
      <c r="H421" s="7" t="s">
        <v>13</v>
      </c>
      <c r="I421" s="9">
        <v>45321</v>
      </c>
    </row>
    <row r="422" spans="1:9" ht="27" x14ac:dyDescent="0.15">
      <c r="A422" s="6">
        <v>421</v>
      </c>
      <c r="B422" s="7" t="s">
        <v>10</v>
      </c>
      <c r="C422" s="8">
        <v>1888</v>
      </c>
      <c r="D422" s="9">
        <v>45432</v>
      </c>
      <c r="E422" s="13" t="str">
        <f>+HYPERLINK("http://trademark.i-assist.jp/data/china/image_1888th/76688120.pdf","76688120")</f>
        <v>76688120</v>
      </c>
      <c r="F422" s="7" t="s">
        <v>1203</v>
      </c>
      <c r="G422" s="7" t="s">
        <v>1204</v>
      </c>
      <c r="H422" s="7" t="s">
        <v>1205</v>
      </c>
      <c r="I422" s="9">
        <v>45321</v>
      </c>
    </row>
    <row r="423" spans="1:9" ht="27" x14ac:dyDescent="0.15">
      <c r="A423" s="6">
        <v>422</v>
      </c>
      <c r="B423" s="7" t="s">
        <v>10</v>
      </c>
      <c r="C423" s="8">
        <v>1888</v>
      </c>
      <c r="D423" s="9">
        <v>45432</v>
      </c>
      <c r="E423" s="13" t="str">
        <f>+HYPERLINK("http://trademark.i-assist.jp/data/china/image_1888th/76689104.pdf","76689104")</f>
        <v>76689104</v>
      </c>
      <c r="F423" s="7" t="s">
        <v>1206</v>
      </c>
      <c r="G423" s="7" t="s">
        <v>1207</v>
      </c>
      <c r="H423" s="7" t="s">
        <v>1208</v>
      </c>
      <c r="I423" s="9">
        <v>45321</v>
      </c>
    </row>
    <row r="424" spans="1:9" x14ac:dyDescent="0.15">
      <c r="A424" s="6">
        <v>423</v>
      </c>
      <c r="B424" s="7" t="s">
        <v>10</v>
      </c>
      <c r="C424" s="8">
        <v>1888</v>
      </c>
      <c r="D424" s="9">
        <v>45432</v>
      </c>
      <c r="E424" s="13" t="str">
        <f>+HYPERLINK("http://trademark.i-assist.jp/data/china/image_1888th/76689128.pdf","76689128")</f>
        <v>76689128</v>
      </c>
      <c r="F424" s="7" t="s">
        <v>1209</v>
      </c>
      <c r="G424" s="7" t="s">
        <v>1210</v>
      </c>
      <c r="H424" s="7" t="s">
        <v>1211</v>
      </c>
      <c r="I424" s="9">
        <v>45321</v>
      </c>
    </row>
    <row r="425" spans="1:9" x14ac:dyDescent="0.15">
      <c r="A425" s="6">
        <v>424</v>
      </c>
      <c r="B425" s="7" t="s">
        <v>10</v>
      </c>
      <c r="C425" s="8">
        <v>1888</v>
      </c>
      <c r="D425" s="9">
        <v>45432</v>
      </c>
      <c r="E425" s="13" t="str">
        <f>+HYPERLINK("http://trademark.i-assist.jp/data/china/image_1888th/76689154.pdf","76689154")</f>
        <v>76689154</v>
      </c>
      <c r="F425" s="7" t="s">
        <v>1212</v>
      </c>
      <c r="G425" s="7" t="s">
        <v>1213</v>
      </c>
      <c r="H425" s="7" t="s">
        <v>1214</v>
      </c>
      <c r="I425" s="9">
        <v>45321</v>
      </c>
    </row>
    <row r="426" spans="1:9" x14ac:dyDescent="0.15">
      <c r="A426" s="6">
        <v>425</v>
      </c>
      <c r="B426" s="7" t="s">
        <v>10</v>
      </c>
      <c r="C426" s="8">
        <v>1888</v>
      </c>
      <c r="D426" s="9">
        <v>45432</v>
      </c>
      <c r="E426" s="13" t="str">
        <f>+HYPERLINK("http://trademark.i-assist.jp/data/china/image_1888th/76689799.pdf","76689799")</f>
        <v>76689799</v>
      </c>
      <c r="F426" s="7" t="s">
        <v>1215</v>
      </c>
      <c r="G426" s="7" t="s">
        <v>1210</v>
      </c>
      <c r="H426" s="7" t="s">
        <v>1216</v>
      </c>
      <c r="I426" s="9">
        <v>45321</v>
      </c>
    </row>
    <row r="427" spans="1:9" x14ac:dyDescent="0.15">
      <c r="A427" s="6">
        <v>426</v>
      </c>
      <c r="B427" s="7" t="s">
        <v>10</v>
      </c>
      <c r="C427" s="8">
        <v>1888</v>
      </c>
      <c r="D427" s="9">
        <v>45432</v>
      </c>
      <c r="E427" s="13" t="str">
        <f>+HYPERLINK("http://trademark.i-assist.jp/data/china/image_1888th/76690832.pdf","76690832")</f>
        <v>76690832</v>
      </c>
      <c r="F427" s="7" t="s">
        <v>1217</v>
      </c>
      <c r="G427" s="7" t="s">
        <v>1218</v>
      </c>
      <c r="H427" s="7" t="s">
        <v>1219</v>
      </c>
      <c r="I427" s="9">
        <v>45321</v>
      </c>
    </row>
    <row r="428" spans="1:9" x14ac:dyDescent="0.15">
      <c r="A428" s="6">
        <v>427</v>
      </c>
      <c r="B428" s="7" t="s">
        <v>10</v>
      </c>
      <c r="C428" s="8">
        <v>1888</v>
      </c>
      <c r="D428" s="9">
        <v>45432</v>
      </c>
      <c r="E428" s="13" t="str">
        <f>+HYPERLINK("http://trademark.i-assist.jp/data/china/image_1888th/76690971.pdf","76690971")</f>
        <v>76690971</v>
      </c>
      <c r="F428" s="7" t="s">
        <v>1220</v>
      </c>
      <c r="G428" s="7" t="s">
        <v>1221</v>
      </c>
      <c r="H428" s="7" t="s">
        <v>1222</v>
      </c>
      <c r="I428" s="9">
        <v>45321</v>
      </c>
    </row>
    <row r="429" spans="1:9" x14ac:dyDescent="0.15">
      <c r="A429" s="6">
        <v>428</v>
      </c>
      <c r="B429" s="7" t="s">
        <v>10</v>
      </c>
      <c r="C429" s="8">
        <v>1888</v>
      </c>
      <c r="D429" s="9">
        <v>45432</v>
      </c>
      <c r="E429" s="13" t="str">
        <f>+HYPERLINK("http://trademark.i-assist.jp/data/china/image_1888th/76692393.pdf","76692393")</f>
        <v>76692393</v>
      </c>
      <c r="F429" s="7" t="s">
        <v>1223</v>
      </c>
      <c r="G429" s="7" t="s">
        <v>1210</v>
      </c>
      <c r="H429" s="7" t="s">
        <v>1224</v>
      </c>
      <c r="I429" s="9">
        <v>45321</v>
      </c>
    </row>
    <row r="430" spans="1:9" x14ac:dyDescent="0.15">
      <c r="A430" s="6">
        <v>429</v>
      </c>
      <c r="B430" s="7" t="s">
        <v>10</v>
      </c>
      <c r="C430" s="8">
        <v>1888</v>
      </c>
      <c r="D430" s="9">
        <v>45432</v>
      </c>
      <c r="E430" s="13" t="str">
        <f>+HYPERLINK("http://trademark.i-assist.jp/data/china/image_1888th/76694134.pdf","76694134")</f>
        <v>76694134</v>
      </c>
      <c r="F430" s="7" t="s">
        <v>1225</v>
      </c>
      <c r="G430" s="7" t="s">
        <v>1226</v>
      </c>
      <c r="H430" s="7" t="s">
        <v>1227</v>
      </c>
      <c r="I430" s="9">
        <v>45321</v>
      </c>
    </row>
    <row r="431" spans="1:9" x14ac:dyDescent="0.15">
      <c r="A431" s="6">
        <v>430</v>
      </c>
      <c r="B431" s="7" t="s">
        <v>10</v>
      </c>
      <c r="C431" s="8">
        <v>1888</v>
      </c>
      <c r="D431" s="9">
        <v>45432</v>
      </c>
      <c r="E431" s="13" t="str">
        <f>+HYPERLINK("http://trademark.i-assist.jp/data/china/image_1888th/76696824.pdf","76696824")</f>
        <v>76696824</v>
      </c>
      <c r="F431" s="7" t="s">
        <v>1228</v>
      </c>
      <c r="G431" s="7" t="s">
        <v>1229</v>
      </c>
      <c r="H431" s="7" t="s">
        <v>1230</v>
      </c>
      <c r="I431" s="9">
        <v>45321</v>
      </c>
    </row>
    <row r="432" spans="1:9" x14ac:dyDescent="0.15">
      <c r="A432" s="6">
        <v>431</v>
      </c>
      <c r="B432" s="7" t="s">
        <v>10</v>
      </c>
      <c r="C432" s="8">
        <v>1888</v>
      </c>
      <c r="D432" s="9">
        <v>45432</v>
      </c>
      <c r="E432" s="13" t="str">
        <f>+HYPERLINK("http://trademark.i-assist.jp/data/china/image_1888th/76697568.pdf","76697568")</f>
        <v>76697568</v>
      </c>
      <c r="F432" s="7" t="s">
        <v>1231</v>
      </c>
      <c r="G432" s="7" t="s">
        <v>1232</v>
      </c>
      <c r="H432" s="7" t="s">
        <v>1233</v>
      </c>
      <c r="I432" s="9">
        <v>45321</v>
      </c>
    </row>
    <row r="433" spans="1:9" x14ac:dyDescent="0.15">
      <c r="A433" s="6">
        <v>432</v>
      </c>
      <c r="B433" s="7" t="s">
        <v>10</v>
      </c>
      <c r="C433" s="8">
        <v>1888</v>
      </c>
      <c r="D433" s="9">
        <v>45432</v>
      </c>
      <c r="E433" s="13" t="str">
        <f>+HYPERLINK("http://trademark.i-assist.jp/data/china/image_1888th/76698008.pdf","76698008")</f>
        <v>76698008</v>
      </c>
      <c r="F433" s="7" t="s">
        <v>1234</v>
      </c>
      <c r="G433" s="7" t="s">
        <v>1210</v>
      </c>
      <c r="H433" s="7" t="s">
        <v>1235</v>
      </c>
      <c r="I433" s="9">
        <v>45321</v>
      </c>
    </row>
    <row r="434" spans="1:9" ht="27" x14ac:dyDescent="0.15">
      <c r="A434" s="6">
        <v>433</v>
      </c>
      <c r="B434" s="7" t="s">
        <v>10</v>
      </c>
      <c r="C434" s="8">
        <v>1888</v>
      </c>
      <c r="D434" s="9">
        <v>45432</v>
      </c>
      <c r="E434" s="13" t="str">
        <f>+HYPERLINK("http://trademark.i-assist.jp/data/china/image_1888th/76698384.pdf","76698384")</f>
        <v>76698384</v>
      </c>
      <c r="F434" s="7" t="s">
        <v>1236</v>
      </c>
      <c r="G434" s="7" t="s">
        <v>1237</v>
      </c>
      <c r="H434" s="7" t="s">
        <v>1238</v>
      </c>
      <c r="I434" s="9">
        <v>45321</v>
      </c>
    </row>
    <row r="435" spans="1:9" x14ac:dyDescent="0.15">
      <c r="A435" s="6">
        <v>434</v>
      </c>
      <c r="B435" s="7" t="s">
        <v>10</v>
      </c>
      <c r="C435" s="8">
        <v>1888</v>
      </c>
      <c r="D435" s="9">
        <v>45432</v>
      </c>
      <c r="E435" s="13" t="str">
        <f>+HYPERLINK("http://trademark.i-assist.jp/data/china/image_1888th/76699145.pdf","76699145")</f>
        <v>76699145</v>
      </c>
      <c r="F435" s="7" t="s">
        <v>76</v>
      </c>
      <c r="G435" s="7" t="s">
        <v>1239</v>
      </c>
      <c r="H435" s="7" t="s">
        <v>1240</v>
      </c>
      <c r="I435" s="9">
        <v>45322</v>
      </c>
    </row>
    <row r="436" spans="1:9" x14ac:dyDescent="0.15">
      <c r="A436" s="6">
        <v>435</v>
      </c>
      <c r="B436" s="7" t="s">
        <v>10</v>
      </c>
      <c r="C436" s="8">
        <v>1888</v>
      </c>
      <c r="D436" s="9">
        <v>45432</v>
      </c>
      <c r="E436" s="13" t="str">
        <f>+HYPERLINK("http://trademark.i-assist.jp/data/china/image_1888th/76701173.pdf","76701173")</f>
        <v>76701173</v>
      </c>
      <c r="F436" s="7" t="s">
        <v>1241</v>
      </c>
      <c r="G436" s="7" t="s">
        <v>1242</v>
      </c>
      <c r="H436" s="7" t="s">
        <v>1243</v>
      </c>
      <c r="I436" s="9">
        <v>45322</v>
      </c>
    </row>
    <row r="437" spans="1:9" ht="27" x14ac:dyDescent="0.15">
      <c r="A437" s="6">
        <v>436</v>
      </c>
      <c r="B437" s="7" t="s">
        <v>10</v>
      </c>
      <c r="C437" s="8">
        <v>1888</v>
      </c>
      <c r="D437" s="9">
        <v>45432</v>
      </c>
      <c r="E437" s="13" t="str">
        <f>+HYPERLINK("http://trademark.i-assist.jp/data/china/image_1888th/76702192.pdf","76702192")</f>
        <v>76702192</v>
      </c>
      <c r="F437" s="7" t="s">
        <v>1244</v>
      </c>
      <c r="G437" s="7" t="s">
        <v>1245</v>
      </c>
      <c r="H437" s="7" t="s">
        <v>1246</v>
      </c>
      <c r="I437" s="9">
        <v>45322</v>
      </c>
    </row>
    <row r="438" spans="1:9" x14ac:dyDescent="0.15">
      <c r="A438" s="6">
        <v>437</v>
      </c>
      <c r="B438" s="7" t="s">
        <v>10</v>
      </c>
      <c r="C438" s="8">
        <v>1888</v>
      </c>
      <c r="D438" s="9">
        <v>45432</v>
      </c>
      <c r="E438" s="13" t="str">
        <f>+HYPERLINK("http://trademark.i-assist.jp/data/china/image_1888th/76702582.pdf","76702582")</f>
        <v>76702582</v>
      </c>
      <c r="F438" s="7" t="s">
        <v>1247</v>
      </c>
      <c r="G438" s="7" t="s">
        <v>1248</v>
      </c>
      <c r="H438" s="7" t="s">
        <v>1249</v>
      </c>
      <c r="I438" s="9">
        <v>45322</v>
      </c>
    </row>
    <row r="439" spans="1:9" x14ac:dyDescent="0.15">
      <c r="A439" s="6">
        <v>438</v>
      </c>
      <c r="B439" s="7" t="s">
        <v>10</v>
      </c>
      <c r="C439" s="8">
        <v>1888</v>
      </c>
      <c r="D439" s="9">
        <v>45432</v>
      </c>
      <c r="E439" s="13" t="str">
        <f>+HYPERLINK("http://trademark.i-assist.jp/data/china/image_1888th/76703974.pdf","76703974")</f>
        <v>76703974</v>
      </c>
      <c r="F439" s="7" t="s">
        <v>1250</v>
      </c>
      <c r="G439" s="7" t="s">
        <v>1251</v>
      </c>
      <c r="H439" s="7" t="s">
        <v>1252</v>
      </c>
      <c r="I439" s="9">
        <v>45322</v>
      </c>
    </row>
    <row r="440" spans="1:9" x14ac:dyDescent="0.15">
      <c r="A440" s="6">
        <v>439</v>
      </c>
      <c r="B440" s="7" t="s">
        <v>10</v>
      </c>
      <c r="C440" s="8">
        <v>1888</v>
      </c>
      <c r="D440" s="9">
        <v>45432</v>
      </c>
      <c r="E440" s="13" t="str">
        <f>+HYPERLINK("http://trademark.i-assist.jp/data/china/image_1888th/76704162.pdf","76704162")</f>
        <v>76704162</v>
      </c>
      <c r="F440" s="7" t="s">
        <v>1253</v>
      </c>
      <c r="G440" s="7" t="s">
        <v>1254</v>
      </c>
      <c r="H440" s="7" t="s">
        <v>1255</v>
      </c>
      <c r="I440" s="9">
        <v>45322</v>
      </c>
    </row>
    <row r="441" spans="1:9" x14ac:dyDescent="0.15">
      <c r="A441" s="6">
        <v>440</v>
      </c>
      <c r="B441" s="7" t="s">
        <v>10</v>
      </c>
      <c r="C441" s="8">
        <v>1888</v>
      </c>
      <c r="D441" s="9">
        <v>45432</v>
      </c>
      <c r="E441" s="13" t="str">
        <f>+HYPERLINK("http://trademark.i-assist.jp/data/china/image_1888th/76704536.pdf","76704536")</f>
        <v>76704536</v>
      </c>
      <c r="F441" s="7" t="s">
        <v>1256</v>
      </c>
      <c r="G441" s="7" t="s">
        <v>1257</v>
      </c>
      <c r="H441" s="7" t="s">
        <v>1258</v>
      </c>
      <c r="I441" s="9">
        <v>45322</v>
      </c>
    </row>
    <row r="442" spans="1:9" x14ac:dyDescent="0.15">
      <c r="A442" s="6">
        <v>441</v>
      </c>
      <c r="B442" s="7" t="s">
        <v>10</v>
      </c>
      <c r="C442" s="8">
        <v>1888</v>
      </c>
      <c r="D442" s="9">
        <v>45432</v>
      </c>
      <c r="E442" s="13" t="str">
        <f>+HYPERLINK("http://trademark.i-assist.jp/data/china/image_1888th/76705981.pdf","76705981")</f>
        <v>76705981</v>
      </c>
      <c r="F442" s="7" t="s">
        <v>1259</v>
      </c>
      <c r="G442" s="7" t="s">
        <v>1254</v>
      </c>
      <c r="H442" s="7" t="s">
        <v>1260</v>
      </c>
      <c r="I442" s="9">
        <v>45322</v>
      </c>
    </row>
    <row r="443" spans="1:9" x14ac:dyDescent="0.15">
      <c r="A443" s="6">
        <v>442</v>
      </c>
      <c r="B443" s="7" t="s">
        <v>10</v>
      </c>
      <c r="C443" s="8">
        <v>1888</v>
      </c>
      <c r="D443" s="9">
        <v>45432</v>
      </c>
      <c r="E443" s="13" t="str">
        <f>+HYPERLINK("http://trademark.i-assist.jp/data/china/image_1888th/76706333.pdf","76706333")</f>
        <v>76706333</v>
      </c>
      <c r="F443" s="7" t="s">
        <v>1261</v>
      </c>
      <c r="G443" s="7" t="s">
        <v>1262</v>
      </c>
      <c r="H443" s="7" t="s">
        <v>1263</v>
      </c>
      <c r="I443" s="9">
        <v>45322</v>
      </c>
    </row>
    <row r="444" spans="1:9" x14ac:dyDescent="0.15">
      <c r="A444" s="6">
        <v>443</v>
      </c>
      <c r="B444" s="7" t="s">
        <v>10</v>
      </c>
      <c r="C444" s="8">
        <v>1888</v>
      </c>
      <c r="D444" s="9">
        <v>45432</v>
      </c>
      <c r="E444" s="13" t="str">
        <f>+HYPERLINK("http://trademark.i-assist.jp/data/china/image_1888th/76706655.pdf","76706655")</f>
        <v>76706655</v>
      </c>
      <c r="F444" s="7" t="s">
        <v>1264</v>
      </c>
      <c r="G444" s="7" t="s">
        <v>1265</v>
      </c>
      <c r="H444" s="7" t="s">
        <v>1266</v>
      </c>
      <c r="I444" s="9">
        <v>45322</v>
      </c>
    </row>
    <row r="445" spans="1:9" x14ac:dyDescent="0.15">
      <c r="A445" s="6">
        <v>444</v>
      </c>
      <c r="B445" s="7" t="s">
        <v>10</v>
      </c>
      <c r="C445" s="8">
        <v>1888</v>
      </c>
      <c r="D445" s="9">
        <v>45432</v>
      </c>
      <c r="E445" s="13" t="str">
        <f>+HYPERLINK("http://trademark.i-assist.jp/data/china/image_1888th/76709662.pdf","76709662")</f>
        <v>76709662</v>
      </c>
      <c r="F445" s="7" t="s">
        <v>1267</v>
      </c>
      <c r="G445" s="7" t="s">
        <v>1268</v>
      </c>
      <c r="H445" s="7" t="s">
        <v>1269</v>
      </c>
      <c r="I445" s="9">
        <v>45322</v>
      </c>
    </row>
    <row r="446" spans="1:9" x14ac:dyDescent="0.15">
      <c r="A446" s="6">
        <v>445</v>
      </c>
      <c r="B446" s="7" t="s">
        <v>10</v>
      </c>
      <c r="C446" s="8">
        <v>1888</v>
      </c>
      <c r="D446" s="9">
        <v>45432</v>
      </c>
      <c r="E446" s="13" t="str">
        <f>+HYPERLINK("http://trademark.i-assist.jp/data/china/image_1888th/76710648.pdf","76710648")</f>
        <v>76710648</v>
      </c>
      <c r="F446" s="7" t="s">
        <v>1270</v>
      </c>
      <c r="G446" s="7" t="s">
        <v>1271</v>
      </c>
      <c r="H446" s="7" t="s">
        <v>1272</v>
      </c>
      <c r="I446" s="9">
        <v>45322</v>
      </c>
    </row>
    <row r="447" spans="1:9" x14ac:dyDescent="0.15">
      <c r="A447" s="6">
        <v>446</v>
      </c>
      <c r="B447" s="7" t="s">
        <v>10</v>
      </c>
      <c r="C447" s="8">
        <v>1888</v>
      </c>
      <c r="D447" s="9">
        <v>45432</v>
      </c>
      <c r="E447" s="13" t="str">
        <f>+HYPERLINK("http://trademark.i-assist.jp/data/china/image_1888th/76710954.pdf","76710954")</f>
        <v>76710954</v>
      </c>
      <c r="F447" s="7" t="s">
        <v>1273</v>
      </c>
      <c r="G447" s="7" t="s">
        <v>1274</v>
      </c>
      <c r="H447" s="7" t="s">
        <v>1275</v>
      </c>
      <c r="I447" s="9">
        <v>45322</v>
      </c>
    </row>
    <row r="448" spans="1:9" ht="27" x14ac:dyDescent="0.15">
      <c r="A448" s="6">
        <v>447</v>
      </c>
      <c r="B448" s="7" t="s">
        <v>10</v>
      </c>
      <c r="C448" s="8">
        <v>1888</v>
      </c>
      <c r="D448" s="9">
        <v>45432</v>
      </c>
      <c r="E448" s="13" t="str">
        <f>+HYPERLINK("http://trademark.i-assist.jp/data/china/image_1888th/76711067.pdf","76711067")</f>
        <v>76711067</v>
      </c>
      <c r="F448" s="7" t="s">
        <v>1276</v>
      </c>
      <c r="G448" s="7" t="s">
        <v>1277</v>
      </c>
      <c r="H448" s="7" t="s">
        <v>1278</v>
      </c>
      <c r="I448" s="9">
        <v>45322</v>
      </c>
    </row>
    <row r="449" spans="1:9" x14ac:dyDescent="0.15">
      <c r="A449" s="6">
        <v>448</v>
      </c>
      <c r="B449" s="7" t="s">
        <v>10</v>
      </c>
      <c r="C449" s="8">
        <v>1888</v>
      </c>
      <c r="D449" s="9">
        <v>45432</v>
      </c>
      <c r="E449" s="13" t="str">
        <f>+HYPERLINK("http://trademark.i-assist.jp/data/china/image_1888th/76712464.pdf","76712464")</f>
        <v>76712464</v>
      </c>
      <c r="F449" s="7" t="s">
        <v>1279</v>
      </c>
      <c r="G449" s="7" t="s">
        <v>1280</v>
      </c>
      <c r="H449" s="7" t="s">
        <v>1281</v>
      </c>
      <c r="I449" s="9">
        <v>45322</v>
      </c>
    </row>
    <row r="450" spans="1:9" x14ac:dyDescent="0.15">
      <c r="A450" s="6">
        <v>449</v>
      </c>
      <c r="B450" s="7" t="s">
        <v>10</v>
      </c>
      <c r="C450" s="8">
        <v>1888</v>
      </c>
      <c r="D450" s="9">
        <v>45432</v>
      </c>
      <c r="E450" s="13" t="str">
        <f>+HYPERLINK("http://trademark.i-assist.jp/data/china/image_1888th/76713076.pdf","76713076")</f>
        <v>76713076</v>
      </c>
      <c r="F450" s="7" t="s">
        <v>1282</v>
      </c>
      <c r="G450" s="7" t="s">
        <v>1283</v>
      </c>
      <c r="H450" s="7" t="s">
        <v>1284</v>
      </c>
      <c r="I450" s="9">
        <v>45322</v>
      </c>
    </row>
    <row r="451" spans="1:9" ht="27" x14ac:dyDescent="0.15">
      <c r="A451" s="6">
        <v>450</v>
      </c>
      <c r="B451" s="7" t="s">
        <v>10</v>
      </c>
      <c r="C451" s="8">
        <v>1888</v>
      </c>
      <c r="D451" s="9">
        <v>45432</v>
      </c>
      <c r="E451" s="13" t="str">
        <f>+HYPERLINK("http://trademark.i-assist.jp/data/china/image_1888th/76713620.pdf","76713620")</f>
        <v>76713620</v>
      </c>
      <c r="F451" s="7" t="s">
        <v>1285</v>
      </c>
      <c r="G451" s="7" t="s">
        <v>1286</v>
      </c>
      <c r="H451" s="7" t="s">
        <v>1287</v>
      </c>
      <c r="I451" s="9">
        <v>45322</v>
      </c>
    </row>
    <row r="452" spans="1:9" x14ac:dyDescent="0.15">
      <c r="A452" s="6">
        <v>451</v>
      </c>
      <c r="B452" s="7" t="s">
        <v>10</v>
      </c>
      <c r="C452" s="8">
        <v>1888</v>
      </c>
      <c r="D452" s="9">
        <v>45432</v>
      </c>
      <c r="E452" s="13" t="str">
        <f>+HYPERLINK("http://trademark.i-assist.jp/data/china/image_1888th/76714737.pdf","76714737")</f>
        <v>76714737</v>
      </c>
      <c r="F452" s="7" t="s">
        <v>1288</v>
      </c>
      <c r="G452" s="7" t="s">
        <v>1289</v>
      </c>
      <c r="H452" s="7" t="s">
        <v>1290</v>
      </c>
      <c r="I452" s="9">
        <v>45322</v>
      </c>
    </row>
    <row r="453" spans="1:9" x14ac:dyDescent="0.15">
      <c r="A453" s="6">
        <v>452</v>
      </c>
      <c r="B453" s="7" t="s">
        <v>10</v>
      </c>
      <c r="C453" s="8">
        <v>1888</v>
      </c>
      <c r="D453" s="9">
        <v>45432</v>
      </c>
      <c r="E453" s="13" t="str">
        <f>+HYPERLINK("http://trademark.i-assist.jp/data/china/image_1888th/76714996.pdf","76714996")</f>
        <v>76714996</v>
      </c>
      <c r="F453" s="7" t="s">
        <v>1291</v>
      </c>
      <c r="G453" s="7" t="s">
        <v>1292</v>
      </c>
      <c r="H453" s="7" t="s">
        <v>1293</v>
      </c>
      <c r="I453" s="9">
        <v>45322</v>
      </c>
    </row>
    <row r="454" spans="1:9" x14ac:dyDescent="0.15">
      <c r="A454" s="6">
        <v>453</v>
      </c>
      <c r="B454" s="7" t="s">
        <v>10</v>
      </c>
      <c r="C454" s="8">
        <v>1888</v>
      </c>
      <c r="D454" s="9">
        <v>45432</v>
      </c>
      <c r="E454" s="13" t="str">
        <f>+HYPERLINK("http://trademark.i-assist.jp/data/china/image_1888th/76715939.pdf","76715939")</f>
        <v>76715939</v>
      </c>
      <c r="F454" s="7" t="s">
        <v>1294</v>
      </c>
      <c r="G454" s="7" t="s">
        <v>1295</v>
      </c>
      <c r="H454" s="7" t="s">
        <v>1296</v>
      </c>
      <c r="I454" s="9">
        <v>45322</v>
      </c>
    </row>
    <row r="455" spans="1:9" x14ac:dyDescent="0.15">
      <c r="A455" s="6">
        <v>454</v>
      </c>
      <c r="B455" s="7" t="s">
        <v>10</v>
      </c>
      <c r="C455" s="8">
        <v>1888</v>
      </c>
      <c r="D455" s="9">
        <v>45432</v>
      </c>
      <c r="E455" s="13" t="str">
        <f>+HYPERLINK("http://trademark.i-assist.jp/data/china/image_1888th/76716112.pdf","76716112")</f>
        <v>76716112</v>
      </c>
      <c r="F455" s="7" t="s">
        <v>1297</v>
      </c>
      <c r="G455" s="7" t="s">
        <v>1298</v>
      </c>
      <c r="H455" s="7" t="s">
        <v>1299</v>
      </c>
      <c r="I455" s="9">
        <v>45322</v>
      </c>
    </row>
    <row r="456" spans="1:9" x14ac:dyDescent="0.15">
      <c r="A456" s="6">
        <v>455</v>
      </c>
      <c r="B456" s="7" t="s">
        <v>10</v>
      </c>
      <c r="C456" s="8">
        <v>1888</v>
      </c>
      <c r="D456" s="9">
        <v>45432</v>
      </c>
      <c r="E456" s="13" t="str">
        <f>+HYPERLINK("http://trademark.i-assist.jp/data/china/image_1888th/76716178.pdf","76716178")</f>
        <v>76716178</v>
      </c>
      <c r="F456" s="7" t="s">
        <v>1300</v>
      </c>
      <c r="G456" s="7" t="s">
        <v>1301</v>
      </c>
      <c r="H456" s="7" t="s">
        <v>1302</v>
      </c>
      <c r="I456" s="9">
        <v>45322</v>
      </c>
    </row>
    <row r="457" spans="1:9" x14ac:dyDescent="0.15">
      <c r="A457" s="6">
        <v>456</v>
      </c>
      <c r="B457" s="7" t="s">
        <v>10</v>
      </c>
      <c r="C457" s="8">
        <v>1888</v>
      </c>
      <c r="D457" s="9">
        <v>45432</v>
      </c>
      <c r="E457" s="13" t="str">
        <f>+HYPERLINK("http://trademark.i-assist.jp/data/china/image_1888th/76716292.pdf","76716292")</f>
        <v>76716292</v>
      </c>
      <c r="F457" s="7" t="s">
        <v>76</v>
      </c>
      <c r="G457" s="7" t="s">
        <v>1303</v>
      </c>
      <c r="H457" s="7" t="s">
        <v>1304</v>
      </c>
      <c r="I457" s="9">
        <v>45322</v>
      </c>
    </row>
    <row r="458" spans="1:9" ht="27" x14ac:dyDescent="0.15">
      <c r="A458" s="6">
        <v>457</v>
      </c>
      <c r="B458" s="7" t="s">
        <v>10</v>
      </c>
      <c r="C458" s="8">
        <v>1888</v>
      </c>
      <c r="D458" s="9">
        <v>45432</v>
      </c>
      <c r="E458" s="13" t="str">
        <f>+HYPERLINK("http://trademark.i-assist.jp/data/china/image_1888th/76716801.pdf","76716801")</f>
        <v>76716801</v>
      </c>
      <c r="F458" s="7" t="s">
        <v>1305</v>
      </c>
      <c r="G458" s="7" t="s">
        <v>1306</v>
      </c>
      <c r="H458" s="7" t="s">
        <v>1307</v>
      </c>
      <c r="I458" s="9">
        <v>45322</v>
      </c>
    </row>
    <row r="459" spans="1:9" x14ac:dyDescent="0.15">
      <c r="A459" s="6">
        <v>458</v>
      </c>
      <c r="B459" s="7" t="s">
        <v>10</v>
      </c>
      <c r="C459" s="8">
        <v>1888</v>
      </c>
      <c r="D459" s="9">
        <v>45432</v>
      </c>
      <c r="E459" s="13" t="str">
        <f>+HYPERLINK("http://trademark.i-assist.jp/data/china/image_1888th/76716959.pdf","76716959")</f>
        <v>76716959</v>
      </c>
      <c r="F459" s="7" t="s">
        <v>1308</v>
      </c>
      <c r="G459" s="7" t="s">
        <v>1309</v>
      </c>
      <c r="H459" s="7" t="s">
        <v>1310</v>
      </c>
      <c r="I459" s="9">
        <v>45322</v>
      </c>
    </row>
    <row r="460" spans="1:9" x14ac:dyDescent="0.15">
      <c r="A460" s="6">
        <v>459</v>
      </c>
      <c r="B460" s="7" t="s">
        <v>10</v>
      </c>
      <c r="C460" s="8">
        <v>1888</v>
      </c>
      <c r="D460" s="9">
        <v>45432</v>
      </c>
      <c r="E460" s="13" t="str">
        <f>+HYPERLINK("http://trademark.i-assist.jp/data/china/image_1888th/76717012.pdf","76717012")</f>
        <v>76717012</v>
      </c>
      <c r="F460" s="7" t="s">
        <v>1311</v>
      </c>
      <c r="G460" s="7" t="s">
        <v>1312</v>
      </c>
      <c r="H460" s="7" t="s">
        <v>1313</v>
      </c>
      <c r="I460" s="9">
        <v>45322</v>
      </c>
    </row>
    <row r="461" spans="1:9" ht="27" x14ac:dyDescent="0.15">
      <c r="A461" s="6">
        <v>460</v>
      </c>
      <c r="B461" s="7" t="s">
        <v>10</v>
      </c>
      <c r="C461" s="8">
        <v>1888</v>
      </c>
      <c r="D461" s="9">
        <v>45432</v>
      </c>
      <c r="E461" s="13" t="str">
        <f>+HYPERLINK("http://trademark.i-assist.jp/data/china/image_1888th/76717820.pdf","76717820")</f>
        <v>76717820</v>
      </c>
      <c r="F461" s="7" t="s">
        <v>1314</v>
      </c>
      <c r="G461" s="7" t="s">
        <v>1315</v>
      </c>
      <c r="H461" s="7" t="s">
        <v>1316</v>
      </c>
      <c r="I461" s="9">
        <v>45322</v>
      </c>
    </row>
    <row r="462" spans="1:9" ht="27" x14ac:dyDescent="0.15">
      <c r="A462" s="6">
        <v>461</v>
      </c>
      <c r="B462" s="7" t="s">
        <v>10</v>
      </c>
      <c r="C462" s="8">
        <v>1888</v>
      </c>
      <c r="D462" s="9">
        <v>45432</v>
      </c>
      <c r="E462" s="13" t="str">
        <f>+HYPERLINK("http://trademark.i-assist.jp/data/china/image_1888th/76717987.pdf","76717987")</f>
        <v>76717987</v>
      </c>
      <c r="F462" s="7" t="s">
        <v>1317</v>
      </c>
      <c r="G462" s="7" t="s">
        <v>1277</v>
      </c>
      <c r="H462" s="7" t="s">
        <v>1318</v>
      </c>
      <c r="I462" s="9">
        <v>45322</v>
      </c>
    </row>
    <row r="463" spans="1:9" x14ac:dyDescent="0.15">
      <c r="A463" s="6">
        <v>462</v>
      </c>
      <c r="B463" s="7" t="s">
        <v>10</v>
      </c>
      <c r="C463" s="8">
        <v>1888</v>
      </c>
      <c r="D463" s="9">
        <v>45432</v>
      </c>
      <c r="E463" s="13" t="str">
        <f>+HYPERLINK("http://trademark.i-assist.jp/data/china/image_1888th/76718461.pdf","76718461")</f>
        <v>76718461</v>
      </c>
      <c r="F463" s="7" t="s">
        <v>1319</v>
      </c>
      <c r="G463" s="7" t="s">
        <v>1320</v>
      </c>
      <c r="H463" s="7" t="s">
        <v>1321</v>
      </c>
      <c r="I463" s="9">
        <v>45322</v>
      </c>
    </row>
    <row r="464" spans="1:9" x14ac:dyDescent="0.15">
      <c r="A464" s="6">
        <v>463</v>
      </c>
      <c r="B464" s="7" t="s">
        <v>10</v>
      </c>
      <c r="C464" s="8">
        <v>1888</v>
      </c>
      <c r="D464" s="9">
        <v>45432</v>
      </c>
      <c r="E464" s="13" t="str">
        <f>+HYPERLINK("http://trademark.i-assist.jp/data/china/image_1888th/76719445.pdf","76719445")</f>
        <v>76719445</v>
      </c>
      <c r="F464" s="7" t="s">
        <v>1322</v>
      </c>
      <c r="G464" s="7" t="s">
        <v>1323</v>
      </c>
      <c r="H464" s="7" t="s">
        <v>1324</v>
      </c>
      <c r="I464" s="9">
        <v>45322</v>
      </c>
    </row>
    <row r="465" spans="1:9" x14ac:dyDescent="0.15">
      <c r="A465" s="6">
        <v>464</v>
      </c>
      <c r="B465" s="7" t="s">
        <v>10</v>
      </c>
      <c r="C465" s="8">
        <v>1888</v>
      </c>
      <c r="D465" s="9">
        <v>45432</v>
      </c>
      <c r="E465" s="13" t="str">
        <f>+HYPERLINK("http://trademark.i-assist.jp/data/china/image_1888th/76719541.pdf","76719541")</f>
        <v>76719541</v>
      </c>
      <c r="F465" s="7" t="s">
        <v>1325</v>
      </c>
      <c r="G465" s="7" t="s">
        <v>1326</v>
      </c>
      <c r="H465" s="7" t="s">
        <v>1327</v>
      </c>
      <c r="I465" s="9">
        <v>45322</v>
      </c>
    </row>
    <row r="466" spans="1:9" x14ac:dyDescent="0.15">
      <c r="A466" s="6">
        <v>465</v>
      </c>
      <c r="B466" s="7" t="s">
        <v>10</v>
      </c>
      <c r="C466" s="8">
        <v>1888</v>
      </c>
      <c r="D466" s="9">
        <v>45432</v>
      </c>
      <c r="E466" s="13" t="str">
        <f>+HYPERLINK("http://trademark.i-assist.jp/data/china/image_1888th/76720048.pdf","76720048")</f>
        <v>76720048</v>
      </c>
      <c r="F466" s="7" t="s">
        <v>1328</v>
      </c>
      <c r="G466" s="7" t="s">
        <v>1329</v>
      </c>
      <c r="H466" s="7" t="s">
        <v>1330</v>
      </c>
      <c r="I466" s="9">
        <v>45322</v>
      </c>
    </row>
    <row r="467" spans="1:9" x14ac:dyDescent="0.15">
      <c r="A467" s="6">
        <v>466</v>
      </c>
      <c r="B467" s="7" t="s">
        <v>10</v>
      </c>
      <c r="C467" s="8">
        <v>1888</v>
      </c>
      <c r="D467" s="9">
        <v>45432</v>
      </c>
      <c r="E467" s="13" t="str">
        <f>+HYPERLINK("http://trademark.i-assist.jp/data/china/image_1888th/76720362.pdf","76720362")</f>
        <v>76720362</v>
      </c>
      <c r="F467" s="7" t="s">
        <v>1331</v>
      </c>
      <c r="G467" s="7" t="s">
        <v>1332</v>
      </c>
      <c r="H467" s="7" t="s">
        <v>1333</v>
      </c>
      <c r="I467" s="9">
        <v>45322</v>
      </c>
    </row>
    <row r="468" spans="1:9" x14ac:dyDescent="0.15">
      <c r="A468" s="6">
        <v>467</v>
      </c>
      <c r="B468" s="7" t="s">
        <v>10</v>
      </c>
      <c r="C468" s="8">
        <v>1888</v>
      </c>
      <c r="D468" s="9">
        <v>45432</v>
      </c>
      <c r="E468" s="13" t="str">
        <f>+HYPERLINK("http://trademark.i-assist.jp/data/china/image_1888th/76721191.pdf","76721191")</f>
        <v>76721191</v>
      </c>
      <c r="F468" s="7" t="s">
        <v>1334</v>
      </c>
      <c r="G468" s="7" t="s">
        <v>1295</v>
      </c>
      <c r="H468" s="7" t="s">
        <v>1335</v>
      </c>
      <c r="I468" s="9">
        <v>45322</v>
      </c>
    </row>
    <row r="469" spans="1:9" x14ac:dyDescent="0.15">
      <c r="A469" s="6">
        <v>468</v>
      </c>
      <c r="B469" s="7" t="s">
        <v>10</v>
      </c>
      <c r="C469" s="8">
        <v>1888</v>
      </c>
      <c r="D469" s="9">
        <v>45432</v>
      </c>
      <c r="E469" s="13" t="str">
        <f>+HYPERLINK("http://trademark.i-assist.jp/data/china/image_1888th/76723400.pdf","76723400")</f>
        <v>76723400</v>
      </c>
      <c r="F469" s="7" t="s">
        <v>1336</v>
      </c>
      <c r="G469" s="7" t="s">
        <v>1337</v>
      </c>
      <c r="H469" s="7" t="s">
        <v>1338</v>
      </c>
      <c r="I469" s="9">
        <v>45323</v>
      </c>
    </row>
    <row r="470" spans="1:9" x14ac:dyDescent="0.15">
      <c r="A470" s="6">
        <v>469</v>
      </c>
      <c r="B470" s="7" t="s">
        <v>10</v>
      </c>
      <c r="C470" s="8">
        <v>1888</v>
      </c>
      <c r="D470" s="9">
        <v>45432</v>
      </c>
      <c r="E470" s="13" t="str">
        <f>+HYPERLINK("http://trademark.i-assist.jp/data/china/image_1888th/76723781.pdf","76723781")</f>
        <v>76723781</v>
      </c>
      <c r="F470" s="7" t="s">
        <v>1339</v>
      </c>
      <c r="G470" s="7" t="s">
        <v>1340</v>
      </c>
      <c r="H470" s="7" t="s">
        <v>1341</v>
      </c>
      <c r="I470" s="9">
        <v>45323</v>
      </c>
    </row>
    <row r="471" spans="1:9" ht="40.5" x14ac:dyDescent="0.15">
      <c r="A471" s="6">
        <v>470</v>
      </c>
      <c r="B471" s="7" t="s">
        <v>10</v>
      </c>
      <c r="C471" s="8">
        <v>1888</v>
      </c>
      <c r="D471" s="9">
        <v>45432</v>
      </c>
      <c r="E471" s="13" t="str">
        <f>+HYPERLINK("http://trademark.i-assist.jp/data/china/image_1888th/76724294.pdf","76724294")</f>
        <v>76724294</v>
      </c>
      <c r="F471" s="7" t="s">
        <v>1342</v>
      </c>
      <c r="G471" s="7" t="s">
        <v>1343</v>
      </c>
      <c r="H471" s="7" t="s">
        <v>1344</v>
      </c>
      <c r="I471" s="9">
        <v>45323</v>
      </c>
    </row>
    <row r="472" spans="1:9" ht="27" x14ac:dyDescent="0.15">
      <c r="A472" s="6">
        <v>471</v>
      </c>
      <c r="B472" s="7" t="s">
        <v>10</v>
      </c>
      <c r="C472" s="8">
        <v>1888</v>
      </c>
      <c r="D472" s="9">
        <v>45432</v>
      </c>
      <c r="E472" s="13" t="str">
        <f>+HYPERLINK("http://trademark.i-assist.jp/data/china/image_1888th/76724467.pdf","76724467")</f>
        <v>76724467</v>
      </c>
      <c r="F472" s="7" t="s">
        <v>1345</v>
      </c>
      <c r="G472" s="7" t="s">
        <v>1346</v>
      </c>
      <c r="H472" s="7" t="s">
        <v>1347</v>
      </c>
      <c r="I472" s="9">
        <v>45323</v>
      </c>
    </row>
    <row r="473" spans="1:9" x14ac:dyDescent="0.15">
      <c r="A473" s="6">
        <v>472</v>
      </c>
      <c r="B473" s="7" t="s">
        <v>10</v>
      </c>
      <c r="C473" s="8">
        <v>1888</v>
      </c>
      <c r="D473" s="9">
        <v>45432</v>
      </c>
      <c r="E473" s="13" t="str">
        <f>+HYPERLINK("http://trademark.i-assist.jp/data/china/image_1888th/76725325.pdf","76725325")</f>
        <v>76725325</v>
      </c>
      <c r="F473" s="7" t="s">
        <v>1348</v>
      </c>
      <c r="G473" s="7" t="s">
        <v>1349</v>
      </c>
      <c r="H473" s="7" t="s">
        <v>1350</v>
      </c>
      <c r="I473" s="9">
        <v>45323</v>
      </c>
    </row>
    <row r="474" spans="1:9" x14ac:dyDescent="0.15">
      <c r="A474" s="6">
        <v>473</v>
      </c>
      <c r="B474" s="7" t="s">
        <v>10</v>
      </c>
      <c r="C474" s="8">
        <v>1888</v>
      </c>
      <c r="D474" s="9">
        <v>45432</v>
      </c>
      <c r="E474" s="13" t="str">
        <f>+HYPERLINK("http://trademark.i-assist.jp/data/china/image_1888th/76725563.pdf","76725563")</f>
        <v>76725563</v>
      </c>
      <c r="F474" s="7" t="s">
        <v>1351</v>
      </c>
      <c r="G474" s="7" t="s">
        <v>1352</v>
      </c>
      <c r="H474" s="7" t="s">
        <v>1353</v>
      </c>
      <c r="I474" s="9">
        <v>45323</v>
      </c>
    </row>
    <row r="475" spans="1:9" x14ac:dyDescent="0.15">
      <c r="A475" s="6">
        <v>474</v>
      </c>
      <c r="B475" s="7" t="s">
        <v>10</v>
      </c>
      <c r="C475" s="8">
        <v>1888</v>
      </c>
      <c r="D475" s="9">
        <v>45432</v>
      </c>
      <c r="E475" s="13" t="str">
        <f>+HYPERLINK("http://trademark.i-assist.jp/data/china/image_1888th/76725680.pdf","76725680")</f>
        <v>76725680</v>
      </c>
      <c r="F475" s="7" t="s">
        <v>76</v>
      </c>
      <c r="G475" s="7" t="s">
        <v>1354</v>
      </c>
      <c r="H475" s="7" t="s">
        <v>1355</v>
      </c>
      <c r="I475" s="9">
        <v>45323</v>
      </c>
    </row>
    <row r="476" spans="1:9" x14ac:dyDescent="0.15">
      <c r="A476" s="6">
        <v>475</v>
      </c>
      <c r="B476" s="7" t="s">
        <v>10</v>
      </c>
      <c r="C476" s="8">
        <v>1888</v>
      </c>
      <c r="D476" s="9">
        <v>45432</v>
      </c>
      <c r="E476" s="13" t="str">
        <f>+HYPERLINK("http://trademark.i-assist.jp/data/china/image_1888th/76726112.pdf","76726112")</f>
        <v>76726112</v>
      </c>
      <c r="F476" s="7" t="s">
        <v>1356</v>
      </c>
      <c r="G476" s="7" t="s">
        <v>1357</v>
      </c>
      <c r="H476" s="7" t="s">
        <v>1358</v>
      </c>
      <c r="I476" s="9">
        <v>45323</v>
      </c>
    </row>
    <row r="477" spans="1:9" x14ac:dyDescent="0.15">
      <c r="A477" s="6">
        <v>476</v>
      </c>
      <c r="B477" s="7" t="s">
        <v>10</v>
      </c>
      <c r="C477" s="8">
        <v>1888</v>
      </c>
      <c r="D477" s="9">
        <v>45432</v>
      </c>
      <c r="E477" s="13" t="str">
        <f>+HYPERLINK("http://trademark.i-assist.jp/data/china/image_1888th/76728255.pdf","76728255")</f>
        <v>76728255</v>
      </c>
      <c r="F477" s="7" t="s">
        <v>1359</v>
      </c>
      <c r="G477" s="7" t="s">
        <v>1360</v>
      </c>
      <c r="H477" s="7" t="s">
        <v>1361</v>
      </c>
      <c r="I477" s="9">
        <v>45323</v>
      </c>
    </row>
    <row r="478" spans="1:9" x14ac:dyDescent="0.15">
      <c r="A478" s="6">
        <v>477</v>
      </c>
      <c r="B478" s="7" t="s">
        <v>10</v>
      </c>
      <c r="C478" s="8">
        <v>1888</v>
      </c>
      <c r="D478" s="9">
        <v>45432</v>
      </c>
      <c r="E478" s="13" t="str">
        <f>+HYPERLINK("http://trademark.i-assist.jp/data/china/image_1888th/76730559.pdf","76730559")</f>
        <v>76730559</v>
      </c>
      <c r="F478" s="7" t="s">
        <v>1362</v>
      </c>
      <c r="G478" s="7" t="s">
        <v>1360</v>
      </c>
      <c r="H478" s="7" t="s">
        <v>1363</v>
      </c>
      <c r="I478" s="9">
        <v>45323</v>
      </c>
    </row>
    <row r="479" spans="1:9" x14ac:dyDescent="0.15">
      <c r="A479" s="6">
        <v>478</v>
      </c>
      <c r="B479" s="7" t="s">
        <v>10</v>
      </c>
      <c r="C479" s="8">
        <v>1888</v>
      </c>
      <c r="D479" s="9">
        <v>45432</v>
      </c>
      <c r="E479" s="13" t="str">
        <f>+HYPERLINK("http://trademark.i-assist.jp/data/china/image_1888th/76730572.pdf","76730572")</f>
        <v>76730572</v>
      </c>
      <c r="F479" s="7" t="s">
        <v>1364</v>
      </c>
      <c r="G479" s="7" t="s">
        <v>1360</v>
      </c>
      <c r="H479" s="7" t="s">
        <v>1363</v>
      </c>
      <c r="I479" s="9">
        <v>45323</v>
      </c>
    </row>
    <row r="480" spans="1:9" x14ac:dyDescent="0.15">
      <c r="A480" s="6">
        <v>479</v>
      </c>
      <c r="B480" s="7" t="s">
        <v>10</v>
      </c>
      <c r="C480" s="8">
        <v>1888</v>
      </c>
      <c r="D480" s="9">
        <v>45432</v>
      </c>
      <c r="E480" s="13" t="str">
        <f>+HYPERLINK("http://trademark.i-assist.jp/data/china/image_1888th/76731484.pdf","76731484")</f>
        <v>76731484</v>
      </c>
      <c r="F480" s="7" t="s">
        <v>1365</v>
      </c>
      <c r="G480" s="7" t="s">
        <v>1366</v>
      </c>
      <c r="H480" s="7" t="s">
        <v>1367</v>
      </c>
      <c r="I480" s="9">
        <v>45323</v>
      </c>
    </row>
    <row r="481" spans="1:9" x14ac:dyDescent="0.15">
      <c r="A481" s="6">
        <v>480</v>
      </c>
      <c r="B481" s="7" t="s">
        <v>10</v>
      </c>
      <c r="C481" s="8">
        <v>1888</v>
      </c>
      <c r="D481" s="9">
        <v>45432</v>
      </c>
      <c r="E481" s="13" t="str">
        <f>+HYPERLINK("http://trademark.i-assist.jp/data/china/image_1888th/76732115.pdf","76732115")</f>
        <v>76732115</v>
      </c>
      <c r="F481" s="7" t="s">
        <v>1368</v>
      </c>
      <c r="G481" s="7" t="s">
        <v>1369</v>
      </c>
      <c r="H481" s="7" t="s">
        <v>1370</v>
      </c>
      <c r="I481" s="9">
        <v>45323</v>
      </c>
    </row>
    <row r="482" spans="1:9" x14ac:dyDescent="0.15">
      <c r="A482" s="6">
        <v>481</v>
      </c>
      <c r="B482" s="7" t="s">
        <v>10</v>
      </c>
      <c r="C482" s="8">
        <v>1888</v>
      </c>
      <c r="D482" s="9">
        <v>45432</v>
      </c>
      <c r="E482" s="13" t="str">
        <f>+HYPERLINK("http://trademark.i-assist.jp/data/china/image_1888th/76733844.pdf","76733844")</f>
        <v>76733844</v>
      </c>
      <c r="F482" s="7" t="s">
        <v>1371</v>
      </c>
      <c r="G482" s="7" t="s">
        <v>1360</v>
      </c>
      <c r="H482" s="7" t="s">
        <v>1363</v>
      </c>
      <c r="I482" s="9">
        <v>45323</v>
      </c>
    </row>
    <row r="483" spans="1:9" x14ac:dyDescent="0.15">
      <c r="A483" s="6">
        <v>482</v>
      </c>
      <c r="B483" s="7" t="s">
        <v>10</v>
      </c>
      <c r="C483" s="8">
        <v>1888</v>
      </c>
      <c r="D483" s="9">
        <v>45432</v>
      </c>
      <c r="E483" s="13" t="str">
        <f>+HYPERLINK("http://trademark.i-assist.jp/data/china/image_1888th/76734200.pdf","76734200")</f>
        <v>76734200</v>
      </c>
      <c r="F483" s="7" t="s">
        <v>1372</v>
      </c>
      <c r="G483" s="7" t="s">
        <v>1373</v>
      </c>
      <c r="H483" s="7" t="s">
        <v>1374</v>
      </c>
      <c r="I483" s="9">
        <v>45323</v>
      </c>
    </row>
    <row r="484" spans="1:9" x14ac:dyDescent="0.15">
      <c r="A484" s="6">
        <v>483</v>
      </c>
      <c r="B484" s="7" t="s">
        <v>10</v>
      </c>
      <c r="C484" s="8">
        <v>1888</v>
      </c>
      <c r="D484" s="9">
        <v>45432</v>
      </c>
      <c r="E484" s="13" t="str">
        <f>+HYPERLINK("http://trademark.i-assist.jp/data/china/image_1888th/76734444.pdf","76734444")</f>
        <v>76734444</v>
      </c>
      <c r="F484" s="7" t="s">
        <v>1375</v>
      </c>
      <c r="G484" s="7" t="s">
        <v>1376</v>
      </c>
      <c r="H484" s="7" t="s">
        <v>1377</v>
      </c>
      <c r="I484" s="9">
        <v>45323</v>
      </c>
    </row>
    <row r="485" spans="1:9" x14ac:dyDescent="0.15">
      <c r="A485" s="6">
        <v>484</v>
      </c>
      <c r="B485" s="7" t="s">
        <v>10</v>
      </c>
      <c r="C485" s="8">
        <v>1888</v>
      </c>
      <c r="D485" s="9">
        <v>45432</v>
      </c>
      <c r="E485" s="13" t="str">
        <f>+HYPERLINK("http://trademark.i-assist.jp/data/china/image_1888th/76734590.pdf","76734590")</f>
        <v>76734590</v>
      </c>
      <c r="F485" s="7" t="s">
        <v>1378</v>
      </c>
      <c r="G485" s="7" t="s">
        <v>1379</v>
      </c>
      <c r="H485" s="7" t="s">
        <v>1380</v>
      </c>
      <c r="I485" s="9">
        <v>45323</v>
      </c>
    </row>
    <row r="486" spans="1:9" x14ac:dyDescent="0.15">
      <c r="A486" s="6">
        <v>485</v>
      </c>
      <c r="B486" s="7" t="s">
        <v>10</v>
      </c>
      <c r="C486" s="8">
        <v>1888</v>
      </c>
      <c r="D486" s="9">
        <v>45432</v>
      </c>
      <c r="E486" s="13" t="str">
        <f>+HYPERLINK("http://trademark.i-assist.jp/data/china/image_1888th/76735092.pdf","76735092")</f>
        <v>76735092</v>
      </c>
      <c r="F486" s="7" t="s">
        <v>1381</v>
      </c>
      <c r="G486" s="7" t="s">
        <v>1382</v>
      </c>
      <c r="H486" s="7" t="s">
        <v>1383</v>
      </c>
      <c r="I486" s="9">
        <v>45323</v>
      </c>
    </row>
    <row r="487" spans="1:9" x14ac:dyDescent="0.15">
      <c r="A487" s="6">
        <v>486</v>
      </c>
      <c r="B487" s="7" t="s">
        <v>10</v>
      </c>
      <c r="C487" s="8">
        <v>1888</v>
      </c>
      <c r="D487" s="9">
        <v>45432</v>
      </c>
      <c r="E487" s="13" t="str">
        <f>+HYPERLINK("http://trademark.i-assist.jp/data/china/image_1888th/76735145.pdf","76735145")</f>
        <v>76735145</v>
      </c>
      <c r="F487" s="7" t="s">
        <v>1384</v>
      </c>
      <c r="G487" s="7" t="s">
        <v>1385</v>
      </c>
      <c r="H487" s="7" t="s">
        <v>1386</v>
      </c>
      <c r="I487" s="9">
        <v>45323</v>
      </c>
    </row>
    <row r="488" spans="1:9" x14ac:dyDescent="0.15">
      <c r="A488" s="6">
        <v>487</v>
      </c>
      <c r="B488" s="7" t="s">
        <v>10</v>
      </c>
      <c r="C488" s="8">
        <v>1888</v>
      </c>
      <c r="D488" s="9">
        <v>45432</v>
      </c>
      <c r="E488" s="13" t="str">
        <f>+HYPERLINK("http://trademark.i-assist.jp/data/china/image_1888th/76736334.pdf","76736334")</f>
        <v>76736334</v>
      </c>
      <c r="F488" s="7" t="s">
        <v>1387</v>
      </c>
      <c r="G488" s="7" t="s">
        <v>1388</v>
      </c>
      <c r="H488" s="7" t="s">
        <v>1389</v>
      </c>
      <c r="I488" s="9">
        <v>45323</v>
      </c>
    </row>
    <row r="489" spans="1:9" x14ac:dyDescent="0.15">
      <c r="A489" s="6">
        <v>488</v>
      </c>
      <c r="B489" s="7" t="s">
        <v>10</v>
      </c>
      <c r="C489" s="8">
        <v>1888</v>
      </c>
      <c r="D489" s="9">
        <v>45432</v>
      </c>
      <c r="E489" s="13" t="str">
        <f>+HYPERLINK("http://trademark.i-assist.jp/data/china/image_1888th/76737411.pdf","76737411")</f>
        <v>76737411</v>
      </c>
      <c r="F489" s="7" t="s">
        <v>1390</v>
      </c>
      <c r="G489" s="7" t="s">
        <v>1391</v>
      </c>
      <c r="H489" s="7" t="s">
        <v>1392</v>
      </c>
      <c r="I489" s="9">
        <v>45323</v>
      </c>
    </row>
    <row r="490" spans="1:9" x14ac:dyDescent="0.15">
      <c r="A490" s="6">
        <v>489</v>
      </c>
      <c r="B490" s="7" t="s">
        <v>10</v>
      </c>
      <c r="C490" s="8">
        <v>1888</v>
      </c>
      <c r="D490" s="9">
        <v>45432</v>
      </c>
      <c r="E490" s="13" t="str">
        <f>+HYPERLINK("http://trademark.i-assist.jp/data/china/image_1888th/76737700.pdf","76737700")</f>
        <v>76737700</v>
      </c>
      <c r="F490" s="7" t="s">
        <v>1393</v>
      </c>
      <c r="G490" s="7" t="s">
        <v>1394</v>
      </c>
      <c r="H490" s="7" t="s">
        <v>1395</v>
      </c>
      <c r="I490" s="9">
        <v>45323</v>
      </c>
    </row>
    <row r="491" spans="1:9" ht="27" x14ac:dyDescent="0.15">
      <c r="A491" s="6">
        <v>490</v>
      </c>
      <c r="B491" s="7" t="s">
        <v>10</v>
      </c>
      <c r="C491" s="8">
        <v>1888</v>
      </c>
      <c r="D491" s="9">
        <v>45432</v>
      </c>
      <c r="E491" s="13" t="str">
        <f>+HYPERLINK("http://trademark.i-assist.jp/data/china/image_1888th/76738099.pdf","76738099")</f>
        <v>76738099</v>
      </c>
      <c r="F491" s="7" t="s">
        <v>1396</v>
      </c>
      <c r="G491" s="7" t="s">
        <v>1397</v>
      </c>
      <c r="H491" s="7" t="s">
        <v>1398</v>
      </c>
      <c r="I491" s="9">
        <v>45323</v>
      </c>
    </row>
    <row r="492" spans="1:9" x14ac:dyDescent="0.15">
      <c r="A492" s="6">
        <v>491</v>
      </c>
      <c r="B492" s="7" t="s">
        <v>10</v>
      </c>
      <c r="C492" s="8">
        <v>1888</v>
      </c>
      <c r="D492" s="9">
        <v>45432</v>
      </c>
      <c r="E492" s="13" t="str">
        <f>+HYPERLINK("http://trademark.i-assist.jp/data/china/image_1888th/76738139.pdf","76738139")</f>
        <v>76738139</v>
      </c>
      <c r="F492" s="7" t="s">
        <v>1399</v>
      </c>
      <c r="G492" s="7" t="s">
        <v>1400</v>
      </c>
      <c r="H492" s="7" t="s">
        <v>1401</v>
      </c>
      <c r="I492" s="9">
        <v>45323</v>
      </c>
    </row>
    <row r="493" spans="1:9" ht="27" x14ac:dyDescent="0.15">
      <c r="A493" s="6">
        <v>492</v>
      </c>
      <c r="B493" s="7" t="s">
        <v>10</v>
      </c>
      <c r="C493" s="8">
        <v>1888</v>
      </c>
      <c r="D493" s="9">
        <v>45432</v>
      </c>
      <c r="E493" s="13" t="str">
        <f>+HYPERLINK("http://trademark.i-assist.jp/data/china/image_1888th/76738159.pdf","76738159")</f>
        <v>76738159</v>
      </c>
      <c r="F493" s="7" t="s">
        <v>1402</v>
      </c>
      <c r="G493" s="7" t="s">
        <v>1403</v>
      </c>
      <c r="H493" s="7" t="s">
        <v>1404</v>
      </c>
      <c r="I493" s="9">
        <v>45323</v>
      </c>
    </row>
    <row r="494" spans="1:9" x14ac:dyDescent="0.15">
      <c r="A494" s="6">
        <v>493</v>
      </c>
      <c r="B494" s="7" t="s">
        <v>10</v>
      </c>
      <c r="C494" s="8">
        <v>1888</v>
      </c>
      <c r="D494" s="9">
        <v>45432</v>
      </c>
      <c r="E494" s="13" t="str">
        <f>+HYPERLINK("http://trademark.i-assist.jp/data/china/image_1888th/76738680.pdf","76738680")</f>
        <v>76738680</v>
      </c>
      <c r="F494" s="7" t="s">
        <v>1405</v>
      </c>
      <c r="G494" s="7" t="s">
        <v>1360</v>
      </c>
      <c r="H494" s="7" t="s">
        <v>1363</v>
      </c>
      <c r="I494" s="9">
        <v>45323</v>
      </c>
    </row>
    <row r="495" spans="1:9" x14ac:dyDescent="0.15">
      <c r="A495" s="6">
        <v>494</v>
      </c>
      <c r="B495" s="7" t="s">
        <v>10</v>
      </c>
      <c r="C495" s="8">
        <v>1888</v>
      </c>
      <c r="D495" s="9">
        <v>45432</v>
      </c>
      <c r="E495" s="13" t="str">
        <f>+HYPERLINK("http://trademark.i-assist.jp/data/china/image_1888th/76739145.pdf","76739145")</f>
        <v>76739145</v>
      </c>
      <c r="F495" s="7" t="s">
        <v>1406</v>
      </c>
      <c r="G495" s="7" t="s">
        <v>1360</v>
      </c>
      <c r="H495" s="7" t="s">
        <v>1407</v>
      </c>
      <c r="I495" s="9">
        <v>45323</v>
      </c>
    </row>
    <row r="496" spans="1:9" x14ac:dyDescent="0.15">
      <c r="A496" s="6">
        <v>495</v>
      </c>
      <c r="B496" s="7" t="s">
        <v>10</v>
      </c>
      <c r="C496" s="8">
        <v>1888</v>
      </c>
      <c r="D496" s="9">
        <v>45432</v>
      </c>
      <c r="E496" s="13" t="str">
        <f>+HYPERLINK("http://trademark.i-assist.jp/data/china/image_1888th/76739171.pdf","76739171")</f>
        <v>76739171</v>
      </c>
      <c r="F496" s="7" t="s">
        <v>1408</v>
      </c>
      <c r="G496" s="7" t="s">
        <v>1360</v>
      </c>
      <c r="H496" s="7" t="s">
        <v>1363</v>
      </c>
      <c r="I496" s="9">
        <v>45323</v>
      </c>
    </row>
    <row r="497" spans="1:9" x14ac:dyDescent="0.15">
      <c r="A497" s="6">
        <v>496</v>
      </c>
      <c r="B497" s="7" t="s">
        <v>10</v>
      </c>
      <c r="C497" s="8">
        <v>1888</v>
      </c>
      <c r="D497" s="9">
        <v>45432</v>
      </c>
      <c r="E497" s="13" t="str">
        <f>+HYPERLINK("http://trademark.i-assist.jp/data/china/image_1888th/76739330.pdf","76739330")</f>
        <v>76739330</v>
      </c>
      <c r="F497" s="7" t="s">
        <v>1409</v>
      </c>
      <c r="G497" s="7" t="s">
        <v>1410</v>
      </c>
      <c r="H497" s="7" t="s">
        <v>1411</v>
      </c>
      <c r="I497" s="9">
        <v>45323</v>
      </c>
    </row>
    <row r="498" spans="1:9" x14ac:dyDescent="0.15">
      <c r="A498" s="6">
        <v>497</v>
      </c>
      <c r="B498" s="7" t="s">
        <v>10</v>
      </c>
      <c r="C498" s="8">
        <v>1888</v>
      </c>
      <c r="D498" s="9">
        <v>45432</v>
      </c>
      <c r="E498" s="13" t="str">
        <f>+HYPERLINK("http://trademark.i-assist.jp/data/china/image_1888th/76740149.pdf","76740149")</f>
        <v>76740149</v>
      </c>
      <c r="F498" s="7" t="s">
        <v>1412</v>
      </c>
      <c r="G498" s="7" t="s">
        <v>1413</v>
      </c>
      <c r="H498" s="7" t="s">
        <v>1414</v>
      </c>
      <c r="I498" s="9">
        <v>45323</v>
      </c>
    </row>
    <row r="499" spans="1:9" x14ac:dyDescent="0.15">
      <c r="A499" s="6">
        <v>498</v>
      </c>
      <c r="B499" s="7" t="s">
        <v>10</v>
      </c>
      <c r="C499" s="8">
        <v>1888</v>
      </c>
      <c r="D499" s="9">
        <v>45432</v>
      </c>
      <c r="E499" s="13" t="str">
        <f>+HYPERLINK("http://trademark.i-assist.jp/data/china/image_1888th/76741198.pdf","76741198")</f>
        <v>76741198</v>
      </c>
      <c r="F499" s="7" t="s">
        <v>1415</v>
      </c>
      <c r="G499" s="7" t="s">
        <v>1416</v>
      </c>
      <c r="H499" s="7" t="s">
        <v>1417</v>
      </c>
      <c r="I499" s="9">
        <v>45323</v>
      </c>
    </row>
    <row r="500" spans="1:9" ht="27" x14ac:dyDescent="0.15">
      <c r="A500" s="6">
        <v>499</v>
      </c>
      <c r="B500" s="7" t="s">
        <v>10</v>
      </c>
      <c r="C500" s="8">
        <v>1888</v>
      </c>
      <c r="D500" s="9">
        <v>45432</v>
      </c>
      <c r="E500" s="13" t="str">
        <f>+HYPERLINK("http://trademark.i-assist.jp/data/china/image_1888th/76741268.pdf","76741268")</f>
        <v>76741268</v>
      </c>
      <c r="F500" s="7" t="s">
        <v>1418</v>
      </c>
      <c r="G500" s="7" t="s">
        <v>1419</v>
      </c>
      <c r="H500" s="7" t="s">
        <v>1420</v>
      </c>
      <c r="I500" s="9">
        <v>45323</v>
      </c>
    </row>
    <row r="501" spans="1:9" x14ac:dyDescent="0.15">
      <c r="A501" s="6">
        <v>500</v>
      </c>
      <c r="B501" s="7" t="s">
        <v>10</v>
      </c>
      <c r="C501" s="8">
        <v>1888</v>
      </c>
      <c r="D501" s="9">
        <v>45432</v>
      </c>
      <c r="E501" s="13" t="str">
        <f>+HYPERLINK("http://trademark.i-assist.jp/data/china/image_1888th/76741601.pdf","76741601")</f>
        <v>76741601</v>
      </c>
      <c r="F501" s="7" t="s">
        <v>1421</v>
      </c>
      <c r="G501" s="7" t="s">
        <v>1422</v>
      </c>
      <c r="H501" s="7" t="s">
        <v>1423</v>
      </c>
      <c r="I501" s="9">
        <v>45323</v>
      </c>
    </row>
    <row r="502" spans="1:9" x14ac:dyDescent="0.15">
      <c r="A502" s="6">
        <v>501</v>
      </c>
      <c r="B502" s="7" t="s">
        <v>10</v>
      </c>
      <c r="C502" s="8">
        <v>1888</v>
      </c>
      <c r="D502" s="9">
        <v>45432</v>
      </c>
      <c r="E502" s="13" t="str">
        <f>+HYPERLINK("http://trademark.i-assist.jp/data/china/image_1888th/76742563.pdf","76742563")</f>
        <v>76742563</v>
      </c>
      <c r="F502" s="7" t="s">
        <v>1424</v>
      </c>
      <c r="G502" s="7" t="s">
        <v>1425</v>
      </c>
      <c r="H502" s="7" t="s">
        <v>1426</v>
      </c>
      <c r="I502" s="9">
        <v>45324</v>
      </c>
    </row>
    <row r="503" spans="1:9" x14ac:dyDescent="0.15">
      <c r="A503" s="6">
        <v>502</v>
      </c>
      <c r="B503" s="7" t="s">
        <v>10</v>
      </c>
      <c r="C503" s="8">
        <v>1888</v>
      </c>
      <c r="D503" s="9">
        <v>45432</v>
      </c>
      <c r="E503" s="13" t="str">
        <f>+HYPERLINK("http://trademark.i-assist.jp/data/china/image_1888th/76743156.pdf","76743156")</f>
        <v>76743156</v>
      </c>
      <c r="F503" s="7" t="s">
        <v>1427</v>
      </c>
      <c r="G503" s="7" t="s">
        <v>1428</v>
      </c>
      <c r="H503" s="7" t="s">
        <v>1429</v>
      </c>
      <c r="I503" s="9">
        <v>45324</v>
      </c>
    </row>
    <row r="504" spans="1:9" ht="27" x14ac:dyDescent="0.15">
      <c r="A504" s="6">
        <v>503</v>
      </c>
      <c r="B504" s="7" t="s">
        <v>10</v>
      </c>
      <c r="C504" s="8">
        <v>1888</v>
      </c>
      <c r="D504" s="9">
        <v>45432</v>
      </c>
      <c r="E504" s="13" t="str">
        <f>+HYPERLINK("http://trademark.i-assist.jp/data/china/image_1888th/76743674.pdf","76743674")</f>
        <v>76743674</v>
      </c>
      <c r="F504" s="7" t="s">
        <v>76</v>
      </c>
      <c r="G504" s="7" t="s">
        <v>1430</v>
      </c>
      <c r="H504" s="7" t="s">
        <v>1431</v>
      </c>
      <c r="I504" s="9">
        <v>45324</v>
      </c>
    </row>
    <row r="505" spans="1:9" x14ac:dyDescent="0.15">
      <c r="A505" s="6">
        <v>504</v>
      </c>
      <c r="B505" s="7" t="s">
        <v>10</v>
      </c>
      <c r="C505" s="8">
        <v>1888</v>
      </c>
      <c r="D505" s="9">
        <v>45432</v>
      </c>
      <c r="E505" s="13" t="str">
        <f>+HYPERLINK("http://trademark.i-assist.jp/data/china/image_1888th/76744860.pdf","76744860")</f>
        <v>76744860</v>
      </c>
      <c r="F505" s="7" t="s">
        <v>1432</v>
      </c>
      <c r="G505" s="7" t="s">
        <v>1433</v>
      </c>
      <c r="H505" s="7" t="s">
        <v>1434</v>
      </c>
      <c r="I505" s="9">
        <v>45324</v>
      </c>
    </row>
    <row r="506" spans="1:9" x14ac:dyDescent="0.15">
      <c r="A506" s="6">
        <v>505</v>
      </c>
      <c r="B506" s="7" t="s">
        <v>10</v>
      </c>
      <c r="C506" s="8">
        <v>1888</v>
      </c>
      <c r="D506" s="9">
        <v>45432</v>
      </c>
      <c r="E506" s="13" t="str">
        <f>+HYPERLINK("http://trademark.i-assist.jp/data/china/image_1888th/76744993.pdf","76744993")</f>
        <v>76744993</v>
      </c>
      <c r="F506" s="7" t="s">
        <v>76</v>
      </c>
      <c r="G506" s="7" t="s">
        <v>1435</v>
      </c>
      <c r="H506" s="7" t="s">
        <v>1436</v>
      </c>
      <c r="I506" s="9">
        <v>45324</v>
      </c>
    </row>
    <row r="507" spans="1:9" x14ac:dyDescent="0.15">
      <c r="A507" s="6">
        <v>506</v>
      </c>
      <c r="B507" s="7" t="s">
        <v>10</v>
      </c>
      <c r="C507" s="8">
        <v>1888</v>
      </c>
      <c r="D507" s="9">
        <v>45432</v>
      </c>
      <c r="E507" s="13" t="str">
        <f>+HYPERLINK("http://trademark.i-assist.jp/data/china/image_1888th/76746193.pdf","76746193")</f>
        <v>76746193</v>
      </c>
      <c r="F507" s="7" t="s">
        <v>1437</v>
      </c>
      <c r="G507" s="7" t="s">
        <v>1438</v>
      </c>
      <c r="H507" s="7" t="s">
        <v>1439</v>
      </c>
      <c r="I507" s="9">
        <v>45324</v>
      </c>
    </row>
    <row r="508" spans="1:9" x14ac:dyDescent="0.15">
      <c r="A508" s="6">
        <v>507</v>
      </c>
      <c r="B508" s="7" t="s">
        <v>10</v>
      </c>
      <c r="C508" s="8">
        <v>1888</v>
      </c>
      <c r="D508" s="9">
        <v>45432</v>
      </c>
      <c r="E508" s="13" t="str">
        <f>+HYPERLINK("http://trademark.i-assist.jp/data/china/image_1888th/76748127.pdf","76748127")</f>
        <v>76748127</v>
      </c>
      <c r="F508" s="7" t="s">
        <v>1440</v>
      </c>
      <c r="G508" s="7" t="s">
        <v>1441</v>
      </c>
      <c r="H508" s="7" t="s">
        <v>1442</v>
      </c>
      <c r="I508" s="9">
        <v>45324</v>
      </c>
    </row>
    <row r="509" spans="1:9" x14ac:dyDescent="0.15">
      <c r="A509" s="6">
        <v>508</v>
      </c>
      <c r="B509" s="7" t="s">
        <v>10</v>
      </c>
      <c r="C509" s="8">
        <v>1888</v>
      </c>
      <c r="D509" s="9">
        <v>45432</v>
      </c>
      <c r="E509" s="13" t="str">
        <f>+HYPERLINK("http://trademark.i-assist.jp/data/china/image_1888th/76751356.pdf","76751356")</f>
        <v>76751356</v>
      </c>
      <c r="F509" s="7" t="s">
        <v>1443</v>
      </c>
      <c r="G509" s="7" t="s">
        <v>1444</v>
      </c>
      <c r="H509" s="7" t="s">
        <v>1445</v>
      </c>
      <c r="I509" s="9">
        <v>45324</v>
      </c>
    </row>
    <row r="510" spans="1:9" x14ac:dyDescent="0.15">
      <c r="A510" s="6">
        <v>509</v>
      </c>
      <c r="B510" s="7" t="s">
        <v>10</v>
      </c>
      <c r="C510" s="8">
        <v>1888</v>
      </c>
      <c r="D510" s="9">
        <v>45432</v>
      </c>
      <c r="E510" s="13" t="str">
        <f>+HYPERLINK("http://trademark.i-assist.jp/data/china/image_1888th/76755558.pdf","76755558")</f>
        <v>76755558</v>
      </c>
      <c r="F510" s="7" t="s">
        <v>1446</v>
      </c>
      <c r="G510" s="7" t="s">
        <v>1447</v>
      </c>
      <c r="H510" s="7" t="s">
        <v>1448</v>
      </c>
      <c r="I510" s="9">
        <v>45324</v>
      </c>
    </row>
    <row r="511" spans="1:9" x14ac:dyDescent="0.15">
      <c r="A511" s="6">
        <v>510</v>
      </c>
      <c r="B511" s="7" t="s">
        <v>10</v>
      </c>
      <c r="C511" s="8">
        <v>1888</v>
      </c>
      <c r="D511" s="9">
        <v>45432</v>
      </c>
      <c r="E511" s="13" t="str">
        <f>+HYPERLINK("http://trademark.i-assist.jp/data/china/image_1888th/76757351.pdf","76757351")</f>
        <v>76757351</v>
      </c>
      <c r="F511" s="7" t="s">
        <v>1449</v>
      </c>
      <c r="G511" s="7" t="s">
        <v>1425</v>
      </c>
      <c r="H511" s="7" t="s">
        <v>1426</v>
      </c>
      <c r="I511" s="9">
        <v>45324</v>
      </c>
    </row>
    <row r="512" spans="1:9" x14ac:dyDescent="0.15">
      <c r="A512" s="6">
        <v>511</v>
      </c>
      <c r="B512" s="7" t="s">
        <v>10</v>
      </c>
      <c r="C512" s="8">
        <v>1888</v>
      </c>
      <c r="D512" s="9">
        <v>45432</v>
      </c>
      <c r="E512" s="13" t="str">
        <f>+HYPERLINK("http://trademark.i-assist.jp/data/china/image_1888th/76758163.pdf","76758163")</f>
        <v>76758163</v>
      </c>
      <c r="F512" s="7" t="s">
        <v>1450</v>
      </c>
      <c r="G512" s="7" t="s">
        <v>1265</v>
      </c>
      <c r="H512" s="7" t="s">
        <v>1451</v>
      </c>
      <c r="I512" s="9">
        <v>45324</v>
      </c>
    </row>
    <row r="513" spans="1:9" x14ac:dyDescent="0.15">
      <c r="A513" s="6">
        <v>512</v>
      </c>
      <c r="B513" s="7" t="s">
        <v>10</v>
      </c>
      <c r="C513" s="8">
        <v>1888</v>
      </c>
      <c r="D513" s="9">
        <v>45432</v>
      </c>
      <c r="E513" s="13" t="str">
        <f>+HYPERLINK("http://trademark.i-assist.jp/data/china/image_1888th/76760443.pdf","76760443")</f>
        <v>76760443</v>
      </c>
      <c r="F513" s="7" t="s">
        <v>1452</v>
      </c>
      <c r="G513" s="7" t="s">
        <v>1453</v>
      </c>
      <c r="H513" s="7" t="s">
        <v>1454</v>
      </c>
      <c r="I513" s="9">
        <v>45324</v>
      </c>
    </row>
    <row r="514" spans="1:9" x14ac:dyDescent="0.15">
      <c r="A514" s="6">
        <v>513</v>
      </c>
      <c r="B514" s="7" t="s">
        <v>10</v>
      </c>
      <c r="C514" s="8">
        <v>1888</v>
      </c>
      <c r="D514" s="9">
        <v>45432</v>
      </c>
      <c r="E514" s="13" t="str">
        <f>+HYPERLINK("http://trademark.i-assist.jp/data/china/image_1888th/76761343.pdf","76761343")</f>
        <v>76761343</v>
      </c>
      <c r="F514" s="7" t="s">
        <v>1455</v>
      </c>
      <c r="G514" s="7" t="s">
        <v>1456</v>
      </c>
      <c r="H514" s="7" t="s">
        <v>1457</v>
      </c>
      <c r="I514" s="9">
        <v>45324</v>
      </c>
    </row>
    <row r="515" spans="1:9" x14ac:dyDescent="0.15">
      <c r="A515" s="6">
        <v>514</v>
      </c>
      <c r="B515" s="7" t="s">
        <v>10</v>
      </c>
      <c r="C515" s="8">
        <v>1888</v>
      </c>
      <c r="D515" s="9">
        <v>45432</v>
      </c>
      <c r="E515" s="13" t="str">
        <f>+HYPERLINK("http://trademark.i-assist.jp/data/china/image_1888th/76762557.pdf","76762557")</f>
        <v>76762557</v>
      </c>
      <c r="F515" s="7" t="s">
        <v>1458</v>
      </c>
      <c r="G515" s="7" t="s">
        <v>1459</v>
      </c>
      <c r="H515" s="7" t="s">
        <v>1460</v>
      </c>
      <c r="I515" s="9">
        <v>45324</v>
      </c>
    </row>
    <row r="516" spans="1:9" x14ac:dyDescent="0.15">
      <c r="A516" s="6">
        <v>515</v>
      </c>
      <c r="B516" s="7" t="s">
        <v>10</v>
      </c>
      <c r="C516" s="8">
        <v>1888</v>
      </c>
      <c r="D516" s="9">
        <v>45432</v>
      </c>
      <c r="E516" s="13" t="str">
        <f>+HYPERLINK("http://trademark.i-assist.jp/data/china/image_1888th/76763067.pdf","76763067")</f>
        <v>76763067</v>
      </c>
      <c r="F516" s="7" t="s">
        <v>1461</v>
      </c>
      <c r="G516" s="7" t="s">
        <v>1462</v>
      </c>
      <c r="H516" s="7" t="s">
        <v>1463</v>
      </c>
      <c r="I516" s="9">
        <v>45325</v>
      </c>
    </row>
    <row r="517" spans="1:9" ht="27" x14ac:dyDescent="0.15">
      <c r="A517" s="6">
        <v>516</v>
      </c>
      <c r="B517" s="7" t="s">
        <v>10</v>
      </c>
      <c r="C517" s="8">
        <v>1888</v>
      </c>
      <c r="D517" s="9">
        <v>45432</v>
      </c>
      <c r="E517" s="13" t="str">
        <f>+HYPERLINK("http://trademark.i-assist.jp/data/china/image_1888th/76763920.pdf","76763920")</f>
        <v>76763920</v>
      </c>
      <c r="F517" s="7" t="s">
        <v>1464</v>
      </c>
      <c r="G517" s="7" t="s">
        <v>1465</v>
      </c>
      <c r="H517" s="7" t="s">
        <v>1466</v>
      </c>
      <c r="I517" s="9">
        <v>45325</v>
      </c>
    </row>
    <row r="518" spans="1:9" x14ac:dyDescent="0.15">
      <c r="A518" s="6">
        <v>517</v>
      </c>
      <c r="B518" s="7" t="s">
        <v>10</v>
      </c>
      <c r="C518" s="8">
        <v>1888</v>
      </c>
      <c r="D518" s="9">
        <v>45432</v>
      </c>
      <c r="E518" s="13" t="str">
        <f>+HYPERLINK("http://trademark.i-assist.jp/data/china/image_1888th/76764566.pdf","76764566")</f>
        <v>76764566</v>
      </c>
      <c r="F518" s="7" t="s">
        <v>1467</v>
      </c>
      <c r="G518" s="7" t="s">
        <v>1468</v>
      </c>
      <c r="H518" s="7" t="s">
        <v>1469</v>
      </c>
      <c r="I518" s="9">
        <v>45325</v>
      </c>
    </row>
    <row r="519" spans="1:9" ht="27" x14ac:dyDescent="0.15">
      <c r="A519" s="6">
        <v>518</v>
      </c>
      <c r="B519" s="7" t="s">
        <v>10</v>
      </c>
      <c r="C519" s="8">
        <v>1888</v>
      </c>
      <c r="D519" s="9">
        <v>45432</v>
      </c>
      <c r="E519" s="13" t="str">
        <f>+HYPERLINK("http://trademark.i-assist.jp/data/china/image_1888th/76764962.pdf","76764962")</f>
        <v>76764962</v>
      </c>
      <c r="F519" s="7" t="s">
        <v>1470</v>
      </c>
      <c r="G519" s="7" t="s">
        <v>1471</v>
      </c>
      <c r="H519" s="7" t="s">
        <v>1472</v>
      </c>
      <c r="I519" s="9">
        <v>45325</v>
      </c>
    </row>
    <row r="520" spans="1:9" x14ac:dyDescent="0.15">
      <c r="A520" s="6">
        <v>519</v>
      </c>
      <c r="B520" s="7" t="s">
        <v>10</v>
      </c>
      <c r="C520" s="8">
        <v>1888</v>
      </c>
      <c r="D520" s="9">
        <v>45432</v>
      </c>
      <c r="E520" s="13" t="str">
        <f>+HYPERLINK("http://trademark.i-assist.jp/data/china/image_1888th/76764986.pdf","76764986")</f>
        <v>76764986</v>
      </c>
      <c r="F520" s="7" t="s">
        <v>1473</v>
      </c>
      <c r="G520" s="7" t="s">
        <v>1474</v>
      </c>
      <c r="H520" s="7" t="s">
        <v>1475</v>
      </c>
      <c r="I520" s="9">
        <v>45325</v>
      </c>
    </row>
    <row r="521" spans="1:9" x14ac:dyDescent="0.15">
      <c r="A521" s="6">
        <v>520</v>
      </c>
      <c r="B521" s="7" t="s">
        <v>10</v>
      </c>
      <c r="C521" s="8">
        <v>1888</v>
      </c>
      <c r="D521" s="9">
        <v>45432</v>
      </c>
      <c r="E521" s="13" t="str">
        <f>+HYPERLINK("http://trademark.i-assist.jp/data/china/image_1888th/76765651.pdf","76765651")</f>
        <v>76765651</v>
      </c>
      <c r="F521" s="7" t="s">
        <v>1476</v>
      </c>
      <c r="G521" s="7" t="s">
        <v>1477</v>
      </c>
      <c r="H521" s="7" t="s">
        <v>1478</v>
      </c>
      <c r="I521" s="9">
        <v>45325</v>
      </c>
    </row>
    <row r="522" spans="1:9" x14ac:dyDescent="0.15">
      <c r="A522" s="6">
        <v>521</v>
      </c>
      <c r="B522" s="7" t="s">
        <v>10</v>
      </c>
      <c r="C522" s="8">
        <v>1888</v>
      </c>
      <c r="D522" s="9">
        <v>45432</v>
      </c>
      <c r="E522" s="13" t="str">
        <f>+HYPERLINK("http://trademark.i-assist.jp/data/china/image_1888th/76767461.pdf","76767461")</f>
        <v>76767461</v>
      </c>
      <c r="F522" s="7" t="s">
        <v>1479</v>
      </c>
      <c r="G522" s="7" t="s">
        <v>1480</v>
      </c>
      <c r="H522" s="7" t="s">
        <v>1481</v>
      </c>
      <c r="I522" s="9">
        <v>45325</v>
      </c>
    </row>
    <row r="523" spans="1:9" x14ac:dyDescent="0.15">
      <c r="A523" s="6">
        <v>522</v>
      </c>
      <c r="B523" s="7" t="s">
        <v>10</v>
      </c>
      <c r="C523" s="8">
        <v>1888</v>
      </c>
      <c r="D523" s="9">
        <v>45432</v>
      </c>
      <c r="E523" s="13" t="str">
        <f>+HYPERLINK("http://trademark.i-assist.jp/data/china/image_1888th/76767549.pdf","76767549")</f>
        <v>76767549</v>
      </c>
      <c r="F523" s="7" t="s">
        <v>1482</v>
      </c>
      <c r="G523" s="7" t="s">
        <v>1483</v>
      </c>
      <c r="H523" s="7" t="s">
        <v>1484</v>
      </c>
      <c r="I523" s="9">
        <v>45325</v>
      </c>
    </row>
    <row r="524" spans="1:9" x14ac:dyDescent="0.15">
      <c r="A524" s="6">
        <v>523</v>
      </c>
      <c r="B524" s="7" t="s">
        <v>10</v>
      </c>
      <c r="C524" s="8">
        <v>1888</v>
      </c>
      <c r="D524" s="9">
        <v>45432</v>
      </c>
      <c r="E524" s="13" t="str">
        <f>+HYPERLINK("http://trademark.i-assist.jp/data/china/image_1888th/76768069.pdf","76768069")</f>
        <v>76768069</v>
      </c>
      <c r="F524" s="7" t="s">
        <v>1485</v>
      </c>
      <c r="G524" s="7" t="s">
        <v>1486</v>
      </c>
      <c r="H524" s="7" t="s">
        <v>1487</v>
      </c>
      <c r="I524" s="9">
        <v>45325</v>
      </c>
    </row>
    <row r="525" spans="1:9" x14ac:dyDescent="0.15">
      <c r="A525" s="6">
        <v>524</v>
      </c>
      <c r="B525" s="7" t="s">
        <v>10</v>
      </c>
      <c r="C525" s="8">
        <v>1888</v>
      </c>
      <c r="D525" s="9">
        <v>45432</v>
      </c>
      <c r="E525" s="13" t="str">
        <f>+HYPERLINK("http://trademark.i-assist.jp/data/china/image_1888th/76768329.pdf","76768329")</f>
        <v>76768329</v>
      </c>
      <c r="F525" s="7" t="s">
        <v>1488</v>
      </c>
      <c r="G525" s="7" t="s">
        <v>1489</v>
      </c>
      <c r="H525" s="7" t="s">
        <v>1490</v>
      </c>
      <c r="I525" s="9">
        <v>45325</v>
      </c>
    </row>
    <row r="526" spans="1:9" x14ac:dyDescent="0.15">
      <c r="A526" s="6">
        <v>525</v>
      </c>
      <c r="B526" s="7" t="s">
        <v>10</v>
      </c>
      <c r="C526" s="8">
        <v>1888</v>
      </c>
      <c r="D526" s="9">
        <v>45432</v>
      </c>
      <c r="E526" s="13" t="str">
        <f>+HYPERLINK("http://trademark.i-assist.jp/data/china/image_1888th/76768335.pdf","76768335")</f>
        <v>76768335</v>
      </c>
      <c r="F526" s="7" t="s">
        <v>1491</v>
      </c>
      <c r="G526" s="7" t="s">
        <v>1492</v>
      </c>
      <c r="H526" s="7" t="s">
        <v>1493</v>
      </c>
      <c r="I526" s="9">
        <v>45325</v>
      </c>
    </row>
    <row r="527" spans="1:9" x14ac:dyDescent="0.15">
      <c r="A527" s="6">
        <v>526</v>
      </c>
      <c r="B527" s="7" t="s">
        <v>10</v>
      </c>
      <c r="C527" s="8">
        <v>1888</v>
      </c>
      <c r="D527" s="9">
        <v>45432</v>
      </c>
      <c r="E527" s="13" t="str">
        <f>+HYPERLINK("http://trademark.i-assist.jp/data/china/image_1888th/76769014.pdf","76769014")</f>
        <v>76769014</v>
      </c>
      <c r="F527" s="7" t="s">
        <v>1494</v>
      </c>
      <c r="G527" s="7" t="s">
        <v>1495</v>
      </c>
      <c r="H527" s="7" t="s">
        <v>1496</v>
      </c>
      <c r="I527" s="9">
        <v>45325</v>
      </c>
    </row>
    <row r="528" spans="1:9" x14ac:dyDescent="0.15">
      <c r="A528" s="6">
        <v>527</v>
      </c>
      <c r="B528" s="7" t="s">
        <v>10</v>
      </c>
      <c r="C528" s="8">
        <v>1888</v>
      </c>
      <c r="D528" s="9">
        <v>45432</v>
      </c>
      <c r="E528" s="13" t="str">
        <f>+HYPERLINK("http://trademark.i-assist.jp/data/china/image_1888th/76770493.pdf","76770493")</f>
        <v>76770493</v>
      </c>
      <c r="F528" s="7" t="s">
        <v>1497</v>
      </c>
      <c r="G528" s="7" t="s">
        <v>1498</v>
      </c>
      <c r="H528" s="7" t="s">
        <v>1499</v>
      </c>
      <c r="I528" s="9">
        <v>45326</v>
      </c>
    </row>
    <row r="529" spans="1:9" x14ac:dyDescent="0.15">
      <c r="A529" s="6">
        <v>528</v>
      </c>
      <c r="B529" s="7" t="s">
        <v>10</v>
      </c>
      <c r="C529" s="8">
        <v>1888</v>
      </c>
      <c r="D529" s="9">
        <v>45432</v>
      </c>
      <c r="E529" s="13" t="str">
        <f>+HYPERLINK("http://trademark.i-assist.jp/data/china/image_1888th/76772665.pdf","76772665")</f>
        <v>76772665</v>
      </c>
      <c r="F529" s="7" t="s">
        <v>1500</v>
      </c>
      <c r="G529" s="7" t="s">
        <v>1501</v>
      </c>
      <c r="H529" s="7" t="s">
        <v>1502</v>
      </c>
      <c r="I529" s="9">
        <v>45326</v>
      </c>
    </row>
    <row r="530" spans="1:9" ht="27" x14ac:dyDescent="0.15">
      <c r="A530" s="6">
        <v>529</v>
      </c>
      <c r="B530" s="7" t="s">
        <v>10</v>
      </c>
      <c r="C530" s="8">
        <v>1888</v>
      </c>
      <c r="D530" s="9">
        <v>45432</v>
      </c>
      <c r="E530" s="13" t="str">
        <f>+HYPERLINK("http://trademark.i-assist.jp/data/china/image_1888th/76772906.pdf","76772906")</f>
        <v>76772906</v>
      </c>
      <c r="F530" s="7" t="s">
        <v>1503</v>
      </c>
      <c r="G530" s="7" t="s">
        <v>1504</v>
      </c>
      <c r="H530" s="7" t="s">
        <v>1505</v>
      </c>
      <c r="I530" s="9">
        <v>45326</v>
      </c>
    </row>
    <row r="531" spans="1:9" x14ac:dyDescent="0.15">
      <c r="A531" s="6">
        <v>530</v>
      </c>
      <c r="B531" s="7" t="s">
        <v>10</v>
      </c>
      <c r="C531" s="8">
        <v>1888</v>
      </c>
      <c r="D531" s="9">
        <v>45432</v>
      </c>
      <c r="E531" s="13" t="str">
        <f>+HYPERLINK("http://trademark.i-assist.jp/data/china/image_1888th/76774243.pdf","76774243")</f>
        <v>76774243</v>
      </c>
      <c r="F531" s="7" t="s">
        <v>76</v>
      </c>
      <c r="G531" s="7" t="s">
        <v>1506</v>
      </c>
      <c r="H531" s="7" t="s">
        <v>1507</v>
      </c>
      <c r="I531" s="9">
        <v>45326</v>
      </c>
    </row>
    <row r="532" spans="1:9" x14ac:dyDescent="0.15">
      <c r="A532" s="6">
        <v>531</v>
      </c>
      <c r="B532" s="7" t="s">
        <v>10</v>
      </c>
      <c r="C532" s="8">
        <v>1888</v>
      </c>
      <c r="D532" s="9">
        <v>45432</v>
      </c>
      <c r="E532" s="13" t="str">
        <f>+HYPERLINK("http://trademark.i-assist.jp/data/china/image_1888th/76774479.pdf","76774479")</f>
        <v>76774479</v>
      </c>
      <c r="F532" s="7" t="s">
        <v>76</v>
      </c>
      <c r="G532" s="7" t="s">
        <v>1508</v>
      </c>
      <c r="H532" s="7" t="s">
        <v>1509</v>
      </c>
      <c r="I532" s="9">
        <v>45326</v>
      </c>
    </row>
    <row r="533" spans="1:9" ht="27" x14ac:dyDescent="0.15">
      <c r="A533" s="6">
        <v>532</v>
      </c>
      <c r="B533" s="7" t="s">
        <v>10</v>
      </c>
      <c r="C533" s="8">
        <v>1888</v>
      </c>
      <c r="D533" s="9">
        <v>45432</v>
      </c>
      <c r="E533" s="13" t="str">
        <f>+HYPERLINK("http://trademark.i-assist.jp/data/china/image_1888th/76775229.pdf","76775229")</f>
        <v>76775229</v>
      </c>
      <c r="F533" s="7" t="s">
        <v>1510</v>
      </c>
      <c r="G533" s="7" t="s">
        <v>1504</v>
      </c>
      <c r="H533" s="7" t="s">
        <v>1511</v>
      </c>
      <c r="I533" s="9">
        <v>45326</v>
      </c>
    </row>
    <row r="534" spans="1:9" x14ac:dyDescent="0.15">
      <c r="A534" s="6">
        <v>533</v>
      </c>
      <c r="B534" s="7" t="s">
        <v>10</v>
      </c>
      <c r="C534" s="8">
        <v>1888</v>
      </c>
      <c r="D534" s="9">
        <v>45432</v>
      </c>
      <c r="E534" s="13" t="str">
        <f>+HYPERLINK("http://trademark.i-assist.jp/data/china/image_1888th/76778156.pdf","76778156")</f>
        <v>76778156</v>
      </c>
      <c r="F534" s="7" t="s">
        <v>1512</v>
      </c>
      <c r="G534" s="7" t="s">
        <v>1513</v>
      </c>
      <c r="H534" s="7" t="s">
        <v>1514</v>
      </c>
      <c r="I534" s="9">
        <v>45326</v>
      </c>
    </row>
    <row r="535" spans="1:9" x14ac:dyDescent="0.15">
      <c r="A535" s="6">
        <v>534</v>
      </c>
      <c r="B535" s="7" t="s">
        <v>10</v>
      </c>
      <c r="C535" s="8">
        <v>1888</v>
      </c>
      <c r="D535" s="9">
        <v>45432</v>
      </c>
      <c r="E535" s="13" t="str">
        <f>+HYPERLINK("http://trademark.i-assist.jp/data/china/image_1888th/76778544.pdf","76778544")</f>
        <v>76778544</v>
      </c>
      <c r="F535" s="7" t="s">
        <v>1515</v>
      </c>
      <c r="G535" s="7" t="s">
        <v>1516</v>
      </c>
      <c r="H535" s="7" t="s">
        <v>1517</v>
      </c>
      <c r="I535" s="9">
        <v>45326</v>
      </c>
    </row>
    <row r="536" spans="1:9" x14ac:dyDescent="0.15">
      <c r="A536" s="6">
        <v>535</v>
      </c>
      <c r="B536" s="7" t="s">
        <v>10</v>
      </c>
      <c r="C536" s="8">
        <v>1888</v>
      </c>
      <c r="D536" s="9">
        <v>45432</v>
      </c>
      <c r="E536" s="13" t="str">
        <f>+HYPERLINK("http://trademark.i-assist.jp/data/china/image_1888th/76778572.pdf","76778572")</f>
        <v>76778572</v>
      </c>
      <c r="F536" s="7" t="s">
        <v>1518</v>
      </c>
      <c r="G536" s="7" t="s">
        <v>1519</v>
      </c>
      <c r="H536" s="7" t="s">
        <v>1520</v>
      </c>
      <c r="I536" s="9">
        <v>45326</v>
      </c>
    </row>
    <row r="537" spans="1:9" x14ac:dyDescent="0.15">
      <c r="A537" s="6">
        <v>536</v>
      </c>
      <c r="B537" s="7" t="s">
        <v>10</v>
      </c>
      <c r="C537" s="8">
        <v>1888</v>
      </c>
      <c r="D537" s="9">
        <v>45432</v>
      </c>
      <c r="E537" s="13" t="str">
        <f>+HYPERLINK("http://trademark.i-assist.jp/data/china/image_1888th/76779502.pdf","76779502")</f>
        <v>76779502</v>
      </c>
      <c r="F537" s="7" t="s">
        <v>1521</v>
      </c>
      <c r="G537" s="7" t="s">
        <v>1513</v>
      </c>
      <c r="H537" s="7" t="s">
        <v>1522</v>
      </c>
      <c r="I537" s="9">
        <v>45326</v>
      </c>
    </row>
    <row r="538" spans="1:9" ht="27" x14ac:dyDescent="0.15">
      <c r="A538" s="6">
        <v>537</v>
      </c>
      <c r="B538" s="7" t="s">
        <v>10</v>
      </c>
      <c r="C538" s="8">
        <v>1888</v>
      </c>
      <c r="D538" s="9">
        <v>45432</v>
      </c>
      <c r="E538" s="13" t="str">
        <f>+HYPERLINK("http://trademark.i-assist.jp/data/china/image_1888th/76782367.pdf","76782367")</f>
        <v>76782367</v>
      </c>
      <c r="F538" s="7" t="s">
        <v>1523</v>
      </c>
      <c r="G538" s="7" t="s">
        <v>1524</v>
      </c>
      <c r="H538" s="7" t="s">
        <v>1525</v>
      </c>
      <c r="I538" s="9">
        <v>45326</v>
      </c>
    </row>
    <row r="539" spans="1:9" ht="27" x14ac:dyDescent="0.15">
      <c r="A539" s="6">
        <v>538</v>
      </c>
      <c r="B539" s="7" t="s">
        <v>10</v>
      </c>
      <c r="C539" s="8">
        <v>1888</v>
      </c>
      <c r="D539" s="9">
        <v>45432</v>
      </c>
      <c r="E539" s="13" t="str">
        <f>+HYPERLINK("http://trademark.i-assist.jp/data/china/image_1888th/76783733.pdf","76783733")</f>
        <v>76783733</v>
      </c>
      <c r="F539" s="7" t="s">
        <v>1526</v>
      </c>
      <c r="G539" s="7" t="s">
        <v>1504</v>
      </c>
      <c r="H539" s="7" t="s">
        <v>1527</v>
      </c>
      <c r="I539" s="9">
        <v>45326</v>
      </c>
    </row>
    <row r="540" spans="1:9" x14ac:dyDescent="0.15">
      <c r="A540" s="6">
        <v>539</v>
      </c>
      <c r="B540" s="7" t="s">
        <v>10</v>
      </c>
      <c r="C540" s="8">
        <v>1888</v>
      </c>
      <c r="D540" s="9">
        <v>45432</v>
      </c>
      <c r="E540" s="13" t="str">
        <f>+HYPERLINK("http://trademark.i-assist.jp/data/china/image_1888th/76784306.pdf","76784306")</f>
        <v>76784306</v>
      </c>
      <c r="F540" s="7" t="s">
        <v>1528</v>
      </c>
      <c r="G540" s="7" t="s">
        <v>1529</v>
      </c>
      <c r="H540" s="7" t="s">
        <v>1530</v>
      </c>
      <c r="I540" s="9">
        <v>45326</v>
      </c>
    </row>
    <row r="541" spans="1:9" x14ac:dyDescent="0.15">
      <c r="A541" s="6">
        <v>540</v>
      </c>
      <c r="B541" s="7" t="s">
        <v>10</v>
      </c>
      <c r="C541" s="8">
        <v>1888</v>
      </c>
      <c r="D541" s="9">
        <v>45432</v>
      </c>
      <c r="E541" s="13" t="str">
        <f>+HYPERLINK("http://trademark.i-assist.jp/data/china/image_1888th/76784349.pdf","76784349")</f>
        <v>76784349</v>
      </c>
      <c r="F541" s="7" t="s">
        <v>1531</v>
      </c>
      <c r="G541" s="7" t="s">
        <v>1532</v>
      </c>
      <c r="H541" s="7" t="s">
        <v>1533</v>
      </c>
      <c r="I541" s="9">
        <v>45326</v>
      </c>
    </row>
    <row r="542" spans="1:9" x14ac:dyDescent="0.15">
      <c r="A542" s="6">
        <v>541</v>
      </c>
      <c r="B542" s="7" t="s">
        <v>10</v>
      </c>
      <c r="C542" s="8">
        <v>1888</v>
      </c>
      <c r="D542" s="9">
        <v>45432</v>
      </c>
      <c r="E542" s="13" t="str">
        <f>+HYPERLINK("http://trademark.i-assist.jp/data/china/image_1888th/76784442.pdf","76784442")</f>
        <v>76784442</v>
      </c>
      <c r="F542" s="7" t="s">
        <v>1534</v>
      </c>
      <c r="G542" s="7" t="s">
        <v>1535</v>
      </c>
      <c r="H542" s="7" t="s">
        <v>1536</v>
      </c>
      <c r="I542" s="9">
        <v>45326</v>
      </c>
    </row>
    <row r="543" spans="1:9" x14ac:dyDescent="0.15">
      <c r="A543" s="6">
        <v>542</v>
      </c>
      <c r="B543" s="7" t="s">
        <v>10</v>
      </c>
      <c r="C543" s="8">
        <v>1888</v>
      </c>
      <c r="D543" s="9">
        <v>45432</v>
      </c>
      <c r="E543" s="13" t="str">
        <f>+HYPERLINK("http://trademark.i-assist.jp/data/china/image_1888th/76785023.pdf","76785023")</f>
        <v>76785023</v>
      </c>
      <c r="F543" s="7" t="s">
        <v>1537</v>
      </c>
      <c r="G543" s="7" t="s">
        <v>1538</v>
      </c>
      <c r="H543" s="7" t="s">
        <v>1539</v>
      </c>
      <c r="I543" s="9">
        <v>45326</v>
      </c>
    </row>
    <row r="544" spans="1:9" x14ac:dyDescent="0.15">
      <c r="A544" s="6">
        <v>543</v>
      </c>
      <c r="B544" s="7" t="s">
        <v>10</v>
      </c>
      <c r="C544" s="8">
        <v>1888</v>
      </c>
      <c r="D544" s="9">
        <v>45432</v>
      </c>
      <c r="E544" s="13" t="str">
        <f>+HYPERLINK("http://trademark.i-assist.jp/data/china/image_1888th/76785033.pdf","76785033")</f>
        <v>76785033</v>
      </c>
      <c r="F544" s="7" t="s">
        <v>1540</v>
      </c>
      <c r="G544" s="7" t="s">
        <v>1538</v>
      </c>
      <c r="H544" s="7" t="s">
        <v>1541</v>
      </c>
      <c r="I544" s="9">
        <v>45326</v>
      </c>
    </row>
    <row r="545" spans="1:9" x14ac:dyDescent="0.15">
      <c r="A545" s="6">
        <v>544</v>
      </c>
      <c r="B545" s="7" t="s">
        <v>10</v>
      </c>
      <c r="C545" s="8">
        <v>1888</v>
      </c>
      <c r="D545" s="9">
        <v>45432</v>
      </c>
      <c r="E545" s="13" t="str">
        <f>+HYPERLINK("http://trademark.i-assist.jp/data/china/image_1888th/76785161.pdf","76785161")</f>
        <v>76785161</v>
      </c>
      <c r="F545" s="7" t="s">
        <v>1542</v>
      </c>
      <c r="G545" s="7" t="s">
        <v>1543</v>
      </c>
      <c r="H545" s="7" t="s">
        <v>1544</v>
      </c>
      <c r="I545" s="9">
        <v>45326</v>
      </c>
    </row>
    <row r="546" spans="1:9" x14ac:dyDescent="0.15">
      <c r="A546" s="6">
        <v>545</v>
      </c>
      <c r="B546" s="7" t="s">
        <v>10</v>
      </c>
      <c r="C546" s="8">
        <v>1888</v>
      </c>
      <c r="D546" s="9">
        <v>45432</v>
      </c>
      <c r="E546" s="13" t="str">
        <f>+HYPERLINK("http://trademark.i-assist.jp/data/china/image_1888th/76785186.pdf","76785186")</f>
        <v>76785186</v>
      </c>
      <c r="F546" s="7" t="s">
        <v>1545</v>
      </c>
      <c r="G546" s="7" t="s">
        <v>1546</v>
      </c>
      <c r="H546" s="7" t="s">
        <v>1547</v>
      </c>
      <c r="I546" s="9">
        <v>45326</v>
      </c>
    </row>
    <row r="547" spans="1:9" ht="27" x14ac:dyDescent="0.15">
      <c r="A547" s="6">
        <v>546</v>
      </c>
      <c r="B547" s="7" t="s">
        <v>10</v>
      </c>
      <c r="C547" s="8">
        <v>1888</v>
      </c>
      <c r="D547" s="9">
        <v>45432</v>
      </c>
      <c r="E547" s="13" t="str">
        <f>+HYPERLINK("http://trademark.i-assist.jp/data/china/image_1888th/76786588.pdf","76786588")</f>
        <v>76786588</v>
      </c>
      <c r="F547" s="7" t="s">
        <v>1548</v>
      </c>
      <c r="G547" s="7" t="s">
        <v>1549</v>
      </c>
      <c r="H547" s="7" t="s">
        <v>1550</v>
      </c>
      <c r="I547" s="9">
        <v>45327</v>
      </c>
    </row>
    <row r="548" spans="1:9" x14ac:dyDescent="0.15">
      <c r="A548" s="6">
        <v>547</v>
      </c>
      <c r="B548" s="7" t="s">
        <v>10</v>
      </c>
      <c r="C548" s="8">
        <v>1888</v>
      </c>
      <c r="D548" s="9">
        <v>45432</v>
      </c>
      <c r="E548" s="13" t="str">
        <f>+HYPERLINK("http://trademark.i-assist.jp/data/china/image_1888th/76786601.pdf","76786601")</f>
        <v>76786601</v>
      </c>
      <c r="F548" s="7" t="s">
        <v>1551</v>
      </c>
      <c r="G548" s="7" t="s">
        <v>1552</v>
      </c>
      <c r="H548" s="7" t="s">
        <v>1553</v>
      </c>
      <c r="I548" s="9">
        <v>45327</v>
      </c>
    </row>
    <row r="549" spans="1:9" ht="27" x14ac:dyDescent="0.15">
      <c r="A549" s="6">
        <v>548</v>
      </c>
      <c r="B549" s="7" t="s">
        <v>10</v>
      </c>
      <c r="C549" s="8">
        <v>1888</v>
      </c>
      <c r="D549" s="9">
        <v>45432</v>
      </c>
      <c r="E549" s="13" t="str">
        <f>+HYPERLINK("http://trademark.i-assist.jp/data/china/image_1888th/76786615.pdf","76786615")</f>
        <v>76786615</v>
      </c>
      <c r="F549" s="7" t="s">
        <v>1554</v>
      </c>
      <c r="G549" s="7" t="s">
        <v>1549</v>
      </c>
      <c r="H549" s="7" t="s">
        <v>1555</v>
      </c>
      <c r="I549" s="9">
        <v>45327</v>
      </c>
    </row>
    <row r="550" spans="1:9" x14ac:dyDescent="0.15">
      <c r="A550" s="6">
        <v>549</v>
      </c>
      <c r="B550" s="7" t="s">
        <v>10</v>
      </c>
      <c r="C550" s="8">
        <v>1888</v>
      </c>
      <c r="D550" s="9">
        <v>45432</v>
      </c>
      <c r="E550" s="13" t="str">
        <f>+HYPERLINK("http://trademark.i-assist.jp/data/china/image_1888th/76786651.pdf","76786651")</f>
        <v>76786651</v>
      </c>
      <c r="F550" s="7" t="s">
        <v>1556</v>
      </c>
      <c r="G550" s="7" t="s">
        <v>1557</v>
      </c>
      <c r="H550" s="7" t="s">
        <v>1558</v>
      </c>
      <c r="I550" s="9">
        <v>45327</v>
      </c>
    </row>
    <row r="551" spans="1:9" ht="27" x14ac:dyDescent="0.15">
      <c r="A551" s="6">
        <v>550</v>
      </c>
      <c r="B551" s="7" t="s">
        <v>10</v>
      </c>
      <c r="C551" s="8">
        <v>1888</v>
      </c>
      <c r="D551" s="9">
        <v>45432</v>
      </c>
      <c r="E551" s="13" t="str">
        <f>+HYPERLINK("http://trademark.i-assist.jp/data/china/image_1888th/76786684.pdf","76786684")</f>
        <v>76786684</v>
      </c>
      <c r="F551" s="7" t="s">
        <v>1559</v>
      </c>
      <c r="G551" s="7" t="s">
        <v>1560</v>
      </c>
      <c r="H551" s="7" t="s">
        <v>1561</v>
      </c>
      <c r="I551" s="9">
        <v>45327</v>
      </c>
    </row>
    <row r="552" spans="1:9" x14ac:dyDescent="0.15">
      <c r="A552" s="6">
        <v>551</v>
      </c>
      <c r="B552" s="7" t="s">
        <v>10</v>
      </c>
      <c r="C552" s="8">
        <v>1888</v>
      </c>
      <c r="D552" s="9">
        <v>45432</v>
      </c>
      <c r="E552" s="13" t="str">
        <f>+HYPERLINK("http://trademark.i-assist.jp/data/china/image_1888th/76787275.pdf","76787275")</f>
        <v>76787275</v>
      </c>
      <c r="F552" s="7" t="s">
        <v>1562</v>
      </c>
      <c r="G552" s="7" t="s">
        <v>1563</v>
      </c>
      <c r="H552" s="7" t="s">
        <v>1564</v>
      </c>
      <c r="I552" s="9">
        <v>45327</v>
      </c>
    </row>
    <row r="553" spans="1:9" ht="27" x14ac:dyDescent="0.15">
      <c r="A553" s="6">
        <v>552</v>
      </c>
      <c r="B553" s="7" t="s">
        <v>10</v>
      </c>
      <c r="C553" s="8">
        <v>1888</v>
      </c>
      <c r="D553" s="9">
        <v>45432</v>
      </c>
      <c r="E553" s="13" t="str">
        <f>+HYPERLINK("http://trademark.i-assist.jp/data/china/image_1888th/76788216.pdf","76788216")</f>
        <v>76788216</v>
      </c>
      <c r="F553" s="7" t="s">
        <v>1565</v>
      </c>
      <c r="G553" s="7" t="s">
        <v>1560</v>
      </c>
      <c r="H553" s="7" t="s">
        <v>1566</v>
      </c>
      <c r="I553" s="9">
        <v>45327</v>
      </c>
    </row>
    <row r="554" spans="1:9" x14ac:dyDescent="0.15">
      <c r="A554" s="6">
        <v>553</v>
      </c>
      <c r="B554" s="7" t="s">
        <v>10</v>
      </c>
      <c r="C554" s="8">
        <v>1888</v>
      </c>
      <c r="D554" s="9">
        <v>45432</v>
      </c>
      <c r="E554" s="13" t="str">
        <f>+HYPERLINK("http://trademark.i-assist.jp/data/china/image_1888th/76789006.pdf","76789006")</f>
        <v>76789006</v>
      </c>
      <c r="F554" s="7" t="s">
        <v>1567</v>
      </c>
      <c r="G554" s="7" t="s">
        <v>1568</v>
      </c>
      <c r="H554" s="7" t="s">
        <v>1569</v>
      </c>
      <c r="I554" s="9">
        <v>45327</v>
      </c>
    </row>
    <row r="555" spans="1:9" ht="27" x14ac:dyDescent="0.15">
      <c r="A555" s="6">
        <v>554</v>
      </c>
      <c r="B555" s="7" t="s">
        <v>10</v>
      </c>
      <c r="C555" s="8">
        <v>1888</v>
      </c>
      <c r="D555" s="9">
        <v>45432</v>
      </c>
      <c r="E555" s="13" t="str">
        <f>+HYPERLINK("http://trademark.i-assist.jp/data/china/image_1888th/76789287A.pdf","76789287A")</f>
        <v>76789287A</v>
      </c>
      <c r="F555" s="7" t="s">
        <v>1570</v>
      </c>
      <c r="G555" s="7" t="s">
        <v>1571</v>
      </c>
      <c r="H555" s="7" t="s">
        <v>1572</v>
      </c>
      <c r="I555" s="9">
        <v>45327</v>
      </c>
    </row>
    <row r="556" spans="1:9" ht="27" x14ac:dyDescent="0.15">
      <c r="A556" s="6">
        <v>555</v>
      </c>
      <c r="B556" s="7" t="s">
        <v>10</v>
      </c>
      <c r="C556" s="8">
        <v>1888</v>
      </c>
      <c r="D556" s="9">
        <v>45432</v>
      </c>
      <c r="E556" s="13" t="str">
        <f>+HYPERLINK("http://trademark.i-assist.jp/data/china/image_1888th/76790544.pdf","76790544")</f>
        <v>76790544</v>
      </c>
      <c r="F556" s="7" t="s">
        <v>1573</v>
      </c>
      <c r="G556" s="7" t="s">
        <v>1574</v>
      </c>
      <c r="H556" s="7" t="s">
        <v>1575</v>
      </c>
      <c r="I556" s="9">
        <v>45327</v>
      </c>
    </row>
    <row r="557" spans="1:9" x14ac:dyDescent="0.15">
      <c r="A557" s="6">
        <v>556</v>
      </c>
      <c r="B557" s="7" t="s">
        <v>10</v>
      </c>
      <c r="C557" s="8">
        <v>1888</v>
      </c>
      <c r="D557" s="9">
        <v>45432</v>
      </c>
      <c r="E557" s="13" t="str">
        <f>+HYPERLINK("http://trademark.i-assist.jp/data/china/image_1888th/76791115.pdf","76791115")</f>
        <v>76791115</v>
      </c>
      <c r="F557" s="7" t="s">
        <v>1576</v>
      </c>
      <c r="G557" s="7" t="s">
        <v>1577</v>
      </c>
      <c r="H557" s="7" t="s">
        <v>1578</v>
      </c>
      <c r="I557" s="9">
        <v>45327</v>
      </c>
    </row>
    <row r="558" spans="1:9" x14ac:dyDescent="0.15">
      <c r="A558" s="6">
        <v>557</v>
      </c>
      <c r="B558" s="7" t="s">
        <v>10</v>
      </c>
      <c r="C558" s="8">
        <v>1888</v>
      </c>
      <c r="D558" s="9">
        <v>45432</v>
      </c>
      <c r="E558" s="13" t="str">
        <f>+HYPERLINK("http://trademark.i-assist.jp/data/china/image_1888th/76792565.pdf","76792565")</f>
        <v>76792565</v>
      </c>
      <c r="F558" s="7" t="s">
        <v>1579</v>
      </c>
      <c r="G558" s="7" t="s">
        <v>1568</v>
      </c>
      <c r="H558" s="7" t="s">
        <v>1580</v>
      </c>
      <c r="I558" s="9">
        <v>45327</v>
      </c>
    </row>
    <row r="559" spans="1:9" x14ac:dyDescent="0.15">
      <c r="A559" s="6">
        <v>558</v>
      </c>
      <c r="B559" s="7" t="s">
        <v>10</v>
      </c>
      <c r="C559" s="8">
        <v>1888</v>
      </c>
      <c r="D559" s="9">
        <v>45432</v>
      </c>
      <c r="E559" s="13" t="str">
        <f>+HYPERLINK("http://trademark.i-assist.jp/data/china/image_1888th/76793483.pdf","76793483")</f>
        <v>76793483</v>
      </c>
      <c r="F559" s="7" t="s">
        <v>1581</v>
      </c>
      <c r="G559" s="7" t="s">
        <v>1582</v>
      </c>
      <c r="H559" s="7" t="s">
        <v>1583</v>
      </c>
      <c r="I559" s="9">
        <v>45327</v>
      </c>
    </row>
    <row r="560" spans="1:9" ht="27" x14ac:dyDescent="0.15">
      <c r="A560" s="6">
        <v>559</v>
      </c>
      <c r="B560" s="7" t="s">
        <v>10</v>
      </c>
      <c r="C560" s="8">
        <v>1888</v>
      </c>
      <c r="D560" s="9">
        <v>45432</v>
      </c>
      <c r="E560" s="13" t="str">
        <f>+HYPERLINK("http://trademark.i-assist.jp/data/china/image_1888th/76793527.pdf","76793527")</f>
        <v>76793527</v>
      </c>
      <c r="F560" s="7" t="s">
        <v>1584</v>
      </c>
      <c r="G560" s="7" t="s">
        <v>1585</v>
      </c>
      <c r="H560" s="7" t="s">
        <v>1586</v>
      </c>
      <c r="I560" s="9">
        <v>45327</v>
      </c>
    </row>
    <row r="561" spans="1:9" x14ac:dyDescent="0.15">
      <c r="A561" s="6">
        <v>560</v>
      </c>
      <c r="B561" s="7" t="s">
        <v>10</v>
      </c>
      <c r="C561" s="8">
        <v>1888</v>
      </c>
      <c r="D561" s="9">
        <v>45432</v>
      </c>
      <c r="E561" s="13" t="str">
        <f>+HYPERLINK("http://trademark.i-assist.jp/data/china/image_1888th/76793903.pdf","76793903")</f>
        <v>76793903</v>
      </c>
      <c r="F561" s="7" t="s">
        <v>1587</v>
      </c>
      <c r="G561" s="7" t="s">
        <v>1588</v>
      </c>
      <c r="H561" s="7" t="s">
        <v>1589</v>
      </c>
      <c r="I561" s="9">
        <v>45327</v>
      </c>
    </row>
    <row r="562" spans="1:9" x14ac:dyDescent="0.15">
      <c r="A562" s="6">
        <v>561</v>
      </c>
      <c r="B562" s="7" t="s">
        <v>10</v>
      </c>
      <c r="C562" s="8">
        <v>1888</v>
      </c>
      <c r="D562" s="9">
        <v>45432</v>
      </c>
      <c r="E562" s="13" t="str">
        <f>+HYPERLINK("http://trademark.i-assist.jp/data/china/image_1888th/76794000.pdf","76794000")</f>
        <v>76794000</v>
      </c>
      <c r="F562" s="7" t="s">
        <v>1590</v>
      </c>
      <c r="G562" s="7" t="s">
        <v>1591</v>
      </c>
      <c r="H562" s="7" t="s">
        <v>1592</v>
      </c>
      <c r="I562" s="9">
        <v>45327</v>
      </c>
    </row>
    <row r="563" spans="1:9" x14ac:dyDescent="0.15">
      <c r="A563" s="6">
        <v>562</v>
      </c>
      <c r="B563" s="7" t="s">
        <v>10</v>
      </c>
      <c r="C563" s="8">
        <v>1888</v>
      </c>
      <c r="D563" s="9">
        <v>45432</v>
      </c>
      <c r="E563" s="13" t="str">
        <f>+HYPERLINK("http://trademark.i-assist.jp/data/china/image_1888th/76794162.pdf","76794162")</f>
        <v>76794162</v>
      </c>
      <c r="F563" s="7" t="s">
        <v>1593</v>
      </c>
      <c r="G563" s="7" t="s">
        <v>1594</v>
      </c>
      <c r="H563" s="7" t="s">
        <v>1595</v>
      </c>
      <c r="I563" s="9">
        <v>45327</v>
      </c>
    </row>
    <row r="564" spans="1:9" x14ac:dyDescent="0.15">
      <c r="A564" s="6">
        <v>563</v>
      </c>
      <c r="B564" s="7" t="s">
        <v>10</v>
      </c>
      <c r="C564" s="8">
        <v>1888</v>
      </c>
      <c r="D564" s="9">
        <v>45432</v>
      </c>
      <c r="E564" s="13" t="str">
        <f>+HYPERLINK("http://trademark.i-assist.jp/data/china/image_1888th/76794221.pdf","76794221")</f>
        <v>76794221</v>
      </c>
      <c r="F564" s="7" t="s">
        <v>1596</v>
      </c>
      <c r="G564" s="7" t="s">
        <v>1597</v>
      </c>
      <c r="H564" s="7" t="s">
        <v>1598</v>
      </c>
      <c r="I564" s="9">
        <v>45327</v>
      </c>
    </row>
    <row r="565" spans="1:9" x14ac:dyDescent="0.15">
      <c r="A565" s="6">
        <v>564</v>
      </c>
      <c r="B565" s="7" t="s">
        <v>10</v>
      </c>
      <c r="C565" s="8">
        <v>1888</v>
      </c>
      <c r="D565" s="9">
        <v>45432</v>
      </c>
      <c r="E565" s="13" t="str">
        <f>+HYPERLINK("http://trademark.i-assist.jp/data/china/image_1888th/76794403.pdf","76794403")</f>
        <v>76794403</v>
      </c>
      <c r="F565" s="7" t="s">
        <v>1599</v>
      </c>
      <c r="G565" s="7" t="s">
        <v>1600</v>
      </c>
      <c r="H565" s="7" t="s">
        <v>1601</v>
      </c>
      <c r="I565" s="9">
        <v>45327</v>
      </c>
    </row>
    <row r="566" spans="1:9" x14ac:dyDescent="0.15">
      <c r="A566" s="6">
        <v>565</v>
      </c>
      <c r="B566" s="7" t="s">
        <v>10</v>
      </c>
      <c r="C566" s="8">
        <v>1888</v>
      </c>
      <c r="D566" s="9">
        <v>45432</v>
      </c>
      <c r="E566" s="13" t="str">
        <f>+HYPERLINK("http://trademark.i-assist.jp/data/china/image_1888th/76794576.pdf","76794576")</f>
        <v>76794576</v>
      </c>
      <c r="F566" s="7" t="s">
        <v>1602</v>
      </c>
      <c r="G566" s="7" t="s">
        <v>1603</v>
      </c>
      <c r="H566" s="7" t="s">
        <v>1604</v>
      </c>
      <c r="I566" s="9">
        <v>45327</v>
      </c>
    </row>
    <row r="567" spans="1:9" x14ac:dyDescent="0.15">
      <c r="A567" s="6">
        <v>566</v>
      </c>
      <c r="B567" s="7" t="s">
        <v>10</v>
      </c>
      <c r="C567" s="8">
        <v>1888</v>
      </c>
      <c r="D567" s="9">
        <v>45432</v>
      </c>
      <c r="E567" s="13" t="str">
        <f>+HYPERLINK("http://trademark.i-assist.jp/data/china/image_1888th/76794823.pdf","76794823")</f>
        <v>76794823</v>
      </c>
      <c r="F567" s="7" t="s">
        <v>1605</v>
      </c>
      <c r="G567" s="7" t="s">
        <v>1606</v>
      </c>
      <c r="H567" s="7" t="s">
        <v>1607</v>
      </c>
      <c r="I567" s="9">
        <v>45327</v>
      </c>
    </row>
    <row r="568" spans="1:9" x14ac:dyDescent="0.15">
      <c r="A568" s="6">
        <v>567</v>
      </c>
      <c r="B568" s="7" t="s">
        <v>10</v>
      </c>
      <c r="C568" s="8">
        <v>1888</v>
      </c>
      <c r="D568" s="9">
        <v>45432</v>
      </c>
      <c r="E568" s="13" t="str">
        <f>+HYPERLINK("http://trademark.i-assist.jp/data/china/image_1888th/76795576.pdf","76795576")</f>
        <v>76795576</v>
      </c>
      <c r="F568" s="7" t="s">
        <v>1608</v>
      </c>
      <c r="G568" s="7" t="s">
        <v>1609</v>
      </c>
      <c r="H568" s="7" t="s">
        <v>1610</v>
      </c>
      <c r="I568" s="9">
        <v>45327</v>
      </c>
    </row>
    <row r="569" spans="1:9" ht="27" x14ac:dyDescent="0.15">
      <c r="A569" s="6">
        <v>568</v>
      </c>
      <c r="B569" s="7" t="s">
        <v>10</v>
      </c>
      <c r="C569" s="8">
        <v>1888</v>
      </c>
      <c r="D569" s="9">
        <v>45432</v>
      </c>
      <c r="E569" s="13" t="str">
        <f>+HYPERLINK("http://trademark.i-assist.jp/data/china/image_1888th/76795947.pdf","76795947")</f>
        <v>76795947</v>
      </c>
      <c r="F569" s="7" t="s">
        <v>1611</v>
      </c>
      <c r="G569" s="7" t="s">
        <v>1612</v>
      </c>
      <c r="H569" s="7" t="s">
        <v>1613</v>
      </c>
      <c r="I569" s="9">
        <v>45327</v>
      </c>
    </row>
    <row r="570" spans="1:9" x14ac:dyDescent="0.15">
      <c r="A570" s="6">
        <v>569</v>
      </c>
      <c r="B570" s="7" t="s">
        <v>10</v>
      </c>
      <c r="C570" s="8">
        <v>1888</v>
      </c>
      <c r="D570" s="9">
        <v>45432</v>
      </c>
      <c r="E570" s="13" t="str">
        <f>+HYPERLINK("http://trademark.i-assist.jp/data/china/image_1888th/76796347.pdf","76796347")</f>
        <v>76796347</v>
      </c>
      <c r="F570" s="7" t="s">
        <v>1614</v>
      </c>
      <c r="G570" s="7" t="s">
        <v>1615</v>
      </c>
      <c r="H570" s="7" t="s">
        <v>1616</v>
      </c>
      <c r="I570" s="9">
        <v>45327</v>
      </c>
    </row>
    <row r="571" spans="1:9" x14ac:dyDescent="0.15">
      <c r="A571" s="6">
        <v>570</v>
      </c>
      <c r="B571" s="7" t="s">
        <v>10</v>
      </c>
      <c r="C571" s="8">
        <v>1888</v>
      </c>
      <c r="D571" s="9">
        <v>45432</v>
      </c>
      <c r="E571" s="13" t="str">
        <f>+HYPERLINK("http://trademark.i-assist.jp/data/china/image_1888th/76796385.pdf","76796385")</f>
        <v>76796385</v>
      </c>
      <c r="F571" s="7" t="s">
        <v>1617</v>
      </c>
      <c r="G571" s="7" t="s">
        <v>1618</v>
      </c>
      <c r="H571" s="7" t="s">
        <v>1619</v>
      </c>
      <c r="I571" s="9">
        <v>45327</v>
      </c>
    </row>
    <row r="572" spans="1:9" x14ac:dyDescent="0.15">
      <c r="A572" s="6">
        <v>571</v>
      </c>
      <c r="B572" s="7" t="s">
        <v>10</v>
      </c>
      <c r="C572" s="8">
        <v>1888</v>
      </c>
      <c r="D572" s="9">
        <v>45432</v>
      </c>
      <c r="E572" s="13" t="str">
        <f>+HYPERLINK("http://trademark.i-assist.jp/data/china/image_1888th/76796400.pdf","76796400")</f>
        <v>76796400</v>
      </c>
      <c r="F572" s="7" t="s">
        <v>1620</v>
      </c>
      <c r="G572" s="7" t="s">
        <v>1603</v>
      </c>
      <c r="H572" s="7" t="s">
        <v>1621</v>
      </c>
      <c r="I572" s="9">
        <v>45327</v>
      </c>
    </row>
    <row r="573" spans="1:9" x14ac:dyDescent="0.15">
      <c r="A573" s="6">
        <v>572</v>
      </c>
      <c r="B573" s="7" t="s">
        <v>10</v>
      </c>
      <c r="C573" s="8">
        <v>1888</v>
      </c>
      <c r="D573" s="9">
        <v>45432</v>
      </c>
      <c r="E573" s="13" t="str">
        <f>+HYPERLINK("http://trademark.i-assist.jp/data/china/image_1888th/76796681.pdf","76796681")</f>
        <v>76796681</v>
      </c>
      <c r="F573" s="7" t="s">
        <v>1622</v>
      </c>
      <c r="G573" s="7" t="s">
        <v>1623</v>
      </c>
      <c r="H573" s="7" t="s">
        <v>1624</v>
      </c>
      <c r="I573" s="9">
        <v>45327</v>
      </c>
    </row>
    <row r="574" spans="1:9" ht="27" x14ac:dyDescent="0.15">
      <c r="A574" s="6">
        <v>573</v>
      </c>
      <c r="B574" s="7" t="s">
        <v>10</v>
      </c>
      <c r="C574" s="8">
        <v>1888</v>
      </c>
      <c r="D574" s="9">
        <v>45432</v>
      </c>
      <c r="E574" s="13" t="str">
        <f>+HYPERLINK("http://trademark.i-assist.jp/data/china/image_1888th/76796809.pdf","76796809")</f>
        <v>76796809</v>
      </c>
      <c r="F574" s="7" t="s">
        <v>1625</v>
      </c>
      <c r="G574" s="7" t="s">
        <v>1549</v>
      </c>
      <c r="H574" s="7" t="s">
        <v>1626</v>
      </c>
      <c r="I574" s="9">
        <v>45327</v>
      </c>
    </row>
    <row r="575" spans="1:9" ht="27" x14ac:dyDescent="0.15">
      <c r="A575" s="6">
        <v>574</v>
      </c>
      <c r="B575" s="7" t="s">
        <v>10</v>
      </c>
      <c r="C575" s="8">
        <v>1888</v>
      </c>
      <c r="D575" s="9">
        <v>45432</v>
      </c>
      <c r="E575" s="13" t="str">
        <f>+HYPERLINK("http://trademark.i-assist.jp/data/china/image_1888th/76796810.pdf","76796810")</f>
        <v>76796810</v>
      </c>
      <c r="F575" s="7" t="s">
        <v>1627</v>
      </c>
      <c r="G575" s="7" t="s">
        <v>1628</v>
      </c>
      <c r="H575" s="7" t="s">
        <v>1629</v>
      </c>
      <c r="I575" s="9">
        <v>45327</v>
      </c>
    </row>
    <row r="576" spans="1:9" x14ac:dyDescent="0.15">
      <c r="A576" s="6">
        <v>575</v>
      </c>
      <c r="B576" s="7" t="s">
        <v>10</v>
      </c>
      <c r="C576" s="8">
        <v>1888</v>
      </c>
      <c r="D576" s="9">
        <v>45432</v>
      </c>
      <c r="E576" s="13" t="str">
        <f>+HYPERLINK("http://trademark.i-assist.jp/data/china/image_1888th/76797205.pdf","76797205")</f>
        <v>76797205</v>
      </c>
      <c r="F576" s="7" t="s">
        <v>1630</v>
      </c>
      <c r="G576" s="7" t="s">
        <v>1631</v>
      </c>
      <c r="H576" s="7" t="s">
        <v>1632</v>
      </c>
      <c r="I576" s="9">
        <v>45327</v>
      </c>
    </row>
    <row r="577" spans="1:9" x14ac:dyDescent="0.15">
      <c r="A577" s="6">
        <v>576</v>
      </c>
      <c r="B577" s="7" t="s">
        <v>10</v>
      </c>
      <c r="C577" s="8">
        <v>1888</v>
      </c>
      <c r="D577" s="9">
        <v>45432</v>
      </c>
      <c r="E577" s="13" t="str">
        <f>+HYPERLINK("http://trademark.i-assist.jp/data/china/image_1888th/76797316.pdf","76797316")</f>
        <v>76797316</v>
      </c>
      <c r="F577" s="7" t="s">
        <v>1633</v>
      </c>
      <c r="G577" s="7" t="s">
        <v>1634</v>
      </c>
      <c r="H577" s="7" t="s">
        <v>1635</v>
      </c>
      <c r="I577" s="9">
        <v>45327</v>
      </c>
    </row>
    <row r="578" spans="1:9" x14ac:dyDescent="0.15">
      <c r="A578" s="6">
        <v>577</v>
      </c>
      <c r="B578" s="7" t="s">
        <v>10</v>
      </c>
      <c r="C578" s="8">
        <v>1888</v>
      </c>
      <c r="D578" s="9">
        <v>45432</v>
      </c>
      <c r="E578" s="13" t="str">
        <f>+HYPERLINK("http://trademark.i-assist.jp/data/china/image_1888th/76798247.pdf","76798247")</f>
        <v>76798247</v>
      </c>
      <c r="F578" s="7" t="s">
        <v>1636</v>
      </c>
      <c r="G578" s="7" t="s">
        <v>1637</v>
      </c>
      <c r="H578" s="7" t="s">
        <v>1638</v>
      </c>
      <c r="I578" s="9">
        <v>45327</v>
      </c>
    </row>
    <row r="579" spans="1:9" x14ac:dyDescent="0.15">
      <c r="A579" s="6">
        <v>578</v>
      </c>
      <c r="B579" s="7" t="s">
        <v>10</v>
      </c>
      <c r="C579" s="8">
        <v>1888</v>
      </c>
      <c r="D579" s="9">
        <v>45432</v>
      </c>
      <c r="E579" s="13" t="str">
        <f>+HYPERLINK("http://trademark.i-assist.jp/data/china/image_1888th/76798358.pdf","76798358")</f>
        <v>76798358</v>
      </c>
      <c r="F579" s="7" t="s">
        <v>1639</v>
      </c>
      <c r="G579" s="7" t="s">
        <v>1588</v>
      </c>
      <c r="H579" s="7" t="s">
        <v>1640</v>
      </c>
      <c r="I579" s="9">
        <v>45327</v>
      </c>
    </row>
    <row r="580" spans="1:9" ht="27" x14ac:dyDescent="0.15">
      <c r="A580" s="6">
        <v>579</v>
      </c>
      <c r="B580" s="7" t="s">
        <v>10</v>
      </c>
      <c r="C580" s="8">
        <v>1888</v>
      </c>
      <c r="D580" s="9">
        <v>45432</v>
      </c>
      <c r="E580" s="13" t="str">
        <f>+HYPERLINK("http://trademark.i-assist.jp/data/china/image_1888th/76798624.pdf","76798624")</f>
        <v>76798624</v>
      </c>
      <c r="F580" s="7" t="s">
        <v>1641</v>
      </c>
      <c r="G580" s="7" t="s">
        <v>1642</v>
      </c>
      <c r="H580" s="7" t="s">
        <v>1643</v>
      </c>
      <c r="I580" s="9">
        <v>45327</v>
      </c>
    </row>
    <row r="581" spans="1:9" ht="27" x14ac:dyDescent="0.15">
      <c r="A581" s="6">
        <v>580</v>
      </c>
      <c r="B581" s="7" t="s">
        <v>10</v>
      </c>
      <c r="C581" s="8">
        <v>1888</v>
      </c>
      <c r="D581" s="9">
        <v>45432</v>
      </c>
      <c r="E581" s="13" t="str">
        <f>+HYPERLINK("http://trademark.i-assist.jp/data/china/image_1888th/76798646.pdf","76798646")</f>
        <v>76798646</v>
      </c>
      <c r="F581" s="7" t="s">
        <v>1644</v>
      </c>
      <c r="G581" s="7" t="s">
        <v>621</v>
      </c>
      <c r="H581" s="7" t="s">
        <v>1645</v>
      </c>
      <c r="I581" s="9">
        <v>45327</v>
      </c>
    </row>
    <row r="582" spans="1:9" x14ac:dyDescent="0.15">
      <c r="A582" s="6">
        <v>581</v>
      </c>
      <c r="B582" s="7" t="s">
        <v>10</v>
      </c>
      <c r="C582" s="8">
        <v>1888</v>
      </c>
      <c r="D582" s="9">
        <v>45432</v>
      </c>
      <c r="E582" s="13" t="str">
        <f>+HYPERLINK("http://trademark.i-assist.jp/data/china/image_1888th/76799038.pdf","76799038")</f>
        <v>76799038</v>
      </c>
      <c r="F582" s="7" t="s">
        <v>1646</v>
      </c>
      <c r="G582" s="7" t="s">
        <v>1647</v>
      </c>
      <c r="H582" s="7" t="s">
        <v>1648</v>
      </c>
      <c r="I582" s="9">
        <v>45327</v>
      </c>
    </row>
    <row r="583" spans="1:9" x14ac:dyDescent="0.15">
      <c r="A583" s="6">
        <v>582</v>
      </c>
      <c r="B583" s="7" t="s">
        <v>10</v>
      </c>
      <c r="C583" s="8">
        <v>1888</v>
      </c>
      <c r="D583" s="9">
        <v>45432</v>
      </c>
      <c r="E583" s="13" t="str">
        <f>+HYPERLINK("http://trademark.i-assist.jp/data/china/image_1888th/76799118.pdf","76799118")</f>
        <v>76799118</v>
      </c>
      <c r="F583" s="7" t="s">
        <v>1649</v>
      </c>
      <c r="G583" s="7" t="s">
        <v>1650</v>
      </c>
      <c r="H583" s="7" t="s">
        <v>1651</v>
      </c>
      <c r="I583" s="9">
        <v>45327</v>
      </c>
    </row>
    <row r="584" spans="1:9" x14ac:dyDescent="0.15">
      <c r="A584" s="6">
        <v>583</v>
      </c>
      <c r="B584" s="7" t="s">
        <v>10</v>
      </c>
      <c r="C584" s="8">
        <v>1888</v>
      </c>
      <c r="D584" s="9">
        <v>45432</v>
      </c>
      <c r="E584" s="13" t="str">
        <f>+HYPERLINK("http://trademark.i-assist.jp/data/china/image_1888th/76799281.pdf","76799281")</f>
        <v>76799281</v>
      </c>
      <c r="F584" s="7" t="s">
        <v>1652</v>
      </c>
      <c r="G584" s="7" t="s">
        <v>1653</v>
      </c>
      <c r="H584" s="7" t="s">
        <v>1654</v>
      </c>
      <c r="I584" s="9">
        <v>45327</v>
      </c>
    </row>
    <row r="585" spans="1:9" x14ac:dyDescent="0.15">
      <c r="A585" s="6">
        <v>584</v>
      </c>
      <c r="B585" s="7" t="s">
        <v>10</v>
      </c>
      <c r="C585" s="8">
        <v>1888</v>
      </c>
      <c r="D585" s="9">
        <v>45432</v>
      </c>
      <c r="E585" s="13" t="str">
        <f>+HYPERLINK("http://trademark.i-assist.jp/data/china/image_1888th/76799542.pdf","76799542")</f>
        <v>76799542</v>
      </c>
      <c r="F585" s="7" t="s">
        <v>1655</v>
      </c>
      <c r="G585" s="7" t="s">
        <v>1656</v>
      </c>
      <c r="H585" s="7" t="s">
        <v>1657</v>
      </c>
      <c r="I585" s="9">
        <v>45327</v>
      </c>
    </row>
    <row r="586" spans="1:9" ht="27" x14ac:dyDescent="0.15">
      <c r="A586" s="6">
        <v>585</v>
      </c>
      <c r="B586" s="7" t="s">
        <v>10</v>
      </c>
      <c r="C586" s="8">
        <v>1888</v>
      </c>
      <c r="D586" s="9">
        <v>45432</v>
      </c>
      <c r="E586" s="13" t="str">
        <f>+HYPERLINK("http://trademark.i-assist.jp/data/china/image_1888th/76800712.pdf","76800712")</f>
        <v>76800712</v>
      </c>
      <c r="F586" s="7" t="s">
        <v>1658</v>
      </c>
      <c r="G586" s="7" t="s">
        <v>1659</v>
      </c>
      <c r="H586" s="7" t="s">
        <v>1660</v>
      </c>
      <c r="I586" s="9">
        <v>45328</v>
      </c>
    </row>
    <row r="587" spans="1:9" ht="27" x14ac:dyDescent="0.15">
      <c r="A587" s="6">
        <v>586</v>
      </c>
      <c r="B587" s="7" t="s">
        <v>10</v>
      </c>
      <c r="C587" s="8">
        <v>1888</v>
      </c>
      <c r="D587" s="9">
        <v>45432</v>
      </c>
      <c r="E587" s="13" t="str">
        <f>+HYPERLINK("http://trademark.i-assist.jp/data/china/image_1888th/76801153.pdf","76801153")</f>
        <v>76801153</v>
      </c>
      <c r="F587" s="7" t="s">
        <v>1661</v>
      </c>
      <c r="G587" s="7" t="s">
        <v>1659</v>
      </c>
      <c r="H587" s="7" t="s">
        <v>1662</v>
      </c>
      <c r="I587" s="9">
        <v>45328</v>
      </c>
    </row>
    <row r="588" spans="1:9" x14ac:dyDescent="0.15">
      <c r="A588" s="6">
        <v>587</v>
      </c>
      <c r="B588" s="7" t="s">
        <v>10</v>
      </c>
      <c r="C588" s="8">
        <v>1888</v>
      </c>
      <c r="D588" s="9">
        <v>45432</v>
      </c>
      <c r="E588" s="13" t="str">
        <f>+HYPERLINK("http://trademark.i-assist.jp/data/china/image_1888th/76801903.pdf","76801903")</f>
        <v>76801903</v>
      </c>
      <c r="F588" s="7" t="s">
        <v>1663</v>
      </c>
      <c r="G588" s="7" t="s">
        <v>1664</v>
      </c>
      <c r="H588" s="7" t="s">
        <v>1665</v>
      </c>
      <c r="I588" s="9">
        <v>45328</v>
      </c>
    </row>
    <row r="589" spans="1:9" x14ac:dyDescent="0.15">
      <c r="A589" s="6">
        <v>588</v>
      </c>
      <c r="B589" s="7" t="s">
        <v>10</v>
      </c>
      <c r="C589" s="8">
        <v>1888</v>
      </c>
      <c r="D589" s="9">
        <v>45432</v>
      </c>
      <c r="E589" s="13" t="str">
        <f>+HYPERLINK("http://trademark.i-assist.jp/data/china/image_1888th/76803286.pdf","76803286")</f>
        <v>76803286</v>
      </c>
      <c r="F589" s="7" t="s">
        <v>1666</v>
      </c>
      <c r="G589" s="7" t="s">
        <v>1667</v>
      </c>
      <c r="H589" s="7" t="s">
        <v>1668</v>
      </c>
      <c r="I589" s="9">
        <v>45328</v>
      </c>
    </row>
    <row r="590" spans="1:9" ht="27" x14ac:dyDescent="0.15">
      <c r="A590" s="6">
        <v>589</v>
      </c>
      <c r="B590" s="7" t="s">
        <v>10</v>
      </c>
      <c r="C590" s="8">
        <v>1888</v>
      </c>
      <c r="D590" s="9">
        <v>45432</v>
      </c>
      <c r="E590" s="13" t="str">
        <f>+HYPERLINK("http://trademark.i-assist.jp/data/china/image_1888th/76803768.pdf","76803768")</f>
        <v>76803768</v>
      </c>
      <c r="F590" s="7" t="s">
        <v>1669</v>
      </c>
      <c r="G590" s="7" t="s">
        <v>1670</v>
      </c>
      <c r="H590" s="7" t="s">
        <v>1671</v>
      </c>
      <c r="I590" s="9">
        <v>45328</v>
      </c>
    </row>
    <row r="591" spans="1:9" ht="27" x14ac:dyDescent="0.15">
      <c r="A591" s="6">
        <v>590</v>
      </c>
      <c r="B591" s="7" t="s">
        <v>10</v>
      </c>
      <c r="C591" s="8">
        <v>1888</v>
      </c>
      <c r="D591" s="9">
        <v>45432</v>
      </c>
      <c r="E591" s="13" t="str">
        <f>+HYPERLINK("http://trademark.i-assist.jp/data/china/image_1888th/76804325.pdf","76804325")</f>
        <v>76804325</v>
      </c>
      <c r="F591" s="7" t="s">
        <v>1672</v>
      </c>
      <c r="G591" s="7" t="s">
        <v>1673</v>
      </c>
      <c r="H591" s="7" t="s">
        <v>1674</v>
      </c>
      <c r="I591" s="9">
        <v>45328</v>
      </c>
    </row>
    <row r="592" spans="1:9" x14ac:dyDescent="0.15">
      <c r="A592" s="6">
        <v>591</v>
      </c>
      <c r="B592" s="7" t="s">
        <v>10</v>
      </c>
      <c r="C592" s="8">
        <v>1888</v>
      </c>
      <c r="D592" s="9">
        <v>45432</v>
      </c>
      <c r="E592" s="13" t="str">
        <f>+HYPERLINK("http://trademark.i-assist.jp/data/china/image_1888th/76804713.pdf","76804713")</f>
        <v>76804713</v>
      </c>
      <c r="F592" s="7" t="s">
        <v>1675</v>
      </c>
      <c r="G592" s="7" t="s">
        <v>1676</v>
      </c>
      <c r="H592" s="7" t="s">
        <v>1677</v>
      </c>
      <c r="I592" s="9">
        <v>45328</v>
      </c>
    </row>
    <row r="593" spans="1:9" x14ac:dyDescent="0.15">
      <c r="A593" s="6">
        <v>592</v>
      </c>
      <c r="B593" s="7" t="s">
        <v>10</v>
      </c>
      <c r="C593" s="8">
        <v>1888</v>
      </c>
      <c r="D593" s="9">
        <v>45432</v>
      </c>
      <c r="E593" s="13" t="str">
        <f>+HYPERLINK("http://trademark.i-assist.jp/data/china/image_1888th/76805511.pdf","76805511")</f>
        <v>76805511</v>
      </c>
      <c r="F593" s="7" t="s">
        <v>1678</v>
      </c>
      <c r="G593" s="7" t="s">
        <v>1667</v>
      </c>
      <c r="H593" s="7" t="s">
        <v>1679</v>
      </c>
      <c r="I593" s="9">
        <v>45328</v>
      </c>
    </row>
    <row r="594" spans="1:9" x14ac:dyDescent="0.15">
      <c r="A594" s="6">
        <v>593</v>
      </c>
      <c r="B594" s="7" t="s">
        <v>10</v>
      </c>
      <c r="C594" s="8">
        <v>1888</v>
      </c>
      <c r="D594" s="9">
        <v>45432</v>
      </c>
      <c r="E594" s="13" t="str">
        <f>+HYPERLINK("http://trademark.i-assist.jp/data/china/image_1888th/76805833.pdf","76805833")</f>
        <v>76805833</v>
      </c>
      <c r="F594" s="7" t="s">
        <v>1680</v>
      </c>
      <c r="G594" s="7" t="s">
        <v>1667</v>
      </c>
      <c r="H594" s="7" t="s">
        <v>1681</v>
      </c>
      <c r="I594" s="9">
        <v>45328</v>
      </c>
    </row>
    <row r="595" spans="1:9" x14ac:dyDescent="0.15">
      <c r="A595" s="6">
        <v>594</v>
      </c>
      <c r="B595" s="7" t="s">
        <v>10</v>
      </c>
      <c r="C595" s="8">
        <v>1888</v>
      </c>
      <c r="D595" s="9">
        <v>45432</v>
      </c>
      <c r="E595" s="13" t="str">
        <f>+HYPERLINK("http://trademark.i-assist.jp/data/china/image_1888th/76807014.pdf","76807014")</f>
        <v>76807014</v>
      </c>
      <c r="F595" s="7" t="s">
        <v>1682</v>
      </c>
      <c r="G595" s="7" t="s">
        <v>1683</v>
      </c>
      <c r="H595" s="7" t="s">
        <v>1684</v>
      </c>
      <c r="I595" s="9">
        <v>45328</v>
      </c>
    </row>
    <row r="596" spans="1:9" x14ac:dyDescent="0.15">
      <c r="A596" s="6">
        <v>595</v>
      </c>
      <c r="B596" s="7" t="s">
        <v>10</v>
      </c>
      <c r="C596" s="8">
        <v>1888</v>
      </c>
      <c r="D596" s="9">
        <v>45432</v>
      </c>
      <c r="E596" s="13" t="str">
        <f>+HYPERLINK("http://trademark.i-assist.jp/data/china/image_1888th/76807122.pdf","76807122")</f>
        <v>76807122</v>
      </c>
      <c r="F596" s="7" t="s">
        <v>1685</v>
      </c>
      <c r="G596" s="7" t="s">
        <v>1664</v>
      </c>
      <c r="H596" s="7" t="s">
        <v>1686</v>
      </c>
      <c r="I596" s="9">
        <v>45328</v>
      </c>
    </row>
    <row r="597" spans="1:9" x14ac:dyDescent="0.15">
      <c r="A597" s="6">
        <v>596</v>
      </c>
      <c r="B597" s="7" t="s">
        <v>10</v>
      </c>
      <c r="C597" s="8">
        <v>1888</v>
      </c>
      <c r="D597" s="9">
        <v>45432</v>
      </c>
      <c r="E597" s="13" t="str">
        <f>+HYPERLINK("http://trademark.i-assist.jp/data/china/image_1888th/76808770.pdf","76808770")</f>
        <v>76808770</v>
      </c>
      <c r="F597" s="7" t="s">
        <v>1687</v>
      </c>
      <c r="G597" s="7" t="s">
        <v>1688</v>
      </c>
      <c r="H597" s="7" t="s">
        <v>1689</v>
      </c>
      <c r="I597" s="9">
        <v>45328</v>
      </c>
    </row>
    <row r="598" spans="1:9" x14ac:dyDescent="0.15">
      <c r="A598" s="6">
        <v>597</v>
      </c>
      <c r="B598" s="7" t="s">
        <v>10</v>
      </c>
      <c r="C598" s="8">
        <v>1888</v>
      </c>
      <c r="D598" s="9">
        <v>45432</v>
      </c>
      <c r="E598" s="13" t="str">
        <f>+HYPERLINK("http://trademark.i-assist.jp/data/china/image_1888th/76809070.pdf","76809070")</f>
        <v>76809070</v>
      </c>
      <c r="F598" s="7" t="s">
        <v>1690</v>
      </c>
      <c r="G598" s="7" t="s">
        <v>1691</v>
      </c>
      <c r="H598" s="7" t="s">
        <v>1692</v>
      </c>
      <c r="I598" s="9">
        <v>45328</v>
      </c>
    </row>
    <row r="599" spans="1:9" x14ac:dyDescent="0.15">
      <c r="A599" s="6">
        <v>598</v>
      </c>
      <c r="B599" s="7" t="s">
        <v>10</v>
      </c>
      <c r="C599" s="8">
        <v>1888</v>
      </c>
      <c r="D599" s="9">
        <v>45432</v>
      </c>
      <c r="E599" s="13" t="str">
        <f>+HYPERLINK("http://trademark.i-assist.jp/data/china/image_1888th/76809073.pdf","76809073")</f>
        <v>76809073</v>
      </c>
      <c r="F599" s="7" t="s">
        <v>1693</v>
      </c>
      <c r="G599" s="7" t="s">
        <v>1694</v>
      </c>
      <c r="H599" s="7" t="s">
        <v>1695</v>
      </c>
      <c r="I599" s="9">
        <v>45328</v>
      </c>
    </row>
    <row r="600" spans="1:9" ht="27" x14ac:dyDescent="0.15">
      <c r="A600" s="6">
        <v>599</v>
      </c>
      <c r="B600" s="7" t="s">
        <v>10</v>
      </c>
      <c r="C600" s="8">
        <v>1888</v>
      </c>
      <c r="D600" s="9">
        <v>45432</v>
      </c>
      <c r="E600" s="13" t="str">
        <f>+HYPERLINK("http://trademark.i-assist.jp/data/china/image_1888th/76809778.pdf","76809778")</f>
        <v>76809778</v>
      </c>
      <c r="F600" s="7" t="s">
        <v>1696</v>
      </c>
      <c r="G600" s="7" t="s">
        <v>1697</v>
      </c>
      <c r="H600" s="7" t="s">
        <v>1698</v>
      </c>
      <c r="I600" s="9">
        <v>45328</v>
      </c>
    </row>
    <row r="601" spans="1:9" x14ac:dyDescent="0.15">
      <c r="A601" s="6">
        <v>600</v>
      </c>
      <c r="B601" s="7" t="s">
        <v>10</v>
      </c>
      <c r="C601" s="8">
        <v>1888</v>
      </c>
      <c r="D601" s="9">
        <v>45432</v>
      </c>
      <c r="E601" s="13" t="str">
        <f>+HYPERLINK("http://trademark.i-assist.jp/data/china/image_1888th/76810199.pdf","76810199")</f>
        <v>76810199</v>
      </c>
      <c r="F601" s="7" t="s">
        <v>1699</v>
      </c>
      <c r="G601" s="7" t="s">
        <v>1700</v>
      </c>
      <c r="H601" s="7" t="s">
        <v>13</v>
      </c>
      <c r="I601" s="9">
        <v>45328</v>
      </c>
    </row>
    <row r="602" spans="1:9" x14ac:dyDescent="0.15">
      <c r="A602" s="6">
        <v>601</v>
      </c>
      <c r="B602" s="7" t="s">
        <v>10</v>
      </c>
      <c r="C602" s="8">
        <v>1888</v>
      </c>
      <c r="D602" s="9">
        <v>45432</v>
      </c>
      <c r="E602" s="13" t="str">
        <f>+HYPERLINK("http://trademark.i-assist.jp/data/china/image_1888th/76810746.pdf","76810746")</f>
        <v>76810746</v>
      </c>
      <c r="F602" s="7" t="s">
        <v>1701</v>
      </c>
      <c r="G602" s="7" t="s">
        <v>1702</v>
      </c>
      <c r="H602" s="7" t="s">
        <v>1703</v>
      </c>
      <c r="I602" s="9">
        <v>45328</v>
      </c>
    </row>
    <row r="603" spans="1:9" ht="27" x14ac:dyDescent="0.15">
      <c r="A603" s="6">
        <v>602</v>
      </c>
      <c r="B603" s="7" t="s">
        <v>10</v>
      </c>
      <c r="C603" s="8">
        <v>1888</v>
      </c>
      <c r="D603" s="9">
        <v>45432</v>
      </c>
      <c r="E603" s="13" t="str">
        <f>+HYPERLINK("http://trademark.i-assist.jp/data/china/image_1888th/76810937.pdf","76810937")</f>
        <v>76810937</v>
      </c>
      <c r="F603" s="7" t="s">
        <v>1704</v>
      </c>
      <c r="G603" s="7" t="s">
        <v>1705</v>
      </c>
      <c r="H603" s="7" t="s">
        <v>1706</v>
      </c>
      <c r="I603" s="9">
        <v>45328</v>
      </c>
    </row>
    <row r="604" spans="1:9" ht="27" x14ac:dyDescent="0.15">
      <c r="A604" s="6">
        <v>603</v>
      </c>
      <c r="B604" s="7" t="s">
        <v>10</v>
      </c>
      <c r="C604" s="8">
        <v>1888</v>
      </c>
      <c r="D604" s="9">
        <v>45432</v>
      </c>
      <c r="E604" s="13" t="str">
        <f>+HYPERLINK("http://trademark.i-assist.jp/data/china/image_1888th/76811728.pdf","76811728")</f>
        <v>76811728</v>
      </c>
      <c r="F604" s="7" t="s">
        <v>1707</v>
      </c>
      <c r="G604" s="7" t="s">
        <v>1659</v>
      </c>
      <c r="H604" s="7" t="s">
        <v>1708</v>
      </c>
      <c r="I604" s="9">
        <v>45328</v>
      </c>
    </row>
    <row r="605" spans="1:9" x14ac:dyDescent="0.15">
      <c r="A605" s="6">
        <v>604</v>
      </c>
      <c r="B605" s="7" t="s">
        <v>10</v>
      </c>
      <c r="C605" s="8">
        <v>1888</v>
      </c>
      <c r="D605" s="9">
        <v>45432</v>
      </c>
      <c r="E605" s="13" t="str">
        <f>+HYPERLINK("http://trademark.i-assist.jp/data/china/image_1888th/76813153.pdf","76813153")</f>
        <v>76813153</v>
      </c>
      <c r="F605" s="7" t="s">
        <v>1709</v>
      </c>
      <c r="G605" s="7" t="s">
        <v>1710</v>
      </c>
      <c r="H605" s="7" t="s">
        <v>1711</v>
      </c>
      <c r="I605" s="9">
        <v>45329</v>
      </c>
    </row>
    <row r="606" spans="1:9" x14ac:dyDescent="0.15">
      <c r="A606" s="6">
        <v>605</v>
      </c>
      <c r="B606" s="7" t="s">
        <v>10</v>
      </c>
      <c r="C606" s="8">
        <v>1888</v>
      </c>
      <c r="D606" s="9">
        <v>45432</v>
      </c>
      <c r="E606" s="13" t="str">
        <f>+HYPERLINK("http://trademark.i-assist.jp/data/china/image_1888th/76813674.pdf","76813674")</f>
        <v>76813674</v>
      </c>
      <c r="F606" s="7" t="s">
        <v>1712</v>
      </c>
      <c r="G606" s="7" t="s">
        <v>1156</v>
      </c>
      <c r="H606" s="7" t="s">
        <v>1713</v>
      </c>
      <c r="I606" s="9">
        <v>45329</v>
      </c>
    </row>
    <row r="607" spans="1:9" x14ac:dyDescent="0.15">
      <c r="A607" s="6">
        <v>606</v>
      </c>
      <c r="B607" s="7" t="s">
        <v>10</v>
      </c>
      <c r="C607" s="8">
        <v>1888</v>
      </c>
      <c r="D607" s="9">
        <v>45432</v>
      </c>
      <c r="E607" s="13" t="str">
        <f>+HYPERLINK("http://trademark.i-assist.jp/data/china/image_1888th/76813685.pdf","76813685")</f>
        <v>76813685</v>
      </c>
      <c r="F607" s="7" t="s">
        <v>1714</v>
      </c>
      <c r="G607" s="7" t="s">
        <v>1715</v>
      </c>
      <c r="H607" s="7" t="s">
        <v>1716</v>
      </c>
      <c r="I607" s="9">
        <v>45329</v>
      </c>
    </row>
    <row r="608" spans="1:9" x14ac:dyDescent="0.15">
      <c r="A608" s="6">
        <v>607</v>
      </c>
      <c r="B608" s="7" t="s">
        <v>10</v>
      </c>
      <c r="C608" s="8">
        <v>1888</v>
      </c>
      <c r="D608" s="9">
        <v>45432</v>
      </c>
      <c r="E608" s="13" t="str">
        <f>+HYPERLINK("http://trademark.i-assist.jp/data/china/image_1888th/76813686.pdf","76813686")</f>
        <v>76813686</v>
      </c>
      <c r="F608" s="7" t="s">
        <v>1717</v>
      </c>
      <c r="G608" s="7" t="s">
        <v>1718</v>
      </c>
      <c r="H608" s="7" t="s">
        <v>1719</v>
      </c>
      <c r="I608" s="9">
        <v>45329</v>
      </c>
    </row>
    <row r="609" spans="1:9" x14ac:dyDescent="0.15">
      <c r="A609" s="6">
        <v>608</v>
      </c>
      <c r="B609" s="7" t="s">
        <v>10</v>
      </c>
      <c r="C609" s="8">
        <v>1888</v>
      </c>
      <c r="D609" s="9">
        <v>45432</v>
      </c>
      <c r="E609" s="13" t="str">
        <f>+HYPERLINK("http://trademark.i-assist.jp/data/china/image_1888th/76814059.pdf","76814059")</f>
        <v>76814059</v>
      </c>
      <c r="F609" s="7" t="s">
        <v>1720</v>
      </c>
      <c r="G609" s="7" t="s">
        <v>1721</v>
      </c>
      <c r="H609" s="7" t="s">
        <v>1722</v>
      </c>
      <c r="I609" s="9">
        <v>45329</v>
      </c>
    </row>
    <row r="610" spans="1:9" x14ac:dyDescent="0.15">
      <c r="A610" s="6">
        <v>609</v>
      </c>
      <c r="B610" s="7" t="s">
        <v>10</v>
      </c>
      <c r="C610" s="8">
        <v>1888</v>
      </c>
      <c r="D610" s="9">
        <v>45432</v>
      </c>
      <c r="E610" s="13" t="str">
        <f>+HYPERLINK("http://trademark.i-assist.jp/data/china/image_1888th/76814597.pdf","76814597")</f>
        <v>76814597</v>
      </c>
      <c r="F610" s="7" t="s">
        <v>1723</v>
      </c>
      <c r="G610" s="7" t="s">
        <v>1724</v>
      </c>
      <c r="H610" s="7" t="s">
        <v>1725</v>
      </c>
      <c r="I610" s="9">
        <v>45329</v>
      </c>
    </row>
    <row r="611" spans="1:9" x14ac:dyDescent="0.15">
      <c r="A611" s="6">
        <v>610</v>
      </c>
      <c r="B611" s="7" t="s">
        <v>10</v>
      </c>
      <c r="C611" s="8">
        <v>1888</v>
      </c>
      <c r="D611" s="9">
        <v>45432</v>
      </c>
      <c r="E611" s="13" t="str">
        <f>+HYPERLINK("http://trademark.i-assist.jp/data/china/image_1888th/76815041.pdf","76815041")</f>
        <v>76815041</v>
      </c>
      <c r="F611" s="7" t="s">
        <v>1726</v>
      </c>
      <c r="G611" s="7" t="s">
        <v>1727</v>
      </c>
      <c r="H611" s="7" t="s">
        <v>1728</v>
      </c>
      <c r="I611" s="9">
        <v>45329</v>
      </c>
    </row>
    <row r="612" spans="1:9" x14ac:dyDescent="0.15">
      <c r="A612" s="6">
        <v>611</v>
      </c>
      <c r="B612" s="7" t="s">
        <v>10</v>
      </c>
      <c r="C612" s="8">
        <v>1888</v>
      </c>
      <c r="D612" s="9">
        <v>45432</v>
      </c>
      <c r="E612" s="13" t="str">
        <f>+HYPERLINK("http://trademark.i-assist.jp/data/china/image_1888th/76815341.pdf","76815341")</f>
        <v>76815341</v>
      </c>
      <c r="F612" s="7" t="s">
        <v>1729</v>
      </c>
      <c r="G612" s="7" t="s">
        <v>1718</v>
      </c>
      <c r="H612" s="7" t="s">
        <v>1730</v>
      </c>
      <c r="I612" s="9">
        <v>45329</v>
      </c>
    </row>
    <row r="613" spans="1:9" x14ac:dyDescent="0.15">
      <c r="A613" s="6">
        <v>612</v>
      </c>
      <c r="B613" s="7" t="s">
        <v>10</v>
      </c>
      <c r="C613" s="8">
        <v>1888</v>
      </c>
      <c r="D613" s="9">
        <v>45432</v>
      </c>
      <c r="E613" s="13" t="str">
        <f>+HYPERLINK("http://trademark.i-assist.jp/data/china/image_1888th/76816350.pdf","76816350")</f>
        <v>76816350</v>
      </c>
      <c r="F613" s="7" t="s">
        <v>1731</v>
      </c>
      <c r="G613" s="7" t="s">
        <v>1732</v>
      </c>
      <c r="H613" s="7" t="s">
        <v>1733</v>
      </c>
      <c r="I613" s="9">
        <v>45329</v>
      </c>
    </row>
    <row r="614" spans="1:9" x14ac:dyDescent="0.15">
      <c r="A614" s="6">
        <v>613</v>
      </c>
      <c r="B614" s="7" t="s">
        <v>10</v>
      </c>
      <c r="C614" s="8">
        <v>1888</v>
      </c>
      <c r="D614" s="9">
        <v>45432</v>
      </c>
      <c r="E614" s="13" t="str">
        <f>+HYPERLINK("http://trademark.i-assist.jp/data/china/image_1888th/76816417.pdf","76816417")</f>
        <v>76816417</v>
      </c>
      <c r="F614" s="7" t="s">
        <v>1734</v>
      </c>
      <c r="G614" s="7" t="s">
        <v>1735</v>
      </c>
      <c r="H614" s="7" t="s">
        <v>1736</v>
      </c>
      <c r="I614" s="9">
        <v>45329</v>
      </c>
    </row>
    <row r="615" spans="1:9" x14ac:dyDescent="0.15">
      <c r="A615" s="6">
        <v>614</v>
      </c>
      <c r="B615" s="7" t="s">
        <v>10</v>
      </c>
      <c r="C615" s="8">
        <v>1888</v>
      </c>
      <c r="D615" s="9">
        <v>45432</v>
      </c>
      <c r="E615" s="13" t="str">
        <f>+HYPERLINK("http://trademark.i-assist.jp/data/china/image_1888th/76816590.pdf","76816590")</f>
        <v>76816590</v>
      </c>
      <c r="F615" s="7" t="s">
        <v>1737</v>
      </c>
      <c r="G615" s="7" t="s">
        <v>1738</v>
      </c>
      <c r="H615" s="7" t="s">
        <v>1739</v>
      </c>
      <c r="I615" s="9">
        <v>45329</v>
      </c>
    </row>
    <row r="616" spans="1:9" x14ac:dyDescent="0.15">
      <c r="A616" s="6">
        <v>615</v>
      </c>
      <c r="B616" s="7" t="s">
        <v>10</v>
      </c>
      <c r="C616" s="8">
        <v>1888</v>
      </c>
      <c r="D616" s="9">
        <v>45432</v>
      </c>
      <c r="E616" s="13" t="str">
        <f>+HYPERLINK("http://trademark.i-assist.jp/data/china/image_1888th/76816818.pdf","76816818")</f>
        <v>76816818</v>
      </c>
      <c r="F616" s="7" t="s">
        <v>1740</v>
      </c>
      <c r="G616" s="7" t="s">
        <v>1718</v>
      </c>
      <c r="H616" s="7" t="s">
        <v>1741</v>
      </c>
      <c r="I616" s="9">
        <v>45329</v>
      </c>
    </row>
    <row r="617" spans="1:9" x14ac:dyDescent="0.15">
      <c r="A617" s="6">
        <v>616</v>
      </c>
      <c r="B617" s="7" t="s">
        <v>10</v>
      </c>
      <c r="C617" s="8">
        <v>1888</v>
      </c>
      <c r="D617" s="9">
        <v>45432</v>
      </c>
      <c r="E617" s="13" t="str">
        <f>+HYPERLINK("http://trademark.i-assist.jp/data/china/image_1888th/76817076.pdf","76817076")</f>
        <v>76817076</v>
      </c>
      <c r="F617" s="7" t="s">
        <v>1742</v>
      </c>
      <c r="G617" s="7" t="s">
        <v>1743</v>
      </c>
      <c r="H617" s="7" t="s">
        <v>1744</v>
      </c>
      <c r="I617" s="9">
        <v>45329</v>
      </c>
    </row>
    <row r="618" spans="1:9" x14ac:dyDescent="0.15">
      <c r="A618" s="6">
        <v>617</v>
      </c>
      <c r="B618" s="7" t="s">
        <v>10</v>
      </c>
      <c r="C618" s="8">
        <v>1888</v>
      </c>
      <c r="D618" s="9">
        <v>45432</v>
      </c>
      <c r="E618" s="13" t="str">
        <f>+HYPERLINK("http://trademark.i-assist.jp/data/china/image_1888th/76817153.pdf","76817153")</f>
        <v>76817153</v>
      </c>
      <c r="F618" s="7" t="s">
        <v>1745</v>
      </c>
      <c r="G618" s="7" t="s">
        <v>1746</v>
      </c>
      <c r="H618" s="7" t="s">
        <v>1747</v>
      </c>
      <c r="I618" s="9">
        <v>45329</v>
      </c>
    </row>
    <row r="619" spans="1:9" x14ac:dyDescent="0.15">
      <c r="A619" s="6">
        <v>618</v>
      </c>
      <c r="B619" s="7" t="s">
        <v>10</v>
      </c>
      <c r="C619" s="8">
        <v>1888</v>
      </c>
      <c r="D619" s="9">
        <v>45432</v>
      </c>
      <c r="E619" s="13" t="str">
        <f>+HYPERLINK("http://trademark.i-assist.jp/data/china/image_1888th/76818307.pdf","76818307")</f>
        <v>76818307</v>
      </c>
      <c r="F619" s="7" t="s">
        <v>1748</v>
      </c>
      <c r="G619" s="7" t="s">
        <v>1718</v>
      </c>
      <c r="H619" s="7" t="s">
        <v>1749</v>
      </c>
      <c r="I619" s="9">
        <v>45329</v>
      </c>
    </row>
    <row r="620" spans="1:9" x14ac:dyDescent="0.15">
      <c r="A620" s="6">
        <v>619</v>
      </c>
      <c r="B620" s="7" t="s">
        <v>10</v>
      </c>
      <c r="C620" s="8">
        <v>1888</v>
      </c>
      <c r="D620" s="9">
        <v>45432</v>
      </c>
      <c r="E620" s="13" t="str">
        <f>+HYPERLINK("http://trademark.i-assist.jp/data/china/image_1888th/76818568.pdf","76818568")</f>
        <v>76818568</v>
      </c>
      <c r="F620" s="7" t="s">
        <v>1750</v>
      </c>
      <c r="G620" s="7" t="s">
        <v>1727</v>
      </c>
      <c r="H620" s="7" t="s">
        <v>1751</v>
      </c>
      <c r="I620" s="9">
        <v>45329</v>
      </c>
    </row>
    <row r="621" spans="1:9" x14ac:dyDescent="0.15">
      <c r="A621" s="6">
        <v>620</v>
      </c>
      <c r="B621" s="7" t="s">
        <v>10</v>
      </c>
      <c r="C621" s="8">
        <v>1888</v>
      </c>
      <c r="D621" s="9">
        <v>45432</v>
      </c>
      <c r="E621" s="13" t="str">
        <f>+HYPERLINK("http://trademark.i-assist.jp/data/china/image_1888th/76819594.pdf","76819594")</f>
        <v>76819594</v>
      </c>
      <c r="F621" s="7" t="s">
        <v>76</v>
      </c>
      <c r="G621" s="7" t="s">
        <v>1752</v>
      </c>
      <c r="H621" s="7" t="s">
        <v>1753</v>
      </c>
      <c r="I621" s="9">
        <v>45329</v>
      </c>
    </row>
    <row r="622" spans="1:9" x14ac:dyDescent="0.15">
      <c r="A622" s="6">
        <v>621</v>
      </c>
      <c r="B622" s="7" t="s">
        <v>10</v>
      </c>
      <c r="C622" s="8">
        <v>1888</v>
      </c>
      <c r="D622" s="9">
        <v>45432</v>
      </c>
      <c r="E622" s="13" t="str">
        <f>+HYPERLINK("http://trademark.i-assist.jp/data/china/image_1888th/76819612.pdf","76819612")</f>
        <v>76819612</v>
      </c>
      <c r="F622" s="7" t="s">
        <v>1754</v>
      </c>
      <c r="G622" s="7" t="s">
        <v>1755</v>
      </c>
      <c r="H622" s="7" t="s">
        <v>1756</v>
      </c>
      <c r="I622" s="9">
        <v>45329</v>
      </c>
    </row>
    <row r="623" spans="1:9" x14ac:dyDescent="0.15">
      <c r="A623" s="6">
        <v>622</v>
      </c>
      <c r="B623" s="7" t="s">
        <v>10</v>
      </c>
      <c r="C623" s="8">
        <v>1888</v>
      </c>
      <c r="D623" s="9">
        <v>45432</v>
      </c>
      <c r="E623" s="13" t="str">
        <f>+HYPERLINK("http://trademark.i-assist.jp/data/china/image_1888th/76820649.pdf","76820649")</f>
        <v>76820649</v>
      </c>
      <c r="F623" s="7" t="s">
        <v>1757</v>
      </c>
      <c r="G623" s="7" t="s">
        <v>1758</v>
      </c>
      <c r="H623" s="7" t="s">
        <v>1759</v>
      </c>
      <c r="I623" s="9">
        <v>45329</v>
      </c>
    </row>
    <row r="624" spans="1:9" x14ac:dyDescent="0.15">
      <c r="A624" s="6">
        <v>623</v>
      </c>
      <c r="B624" s="7" t="s">
        <v>10</v>
      </c>
      <c r="C624" s="8">
        <v>1888</v>
      </c>
      <c r="D624" s="9">
        <v>45432</v>
      </c>
      <c r="E624" s="13" t="str">
        <f>+HYPERLINK("http://trademark.i-assist.jp/data/china/image_1888th/76820939.pdf","76820939")</f>
        <v>76820939</v>
      </c>
      <c r="F624" s="7" t="s">
        <v>1760</v>
      </c>
      <c r="G624" s="7" t="s">
        <v>1761</v>
      </c>
      <c r="H624" s="7" t="s">
        <v>1762</v>
      </c>
      <c r="I624" s="9">
        <v>45329</v>
      </c>
    </row>
    <row r="625" spans="1:9" x14ac:dyDescent="0.15">
      <c r="A625" s="6">
        <v>624</v>
      </c>
      <c r="B625" s="7" t="s">
        <v>10</v>
      </c>
      <c r="C625" s="8">
        <v>1888</v>
      </c>
      <c r="D625" s="9">
        <v>45432</v>
      </c>
      <c r="E625" s="13" t="str">
        <f>+HYPERLINK("http://trademark.i-assist.jp/data/china/image_1888th/76821236.pdf","76821236")</f>
        <v>76821236</v>
      </c>
      <c r="F625" s="7" t="s">
        <v>1763</v>
      </c>
      <c r="G625" s="7" t="s">
        <v>1764</v>
      </c>
      <c r="H625" s="7" t="s">
        <v>1765</v>
      </c>
      <c r="I625" s="9">
        <v>45329</v>
      </c>
    </row>
    <row r="626" spans="1:9" x14ac:dyDescent="0.15">
      <c r="A626" s="6">
        <v>625</v>
      </c>
      <c r="B626" s="7" t="s">
        <v>10</v>
      </c>
      <c r="C626" s="8">
        <v>1888</v>
      </c>
      <c r="D626" s="9">
        <v>45432</v>
      </c>
      <c r="E626" s="13" t="str">
        <f>+HYPERLINK("http://trademark.i-assist.jp/data/china/image_1888th/76821320.pdf","76821320")</f>
        <v>76821320</v>
      </c>
      <c r="F626" s="7" t="s">
        <v>1766</v>
      </c>
      <c r="G626" s="7" t="s">
        <v>1767</v>
      </c>
      <c r="H626" s="7" t="s">
        <v>1768</v>
      </c>
      <c r="I626" s="9">
        <v>45330</v>
      </c>
    </row>
    <row r="627" spans="1:9" x14ac:dyDescent="0.15">
      <c r="A627" s="6">
        <v>626</v>
      </c>
      <c r="B627" s="7" t="s">
        <v>10</v>
      </c>
      <c r="C627" s="8">
        <v>1888</v>
      </c>
      <c r="D627" s="9">
        <v>45432</v>
      </c>
      <c r="E627" s="13" t="str">
        <f>+HYPERLINK("http://trademark.i-assist.jp/data/china/image_1888th/76821364.pdf","76821364")</f>
        <v>76821364</v>
      </c>
      <c r="F627" s="7" t="s">
        <v>1769</v>
      </c>
      <c r="G627" s="7" t="s">
        <v>1770</v>
      </c>
      <c r="H627" s="7" t="s">
        <v>1771</v>
      </c>
      <c r="I627" s="9">
        <v>45330</v>
      </c>
    </row>
    <row r="628" spans="1:9" x14ac:dyDescent="0.15">
      <c r="A628" s="6">
        <v>627</v>
      </c>
      <c r="B628" s="7" t="s">
        <v>10</v>
      </c>
      <c r="C628" s="8">
        <v>1888</v>
      </c>
      <c r="D628" s="9">
        <v>45432</v>
      </c>
      <c r="E628" s="13" t="str">
        <f>+HYPERLINK("http://trademark.i-assist.jp/data/china/image_1888th/76821842.pdf","76821842")</f>
        <v>76821842</v>
      </c>
      <c r="F628" s="7" t="s">
        <v>1772</v>
      </c>
      <c r="G628" s="7" t="s">
        <v>1773</v>
      </c>
      <c r="H628" s="7" t="s">
        <v>1774</v>
      </c>
      <c r="I628" s="9">
        <v>45330</v>
      </c>
    </row>
    <row r="629" spans="1:9" x14ac:dyDescent="0.15">
      <c r="A629" s="6">
        <v>628</v>
      </c>
      <c r="B629" s="7" t="s">
        <v>10</v>
      </c>
      <c r="C629" s="8">
        <v>1888</v>
      </c>
      <c r="D629" s="9">
        <v>45432</v>
      </c>
      <c r="E629" s="13" t="str">
        <f>+HYPERLINK("http://trademark.i-assist.jp/data/china/image_1888th/76821890.pdf","76821890")</f>
        <v>76821890</v>
      </c>
      <c r="F629" s="7" t="s">
        <v>76</v>
      </c>
      <c r="G629" s="7" t="s">
        <v>1775</v>
      </c>
      <c r="H629" s="7" t="s">
        <v>1776</v>
      </c>
      <c r="I629" s="9">
        <v>45330</v>
      </c>
    </row>
    <row r="630" spans="1:9" x14ac:dyDescent="0.15">
      <c r="A630" s="6">
        <v>629</v>
      </c>
      <c r="B630" s="7" t="s">
        <v>10</v>
      </c>
      <c r="C630" s="8">
        <v>1888</v>
      </c>
      <c r="D630" s="9">
        <v>45432</v>
      </c>
      <c r="E630" s="13" t="str">
        <f>+HYPERLINK("http://trademark.i-assist.jp/data/china/image_1888th/76822634.pdf","76822634")</f>
        <v>76822634</v>
      </c>
      <c r="F630" s="7" t="s">
        <v>1777</v>
      </c>
      <c r="G630" s="7" t="s">
        <v>1778</v>
      </c>
      <c r="H630" s="7" t="s">
        <v>1779</v>
      </c>
      <c r="I630" s="9">
        <v>45330</v>
      </c>
    </row>
    <row r="631" spans="1:9" x14ac:dyDescent="0.15">
      <c r="A631" s="6">
        <v>630</v>
      </c>
      <c r="B631" s="7" t="s">
        <v>10</v>
      </c>
      <c r="C631" s="8">
        <v>1888</v>
      </c>
      <c r="D631" s="9">
        <v>45432</v>
      </c>
      <c r="E631" s="13" t="str">
        <f>+HYPERLINK("http://trademark.i-assist.jp/data/china/image_1888th/76822652.pdf","76822652")</f>
        <v>76822652</v>
      </c>
      <c r="F631" s="7" t="s">
        <v>1780</v>
      </c>
      <c r="G631" s="7" t="s">
        <v>1781</v>
      </c>
      <c r="H631" s="7" t="s">
        <v>1782</v>
      </c>
      <c r="I631" s="9">
        <v>45330</v>
      </c>
    </row>
    <row r="632" spans="1:9" ht="27" x14ac:dyDescent="0.15">
      <c r="A632" s="6">
        <v>631</v>
      </c>
      <c r="B632" s="7" t="s">
        <v>10</v>
      </c>
      <c r="C632" s="8">
        <v>1888</v>
      </c>
      <c r="D632" s="9">
        <v>45432</v>
      </c>
      <c r="E632" s="13" t="str">
        <f>+HYPERLINK("http://trademark.i-assist.jp/data/china/image_1888th/76823859.pdf","76823859")</f>
        <v>76823859</v>
      </c>
      <c r="F632" s="7" t="s">
        <v>1783</v>
      </c>
      <c r="G632" s="7" t="s">
        <v>1108</v>
      </c>
      <c r="H632" s="7" t="s">
        <v>1784</v>
      </c>
      <c r="I632" s="9">
        <v>45330</v>
      </c>
    </row>
    <row r="633" spans="1:9" x14ac:dyDescent="0.15">
      <c r="A633" s="6">
        <v>632</v>
      </c>
      <c r="B633" s="7" t="s">
        <v>10</v>
      </c>
      <c r="C633" s="8">
        <v>1888</v>
      </c>
      <c r="D633" s="9">
        <v>45432</v>
      </c>
      <c r="E633" s="13" t="str">
        <f>+HYPERLINK("http://trademark.i-assist.jp/data/china/image_1888th/76824152.pdf","76824152")</f>
        <v>76824152</v>
      </c>
      <c r="F633" s="7" t="s">
        <v>1785</v>
      </c>
      <c r="G633" s="7" t="s">
        <v>1786</v>
      </c>
      <c r="H633" s="7" t="s">
        <v>1787</v>
      </c>
      <c r="I633" s="9">
        <v>45330</v>
      </c>
    </row>
    <row r="634" spans="1:9" x14ac:dyDescent="0.15">
      <c r="A634" s="6">
        <v>633</v>
      </c>
      <c r="B634" s="7" t="s">
        <v>10</v>
      </c>
      <c r="C634" s="8">
        <v>1888</v>
      </c>
      <c r="D634" s="9">
        <v>45432</v>
      </c>
      <c r="E634" s="13" t="str">
        <f>+HYPERLINK("http://trademark.i-assist.jp/data/china/image_1888th/76824206.pdf","76824206")</f>
        <v>76824206</v>
      </c>
      <c r="F634" s="7" t="s">
        <v>1788</v>
      </c>
      <c r="G634" s="7" t="s">
        <v>1789</v>
      </c>
      <c r="H634" s="7" t="s">
        <v>1790</v>
      </c>
      <c r="I634" s="9">
        <v>45330</v>
      </c>
    </row>
    <row r="635" spans="1:9" x14ac:dyDescent="0.15">
      <c r="A635" s="6">
        <v>634</v>
      </c>
      <c r="B635" s="7" t="s">
        <v>10</v>
      </c>
      <c r="C635" s="8">
        <v>1888</v>
      </c>
      <c r="D635" s="9">
        <v>45432</v>
      </c>
      <c r="E635" s="13" t="str">
        <f>+HYPERLINK("http://trademark.i-assist.jp/data/china/image_1888th/76824213.pdf","76824213")</f>
        <v>76824213</v>
      </c>
      <c r="F635" s="7" t="s">
        <v>1791</v>
      </c>
      <c r="G635" s="7" t="s">
        <v>1789</v>
      </c>
      <c r="H635" s="7" t="s">
        <v>1792</v>
      </c>
      <c r="I635" s="9">
        <v>45330</v>
      </c>
    </row>
    <row r="636" spans="1:9" x14ac:dyDescent="0.15">
      <c r="A636" s="6">
        <v>635</v>
      </c>
      <c r="B636" s="7" t="s">
        <v>10</v>
      </c>
      <c r="C636" s="8">
        <v>1888</v>
      </c>
      <c r="D636" s="9">
        <v>45432</v>
      </c>
      <c r="E636" s="13" t="str">
        <f>+HYPERLINK("http://trademark.i-assist.jp/data/china/image_1888th/76824740.pdf","76824740")</f>
        <v>76824740</v>
      </c>
      <c r="F636" s="7" t="s">
        <v>1793</v>
      </c>
      <c r="G636" s="7" t="s">
        <v>1789</v>
      </c>
      <c r="H636" s="7" t="s">
        <v>1794</v>
      </c>
      <c r="I636" s="9">
        <v>45330</v>
      </c>
    </row>
    <row r="637" spans="1:9" x14ac:dyDescent="0.15">
      <c r="A637" s="6">
        <v>636</v>
      </c>
      <c r="B637" s="7" t="s">
        <v>10</v>
      </c>
      <c r="C637" s="8">
        <v>1888</v>
      </c>
      <c r="D637" s="9">
        <v>45432</v>
      </c>
      <c r="E637" s="13" t="str">
        <f>+HYPERLINK("http://trademark.i-assist.jp/data/china/image_1888th/76825065.pdf","76825065")</f>
        <v>76825065</v>
      </c>
      <c r="F637" s="7" t="s">
        <v>1795</v>
      </c>
      <c r="G637" s="7" t="s">
        <v>1796</v>
      </c>
      <c r="H637" s="7" t="s">
        <v>1797</v>
      </c>
      <c r="I637" s="9">
        <v>45330</v>
      </c>
    </row>
    <row r="638" spans="1:9" x14ac:dyDescent="0.15">
      <c r="A638" s="6">
        <v>637</v>
      </c>
      <c r="B638" s="7" t="s">
        <v>10</v>
      </c>
      <c r="C638" s="8">
        <v>1888</v>
      </c>
      <c r="D638" s="9">
        <v>45432</v>
      </c>
      <c r="E638" s="13" t="str">
        <f>+HYPERLINK("http://trademark.i-assist.jp/data/china/image_1888th/76825068.pdf","76825068")</f>
        <v>76825068</v>
      </c>
      <c r="F638" s="7" t="s">
        <v>1798</v>
      </c>
      <c r="G638" s="7" t="s">
        <v>1781</v>
      </c>
      <c r="H638" s="7" t="s">
        <v>1799</v>
      </c>
      <c r="I638" s="9">
        <v>45330</v>
      </c>
    </row>
    <row r="639" spans="1:9" x14ac:dyDescent="0.15">
      <c r="A639" s="6">
        <v>638</v>
      </c>
      <c r="B639" s="7" t="s">
        <v>10</v>
      </c>
      <c r="C639" s="8">
        <v>1888</v>
      </c>
      <c r="D639" s="9">
        <v>45432</v>
      </c>
      <c r="E639" s="13" t="str">
        <f>+HYPERLINK("http://trademark.i-assist.jp/data/china/image_1888th/76825267.pdf","76825267")</f>
        <v>76825267</v>
      </c>
      <c r="F639" s="7" t="s">
        <v>1800</v>
      </c>
      <c r="G639" s="7" t="s">
        <v>1801</v>
      </c>
      <c r="H639" s="7" t="s">
        <v>1802</v>
      </c>
      <c r="I639" s="9">
        <v>45330</v>
      </c>
    </row>
    <row r="640" spans="1:9" ht="27" x14ac:dyDescent="0.15">
      <c r="A640" s="6">
        <v>639</v>
      </c>
      <c r="B640" s="7" t="s">
        <v>10</v>
      </c>
      <c r="C640" s="8">
        <v>1888</v>
      </c>
      <c r="D640" s="9">
        <v>45432</v>
      </c>
      <c r="E640" s="13" t="str">
        <f>+HYPERLINK("http://trademark.i-assist.jp/data/china/image_1888th/76825393.pdf","76825393")</f>
        <v>76825393</v>
      </c>
      <c r="F640" s="7" t="s">
        <v>1803</v>
      </c>
      <c r="G640" s="7" t="s">
        <v>1804</v>
      </c>
      <c r="H640" s="7" t="s">
        <v>1805</v>
      </c>
      <c r="I640" s="9">
        <v>45330</v>
      </c>
    </row>
    <row r="641" spans="1:9" x14ac:dyDescent="0.15">
      <c r="A641" s="6">
        <v>640</v>
      </c>
      <c r="B641" s="7" t="s">
        <v>10</v>
      </c>
      <c r="C641" s="8">
        <v>1888</v>
      </c>
      <c r="D641" s="9">
        <v>45432</v>
      </c>
      <c r="E641" s="13" t="str">
        <f>+HYPERLINK("http://trademark.i-assist.jp/data/china/image_1888th/76825531.pdf","76825531")</f>
        <v>76825531</v>
      </c>
      <c r="F641" s="7" t="s">
        <v>1806</v>
      </c>
      <c r="G641" s="7" t="s">
        <v>1789</v>
      </c>
      <c r="H641" s="7" t="s">
        <v>1807</v>
      </c>
      <c r="I641" s="9">
        <v>45330</v>
      </c>
    </row>
    <row r="642" spans="1:9" ht="27" x14ac:dyDescent="0.15">
      <c r="A642" s="6">
        <v>641</v>
      </c>
      <c r="B642" s="7" t="s">
        <v>10</v>
      </c>
      <c r="C642" s="8">
        <v>1888</v>
      </c>
      <c r="D642" s="9">
        <v>45432</v>
      </c>
      <c r="E642" s="13" t="str">
        <f>+HYPERLINK("http://trademark.i-assist.jp/data/china/image_1888th/76825702.pdf","76825702")</f>
        <v>76825702</v>
      </c>
      <c r="F642" s="7" t="s">
        <v>1808</v>
      </c>
      <c r="G642" s="7" t="s">
        <v>1809</v>
      </c>
      <c r="H642" s="7" t="s">
        <v>1810</v>
      </c>
      <c r="I642" s="9">
        <v>45330</v>
      </c>
    </row>
    <row r="643" spans="1:9" ht="27" x14ac:dyDescent="0.15">
      <c r="A643" s="6">
        <v>642</v>
      </c>
      <c r="B643" s="7" t="s">
        <v>10</v>
      </c>
      <c r="C643" s="8">
        <v>1888</v>
      </c>
      <c r="D643" s="9">
        <v>45432</v>
      </c>
      <c r="E643" s="13" t="str">
        <f>+HYPERLINK("http://trademark.i-assist.jp/data/china/image_1888th/76825758.pdf","76825758")</f>
        <v>76825758</v>
      </c>
      <c r="F643" s="7" t="s">
        <v>1811</v>
      </c>
      <c r="G643" s="7" t="s">
        <v>1812</v>
      </c>
      <c r="H643" s="7" t="s">
        <v>1813</v>
      </c>
      <c r="I643" s="9">
        <v>45330</v>
      </c>
    </row>
    <row r="644" spans="1:9" x14ac:dyDescent="0.15">
      <c r="A644" s="6">
        <v>643</v>
      </c>
      <c r="B644" s="7" t="s">
        <v>10</v>
      </c>
      <c r="C644" s="8">
        <v>1888</v>
      </c>
      <c r="D644" s="9">
        <v>45432</v>
      </c>
      <c r="E644" s="13" t="str">
        <f>+HYPERLINK("http://trademark.i-assist.jp/data/china/image_1888th/76825824.pdf","76825824")</f>
        <v>76825824</v>
      </c>
      <c r="F644" s="7" t="s">
        <v>1814</v>
      </c>
      <c r="G644" s="7" t="s">
        <v>1815</v>
      </c>
      <c r="H644" s="7" t="s">
        <v>1816</v>
      </c>
      <c r="I644" s="9">
        <v>45330</v>
      </c>
    </row>
    <row r="645" spans="1:9" ht="27" x14ac:dyDescent="0.15">
      <c r="A645" s="6">
        <v>644</v>
      </c>
      <c r="B645" s="7" t="s">
        <v>10</v>
      </c>
      <c r="C645" s="8">
        <v>1888</v>
      </c>
      <c r="D645" s="9">
        <v>45432</v>
      </c>
      <c r="E645" s="13" t="str">
        <f>+HYPERLINK("http://trademark.i-assist.jp/data/china/image_1888th/76826836.pdf","76826836")</f>
        <v>76826836</v>
      </c>
      <c r="F645" s="7" t="s">
        <v>1817</v>
      </c>
      <c r="G645" s="7" t="s">
        <v>1818</v>
      </c>
      <c r="H645" s="7" t="s">
        <v>1819</v>
      </c>
      <c r="I645" s="9">
        <v>45330</v>
      </c>
    </row>
    <row r="646" spans="1:9" x14ac:dyDescent="0.15">
      <c r="A646" s="6">
        <v>645</v>
      </c>
      <c r="B646" s="7" t="s">
        <v>10</v>
      </c>
      <c r="C646" s="8">
        <v>1888</v>
      </c>
      <c r="D646" s="9">
        <v>45432</v>
      </c>
      <c r="E646" s="13" t="str">
        <f>+HYPERLINK("http://trademark.i-assist.jp/data/china/image_1888th/76828541.pdf","76828541")</f>
        <v>76828541</v>
      </c>
      <c r="F646" s="7" t="s">
        <v>1820</v>
      </c>
      <c r="G646" s="7" t="s">
        <v>1715</v>
      </c>
      <c r="H646" s="7" t="s">
        <v>1821</v>
      </c>
      <c r="I646" s="9">
        <v>45329</v>
      </c>
    </row>
    <row r="647" spans="1:9" x14ac:dyDescent="0.15">
      <c r="A647" s="6">
        <v>646</v>
      </c>
      <c r="B647" s="7" t="s">
        <v>10</v>
      </c>
      <c r="C647" s="8">
        <v>1888</v>
      </c>
      <c r="D647" s="9">
        <v>45432</v>
      </c>
      <c r="E647" s="13" t="str">
        <f>+HYPERLINK("http://trademark.i-assist.jp/data/china/image_1888th/76829162.pdf","76829162")</f>
        <v>76829162</v>
      </c>
      <c r="F647" s="7" t="s">
        <v>1822</v>
      </c>
      <c r="G647" s="7" t="s">
        <v>1823</v>
      </c>
      <c r="H647" s="7" t="s">
        <v>1824</v>
      </c>
      <c r="I647" s="9">
        <v>45331</v>
      </c>
    </row>
    <row r="648" spans="1:9" x14ac:dyDescent="0.15">
      <c r="A648" s="6">
        <v>647</v>
      </c>
      <c r="B648" s="7" t="s">
        <v>10</v>
      </c>
      <c r="C648" s="8">
        <v>1888</v>
      </c>
      <c r="D648" s="9">
        <v>45432</v>
      </c>
      <c r="E648" s="13" t="str">
        <f>+HYPERLINK("http://trademark.i-assist.jp/data/china/image_1888th/76829400.pdf","76829400")</f>
        <v>76829400</v>
      </c>
      <c r="F648" s="7" t="s">
        <v>1825</v>
      </c>
      <c r="G648" s="7" t="s">
        <v>1743</v>
      </c>
      <c r="H648" s="7" t="s">
        <v>1826</v>
      </c>
      <c r="I648" s="9">
        <v>45331</v>
      </c>
    </row>
    <row r="649" spans="1:9" x14ac:dyDescent="0.15">
      <c r="A649" s="6">
        <v>648</v>
      </c>
      <c r="B649" s="7" t="s">
        <v>10</v>
      </c>
      <c r="C649" s="8">
        <v>1888</v>
      </c>
      <c r="D649" s="9">
        <v>45432</v>
      </c>
      <c r="E649" s="13" t="str">
        <f>+HYPERLINK("http://trademark.i-assist.jp/data/china/image_1888th/76829419.pdf","76829419")</f>
        <v>76829419</v>
      </c>
      <c r="F649" s="7" t="s">
        <v>1827</v>
      </c>
      <c r="G649" s="7" t="s">
        <v>1828</v>
      </c>
      <c r="H649" s="7" t="s">
        <v>1829</v>
      </c>
      <c r="I649" s="9">
        <v>45331</v>
      </c>
    </row>
    <row r="650" spans="1:9" x14ac:dyDescent="0.15">
      <c r="A650" s="6">
        <v>649</v>
      </c>
      <c r="B650" s="7" t="s">
        <v>10</v>
      </c>
      <c r="C650" s="8">
        <v>1888</v>
      </c>
      <c r="D650" s="9">
        <v>45432</v>
      </c>
      <c r="E650" s="13" t="str">
        <f>+HYPERLINK("http://trademark.i-assist.jp/data/china/image_1888th/76829669.pdf","76829669")</f>
        <v>76829669</v>
      </c>
      <c r="F650" s="7" t="s">
        <v>1830</v>
      </c>
      <c r="G650" s="7" t="s">
        <v>1831</v>
      </c>
      <c r="H650" s="7" t="s">
        <v>1832</v>
      </c>
      <c r="I650" s="9">
        <v>45331</v>
      </c>
    </row>
    <row r="651" spans="1:9" x14ac:dyDescent="0.15">
      <c r="A651" s="6">
        <v>650</v>
      </c>
      <c r="B651" s="7" t="s">
        <v>10</v>
      </c>
      <c r="C651" s="8">
        <v>1888</v>
      </c>
      <c r="D651" s="9">
        <v>45432</v>
      </c>
      <c r="E651" s="13" t="str">
        <f>+HYPERLINK("http://trademark.i-assist.jp/data/china/image_1888th/76829934.pdf","76829934")</f>
        <v>76829934</v>
      </c>
      <c r="F651" s="7" t="s">
        <v>1833</v>
      </c>
      <c r="G651" s="7" t="s">
        <v>1834</v>
      </c>
      <c r="H651" s="7" t="s">
        <v>1835</v>
      </c>
      <c r="I651" s="9">
        <v>45340</v>
      </c>
    </row>
    <row r="652" spans="1:9" x14ac:dyDescent="0.15">
      <c r="A652" s="6">
        <v>651</v>
      </c>
      <c r="B652" s="7" t="s">
        <v>10</v>
      </c>
      <c r="C652" s="8">
        <v>1888</v>
      </c>
      <c r="D652" s="9">
        <v>45432</v>
      </c>
      <c r="E652" s="13" t="str">
        <f>+HYPERLINK("http://trademark.i-assist.jp/data/china/image_1888th/76830192.pdf","76830192")</f>
        <v>76830192</v>
      </c>
      <c r="F652" s="7" t="s">
        <v>1836</v>
      </c>
      <c r="G652" s="7" t="s">
        <v>1837</v>
      </c>
      <c r="H652" s="7" t="s">
        <v>1838</v>
      </c>
      <c r="I652" s="9">
        <v>45340</v>
      </c>
    </row>
    <row r="653" spans="1:9" x14ac:dyDescent="0.15">
      <c r="A653" s="6">
        <v>652</v>
      </c>
      <c r="B653" s="7" t="s">
        <v>10</v>
      </c>
      <c r="C653" s="8">
        <v>1888</v>
      </c>
      <c r="D653" s="9">
        <v>45432</v>
      </c>
      <c r="E653" s="13" t="str">
        <f>+HYPERLINK("http://trademark.i-assist.jp/data/china/image_1888th/76830275.pdf","76830275")</f>
        <v>76830275</v>
      </c>
      <c r="F653" s="7" t="s">
        <v>1839</v>
      </c>
      <c r="G653" s="7" t="s">
        <v>1840</v>
      </c>
      <c r="H653" s="7" t="s">
        <v>1841</v>
      </c>
      <c r="I653" s="9">
        <v>45340</v>
      </c>
    </row>
    <row r="654" spans="1:9" x14ac:dyDescent="0.15">
      <c r="A654" s="6">
        <v>653</v>
      </c>
      <c r="B654" s="7" t="s">
        <v>10</v>
      </c>
      <c r="C654" s="8">
        <v>1888</v>
      </c>
      <c r="D654" s="9">
        <v>45432</v>
      </c>
      <c r="E654" s="13" t="str">
        <f>+HYPERLINK("http://trademark.i-assist.jp/data/china/image_1888th/76831091.pdf","76831091")</f>
        <v>76831091</v>
      </c>
      <c r="F654" s="7" t="s">
        <v>1842</v>
      </c>
      <c r="G654" s="7" t="s">
        <v>1843</v>
      </c>
      <c r="H654" s="7" t="s">
        <v>1844</v>
      </c>
      <c r="I654" s="9">
        <v>45340</v>
      </c>
    </row>
    <row r="655" spans="1:9" ht="27" x14ac:dyDescent="0.15">
      <c r="A655" s="6">
        <v>654</v>
      </c>
      <c r="B655" s="7" t="s">
        <v>10</v>
      </c>
      <c r="C655" s="8">
        <v>1888</v>
      </c>
      <c r="D655" s="9">
        <v>45432</v>
      </c>
      <c r="E655" s="13" t="str">
        <f>+HYPERLINK("http://trademark.i-assist.jp/data/china/image_1888th/76831147.pdf","76831147")</f>
        <v>76831147</v>
      </c>
      <c r="F655" s="7" t="s">
        <v>1845</v>
      </c>
      <c r="G655" s="7" t="s">
        <v>1846</v>
      </c>
      <c r="H655" s="7" t="s">
        <v>1847</v>
      </c>
      <c r="I655" s="9">
        <v>45340</v>
      </c>
    </row>
    <row r="656" spans="1:9" x14ac:dyDescent="0.15">
      <c r="A656" s="6">
        <v>655</v>
      </c>
      <c r="B656" s="7" t="s">
        <v>10</v>
      </c>
      <c r="C656" s="8">
        <v>1888</v>
      </c>
      <c r="D656" s="9">
        <v>45432</v>
      </c>
      <c r="E656" s="13" t="str">
        <f>+HYPERLINK("http://trademark.i-assist.jp/data/china/image_1888th/76831555.pdf","76831555")</f>
        <v>76831555</v>
      </c>
      <c r="F656" s="7" t="s">
        <v>1848</v>
      </c>
      <c r="G656" s="7" t="s">
        <v>1849</v>
      </c>
      <c r="H656" s="7" t="s">
        <v>1850</v>
      </c>
      <c r="I656" s="9">
        <v>45340</v>
      </c>
    </row>
    <row r="657" spans="1:9" x14ac:dyDescent="0.15">
      <c r="A657" s="6">
        <v>656</v>
      </c>
      <c r="B657" s="7" t="s">
        <v>10</v>
      </c>
      <c r="C657" s="8">
        <v>1888</v>
      </c>
      <c r="D657" s="9">
        <v>45432</v>
      </c>
      <c r="E657" s="13" t="str">
        <f>+HYPERLINK("http://trademark.i-assist.jp/data/china/image_1888th/76831720.pdf","76831720")</f>
        <v>76831720</v>
      </c>
      <c r="F657" s="7" t="s">
        <v>1851</v>
      </c>
      <c r="G657" s="7" t="s">
        <v>1852</v>
      </c>
      <c r="H657" s="7" t="s">
        <v>1853</v>
      </c>
      <c r="I657" s="9">
        <v>45340</v>
      </c>
    </row>
    <row r="658" spans="1:9" x14ac:dyDescent="0.15">
      <c r="A658" s="6">
        <v>657</v>
      </c>
      <c r="B658" s="7" t="s">
        <v>10</v>
      </c>
      <c r="C658" s="8">
        <v>1888</v>
      </c>
      <c r="D658" s="9">
        <v>45432</v>
      </c>
      <c r="E658" s="13" t="str">
        <f>+HYPERLINK("http://trademark.i-assist.jp/data/china/image_1888th/76831945.pdf","76831945")</f>
        <v>76831945</v>
      </c>
      <c r="F658" s="7" t="s">
        <v>76</v>
      </c>
      <c r="G658" s="7" t="s">
        <v>1854</v>
      </c>
      <c r="H658" s="7" t="s">
        <v>1855</v>
      </c>
      <c r="I658" s="9">
        <v>45340</v>
      </c>
    </row>
    <row r="659" spans="1:9" x14ac:dyDescent="0.15">
      <c r="A659" s="6">
        <v>658</v>
      </c>
      <c r="B659" s="7" t="s">
        <v>10</v>
      </c>
      <c r="C659" s="8">
        <v>1888</v>
      </c>
      <c r="D659" s="9">
        <v>45432</v>
      </c>
      <c r="E659" s="13" t="str">
        <f>+HYPERLINK("http://trademark.i-assist.jp/data/china/image_1888th/76832437.pdf","76832437")</f>
        <v>76832437</v>
      </c>
      <c r="F659" s="7" t="s">
        <v>1856</v>
      </c>
      <c r="G659" s="7" t="s">
        <v>1857</v>
      </c>
      <c r="H659" s="7" t="s">
        <v>1858</v>
      </c>
      <c r="I659" s="9">
        <v>45340</v>
      </c>
    </row>
    <row r="660" spans="1:9" ht="27" x14ac:dyDescent="0.15">
      <c r="A660" s="6">
        <v>659</v>
      </c>
      <c r="B660" s="7" t="s">
        <v>10</v>
      </c>
      <c r="C660" s="8">
        <v>1888</v>
      </c>
      <c r="D660" s="9">
        <v>45432</v>
      </c>
      <c r="E660" s="13" t="str">
        <f>+HYPERLINK("http://trademark.i-assist.jp/data/china/image_1888th/76833310.pdf","76833310")</f>
        <v>76833310</v>
      </c>
      <c r="F660" s="7" t="s">
        <v>1859</v>
      </c>
      <c r="G660" s="7" t="s">
        <v>1860</v>
      </c>
      <c r="H660" s="7" t="s">
        <v>1861</v>
      </c>
      <c r="I660" s="9">
        <v>45340</v>
      </c>
    </row>
    <row r="661" spans="1:9" x14ac:dyDescent="0.15">
      <c r="A661" s="6">
        <v>660</v>
      </c>
      <c r="B661" s="7" t="s">
        <v>10</v>
      </c>
      <c r="C661" s="8">
        <v>1888</v>
      </c>
      <c r="D661" s="9">
        <v>45432</v>
      </c>
      <c r="E661" s="13" t="str">
        <f>+HYPERLINK("http://trademark.i-assist.jp/data/china/image_1888th/76833469.pdf","76833469")</f>
        <v>76833469</v>
      </c>
      <c r="F661" s="7" t="s">
        <v>1862</v>
      </c>
      <c r="G661" s="7" t="s">
        <v>1834</v>
      </c>
      <c r="H661" s="7" t="s">
        <v>1863</v>
      </c>
      <c r="I661" s="9">
        <v>45340</v>
      </c>
    </row>
    <row r="662" spans="1:9" x14ac:dyDescent="0.15">
      <c r="A662" s="6">
        <v>661</v>
      </c>
      <c r="B662" s="7" t="s">
        <v>10</v>
      </c>
      <c r="C662" s="8">
        <v>1888</v>
      </c>
      <c r="D662" s="9">
        <v>45432</v>
      </c>
      <c r="E662" s="13" t="str">
        <f>+HYPERLINK("http://trademark.i-assist.jp/data/china/image_1888th/76834110.pdf","76834110")</f>
        <v>76834110</v>
      </c>
      <c r="F662" s="7" t="s">
        <v>1864</v>
      </c>
      <c r="G662" s="7" t="s">
        <v>1865</v>
      </c>
      <c r="H662" s="7" t="s">
        <v>1866</v>
      </c>
      <c r="I662" s="9">
        <v>45340</v>
      </c>
    </row>
    <row r="663" spans="1:9" x14ac:dyDescent="0.15">
      <c r="A663" s="6">
        <v>662</v>
      </c>
      <c r="B663" s="7" t="s">
        <v>10</v>
      </c>
      <c r="C663" s="8">
        <v>1888</v>
      </c>
      <c r="D663" s="9">
        <v>45432</v>
      </c>
      <c r="E663" s="13" t="str">
        <f>+HYPERLINK("http://trademark.i-assist.jp/data/china/image_1888th/76834639.pdf","76834639")</f>
        <v>76834639</v>
      </c>
      <c r="F663" s="7" t="s">
        <v>1867</v>
      </c>
      <c r="G663" s="7" t="s">
        <v>1868</v>
      </c>
      <c r="H663" s="7" t="s">
        <v>1869</v>
      </c>
      <c r="I663" s="9">
        <v>45340</v>
      </c>
    </row>
    <row r="664" spans="1:9" x14ac:dyDescent="0.15">
      <c r="A664" s="6">
        <v>663</v>
      </c>
      <c r="B664" s="7" t="s">
        <v>10</v>
      </c>
      <c r="C664" s="8">
        <v>1888</v>
      </c>
      <c r="D664" s="9">
        <v>45432</v>
      </c>
      <c r="E664" s="13" t="str">
        <f>+HYPERLINK("http://trademark.i-assist.jp/data/china/image_1888th/76834730.pdf","76834730")</f>
        <v>76834730</v>
      </c>
      <c r="F664" s="7" t="s">
        <v>1870</v>
      </c>
      <c r="G664" s="7" t="s">
        <v>1871</v>
      </c>
      <c r="H664" s="7" t="s">
        <v>1872</v>
      </c>
      <c r="I664" s="9">
        <v>45340</v>
      </c>
    </row>
    <row r="665" spans="1:9" x14ac:dyDescent="0.15">
      <c r="A665" s="6">
        <v>664</v>
      </c>
      <c r="B665" s="7" t="s">
        <v>10</v>
      </c>
      <c r="C665" s="8">
        <v>1888</v>
      </c>
      <c r="D665" s="9">
        <v>45432</v>
      </c>
      <c r="E665" s="13" t="str">
        <f>+HYPERLINK("http://trademark.i-assist.jp/data/china/image_1888th/76834999.pdf","76834999")</f>
        <v>76834999</v>
      </c>
      <c r="F665" s="7" t="s">
        <v>1873</v>
      </c>
      <c r="G665" s="7" t="s">
        <v>1874</v>
      </c>
      <c r="H665" s="7" t="s">
        <v>1875</v>
      </c>
      <c r="I665" s="9">
        <v>45340</v>
      </c>
    </row>
    <row r="666" spans="1:9" x14ac:dyDescent="0.15">
      <c r="A666" s="6">
        <v>665</v>
      </c>
      <c r="B666" s="7" t="s">
        <v>10</v>
      </c>
      <c r="C666" s="8">
        <v>1888</v>
      </c>
      <c r="D666" s="9">
        <v>45432</v>
      </c>
      <c r="E666" s="13" t="str">
        <f>+HYPERLINK("http://trademark.i-assist.jp/data/china/image_1888th/76835889.pdf","76835889")</f>
        <v>76835889</v>
      </c>
      <c r="F666" s="7" t="s">
        <v>1876</v>
      </c>
      <c r="G666" s="7" t="s">
        <v>1877</v>
      </c>
      <c r="H666" s="7" t="s">
        <v>1878</v>
      </c>
      <c r="I666" s="9">
        <v>45340</v>
      </c>
    </row>
    <row r="667" spans="1:9" x14ac:dyDescent="0.15">
      <c r="A667" s="6">
        <v>666</v>
      </c>
      <c r="B667" s="7" t="s">
        <v>10</v>
      </c>
      <c r="C667" s="8">
        <v>1888</v>
      </c>
      <c r="D667" s="9">
        <v>45432</v>
      </c>
      <c r="E667" s="13" t="str">
        <f>+HYPERLINK("http://trademark.i-assist.jp/data/china/image_1888th/76836133.pdf","76836133")</f>
        <v>76836133</v>
      </c>
      <c r="F667" s="7" t="s">
        <v>1879</v>
      </c>
      <c r="G667" s="7" t="s">
        <v>1880</v>
      </c>
      <c r="H667" s="7" t="s">
        <v>1881</v>
      </c>
      <c r="I667" s="9">
        <v>45340</v>
      </c>
    </row>
    <row r="668" spans="1:9" ht="27" x14ac:dyDescent="0.15">
      <c r="A668" s="6">
        <v>667</v>
      </c>
      <c r="B668" s="7" t="s">
        <v>10</v>
      </c>
      <c r="C668" s="8">
        <v>1888</v>
      </c>
      <c r="D668" s="9">
        <v>45432</v>
      </c>
      <c r="E668" s="13" t="str">
        <f>+HYPERLINK("http://trademark.i-assist.jp/data/china/image_1888th/76836324.pdf","76836324")</f>
        <v>76836324</v>
      </c>
      <c r="F668" s="7" t="s">
        <v>1882</v>
      </c>
      <c r="G668" s="7" t="s">
        <v>1883</v>
      </c>
      <c r="H668" s="7" t="s">
        <v>1884</v>
      </c>
      <c r="I668" s="9">
        <v>45340</v>
      </c>
    </row>
    <row r="669" spans="1:9" x14ac:dyDescent="0.15">
      <c r="A669" s="6">
        <v>668</v>
      </c>
      <c r="B669" s="7" t="s">
        <v>10</v>
      </c>
      <c r="C669" s="8">
        <v>1888</v>
      </c>
      <c r="D669" s="9">
        <v>45432</v>
      </c>
      <c r="E669" s="13" t="str">
        <f>+HYPERLINK("http://trademark.i-assist.jp/data/china/image_1888th/76836408.pdf","76836408")</f>
        <v>76836408</v>
      </c>
      <c r="F669" s="7" t="s">
        <v>1885</v>
      </c>
      <c r="G669" s="7" t="s">
        <v>1886</v>
      </c>
      <c r="H669" s="7" t="s">
        <v>1887</v>
      </c>
      <c r="I669" s="9">
        <v>45340</v>
      </c>
    </row>
    <row r="670" spans="1:9" x14ac:dyDescent="0.15">
      <c r="A670" s="6">
        <v>669</v>
      </c>
      <c r="B670" s="7" t="s">
        <v>10</v>
      </c>
      <c r="C670" s="8">
        <v>1888</v>
      </c>
      <c r="D670" s="9">
        <v>45432</v>
      </c>
      <c r="E670" s="13" t="str">
        <f>+HYPERLINK("http://trademark.i-assist.jp/data/china/image_1888th/76837549.pdf","76837549")</f>
        <v>76837549</v>
      </c>
      <c r="F670" s="7" t="s">
        <v>1888</v>
      </c>
      <c r="G670" s="7" t="s">
        <v>1889</v>
      </c>
      <c r="H670" s="7" t="s">
        <v>1890</v>
      </c>
      <c r="I670" s="9">
        <v>45340</v>
      </c>
    </row>
    <row r="671" spans="1:9" x14ac:dyDescent="0.15">
      <c r="A671" s="6">
        <v>670</v>
      </c>
      <c r="B671" s="7" t="s">
        <v>10</v>
      </c>
      <c r="C671" s="8">
        <v>1888</v>
      </c>
      <c r="D671" s="9">
        <v>45432</v>
      </c>
      <c r="E671" s="13" t="str">
        <f>+HYPERLINK("http://trademark.i-assist.jp/data/china/image_1888th/76837824.pdf","76837824")</f>
        <v>76837824</v>
      </c>
      <c r="F671" s="7" t="s">
        <v>1891</v>
      </c>
      <c r="G671" s="7" t="s">
        <v>1892</v>
      </c>
      <c r="H671" s="7" t="s">
        <v>1893</v>
      </c>
      <c r="I671" s="9">
        <v>45340</v>
      </c>
    </row>
    <row r="672" spans="1:9" ht="27" x14ac:dyDescent="0.15">
      <c r="A672" s="6">
        <v>671</v>
      </c>
      <c r="B672" s="7" t="s">
        <v>10</v>
      </c>
      <c r="C672" s="8">
        <v>1888</v>
      </c>
      <c r="D672" s="9">
        <v>45432</v>
      </c>
      <c r="E672" s="13" t="str">
        <f>+HYPERLINK("http://trademark.i-assist.jp/data/china/image_1888th/76838321.pdf","76838321")</f>
        <v>76838321</v>
      </c>
      <c r="F672" s="7" t="s">
        <v>1894</v>
      </c>
      <c r="G672" s="7" t="s">
        <v>1895</v>
      </c>
      <c r="H672" s="7" t="s">
        <v>1896</v>
      </c>
      <c r="I672" s="9">
        <v>45340</v>
      </c>
    </row>
    <row r="673" spans="1:9" x14ac:dyDescent="0.15">
      <c r="A673" s="6">
        <v>672</v>
      </c>
      <c r="B673" s="7" t="s">
        <v>10</v>
      </c>
      <c r="C673" s="8">
        <v>1888</v>
      </c>
      <c r="D673" s="9">
        <v>45432</v>
      </c>
      <c r="E673" s="13" t="str">
        <f>+HYPERLINK("http://trademark.i-assist.jp/data/china/image_1888th/76838344.pdf","76838344")</f>
        <v>76838344</v>
      </c>
      <c r="F673" s="7" t="s">
        <v>1897</v>
      </c>
      <c r="G673" s="7" t="s">
        <v>1898</v>
      </c>
      <c r="H673" s="7" t="s">
        <v>1899</v>
      </c>
      <c r="I673" s="9">
        <v>45340</v>
      </c>
    </row>
    <row r="674" spans="1:9" x14ac:dyDescent="0.15">
      <c r="A674" s="6">
        <v>673</v>
      </c>
      <c r="B674" s="7" t="s">
        <v>10</v>
      </c>
      <c r="C674" s="8">
        <v>1888</v>
      </c>
      <c r="D674" s="9">
        <v>45432</v>
      </c>
      <c r="E674" s="13" t="str">
        <f>+HYPERLINK("http://trademark.i-assist.jp/data/china/image_1888th/76838791.pdf","76838791")</f>
        <v>76838791</v>
      </c>
      <c r="F674" s="7" t="s">
        <v>1900</v>
      </c>
      <c r="G674" s="7" t="s">
        <v>1901</v>
      </c>
      <c r="H674" s="7" t="s">
        <v>1902</v>
      </c>
      <c r="I674" s="9">
        <v>45340</v>
      </c>
    </row>
    <row r="675" spans="1:9" x14ac:dyDescent="0.15">
      <c r="A675" s="6">
        <v>674</v>
      </c>
      <c r="B675" s="7" t="s">
        <v>10</v>
      </c>
      <c r="C675" s="8">
        <v>1888</v>
      </c>
      <c r="D675" s="9">
        <v>45432</v>
      </c>
      <c r="E675" s="13" t="str">
        <f>+HYPERLINK("http://trademark.i-assist.jp/data/china/image_1888th/76839877.pdf","76839877")</f>
        <v>76839877</v>
      </c>
      <c r="F675" s="7" t="s">
        <v>1903</v>
      </c>
      <c r="G675" s="7" t="s">
        <v>1904</v>
      </c>
      <c r="H675" s="7" t="s">
        <v>1905</v>
      </c>
      <c r="I675" s="9">
        <v>45340</v>
      </c>
    </row>
    <row r="676" spans="1:9" x14ac:dyDescent="0.15">
      <c r="A676" s="6">
        <v>675</v>
      </c>
      <c r="B676" s="7" t="s">
        <v>10</v>
      </c>
      <c r="C676" s="8">
        <v>1888</v>
      </c>
      <c r="D676" s="9">
        <v>45432</v>
      </c>
      <c r="E676" s="13" t="str">
        <f>+HYPERLINK("http://trademark.i-assist.jp/data/china/image_1888th/76840120.pdf","76840120")</f>
        <v>76840120</v>
      </c>
      <c r="F676" s="7" t="s">
        <v>1906</v>
      </c>
      <c r="G676" s="7" t="s">
        <v>1907</v>
      </c>
      <c r="H676" s="7" t="s">
        <v>1908</v>
      </c>
      <c r="I676" s="9">
        <v>45340</v>
      </c>
    </row>
    <row r="677" spans="1:9" ht="27" x14ac:dyDescent="0.15">
      <c r="A677" s="6">
        <v>676</v>
      </c>
      <c r="B677" s="7" t="s">
        <v>10</v>
      </c>
      <c r="C677" s="8">
        <v>1888</v>
      </c>
      <c r="D677" s="9">
        <v>45432</v>
      </c>
      <c r="E677" s="13" t="str">
        <f>+HYPERLINK("http://trademark.i-assist.jp/data/china/image_1888th/76840824.pdf","76840824")</f>
        <v>76840824</v>
      </c>
      <c r="F677" s="7" t="s">
        <v>1909</v>
      </c>
      <c r="G677" s="7" t="s">
        <v>1910</v>
      </c>
      <c r="H677" s="7" t="s">
        <v>1911</v>
      </c>
      <c r="I677" s="9">
        <v>45340</v>
      </c>
    </row>
    <row r="678" spans="1:9" x14ac:dyDescent="0.15">
      <c r="A678" s="6">
        <v>677</v>
      </c>
      <c r="B678" s="7" t="s">
        <v>10</v>
      </c>
      <c r="C678" s="8">
        <v>1888</v>
      </c>
      <c r="D678" s="9">
        <v>45432</v>
      </c>
      <c r="E678" s="13" t="str">
        <f>+HYPERLINK("http://trademark.i-assist.jp/data/china/image_1888th/76841067.pdf","76841067")</f>
        <v>76841067</v>
      </c>
      <c r="F678" s="7" t="s">
        <v>1912</v>
      </c>
      <c r="G678" s="7" t="s">
        <v>1913</v>
      </c>
      <c r="H678" s="7" t="s">
        <v>1914</v>
      </c>
      <c r="I678" s="9">
        <v>45340</v>
      </c>
    </row>
    <row r="679" spans="1:9" x14ac:dyDescent="0.15">
      <c r="A679" s="6">
        <v>678</v>
      </c>
      <c r="B679" s="7" t="s">
        <v>10</v>
      </c>
      <c r="C679" s="8">
        <v>1888</v>
      </c>
      <c r="D679" s="9">
        <v>45432</v>
      </c>
      <c r="E679" s="13" t="str">
        <f>+HYPERLINK("http://trademark.i-assist.jp/data/china/image_1888th/76841613.pdf","76841613")</f>
        <v>76841613</v>
      </c>
      <c r="F679" s="7" t="s">
        <v>1915</v>
      </c>
      <c r="G679" s="7" t="s">
        <v>1916</v>
      </c>
      <c r="H679" s="7" t="s">
        <v>1917</v>
      </c>
      <c r="I679" s="9">
        <v>45340</v>
      </c>
    </row>
    <row r="680" spans="1:9" x14ac:dyDescent="0.15">
      <c r="A680" s="6">
        <v>679</v>
      </c>
      <c r="B680" s="7" t="s">
        <v>10</v>
      </c>
      <c r="C680" s="8">
        <v>1888</v>
      </c>
      <c r="D680" s="9">
        <v>45432</v>
      </c>
      <c r="E680" s="13" t="str">
        <f>+HYPERLINK("http://trademark.i-assist.jp/data/china/image_1888th/76841763.pdf","76841763")</f>
        <v>76841763</v>
      </c>
      <c r="F680" s="7" t="s">
        <v>1918</v>
      </c>
      <c r="G680" s="7" t="s">
        <v>1919</v>
      </c>
      <c r="H680" s="7" t="s">
        <v>1920</v>
      </c>
      <c r="I680" s="9">
        <v>45340</v>
      </c>
    </row>
    <row r="681" spans="1:9" x14ac:dyDescent="0.15">
      <c r="A681" s="6">
        <v>680</v>
      </c>
      <c r="B681" s="7" t="s">
        <v>10</v>
      </c>
      <c r="C681" s="8">
        <v>1888</v>
      </c>
      <c r="D681" s="9">
        <v>45432</v>
      </c>
      <c r="E681" s="13" t="str">
        <f>+HYPERLINK("http://trademark.i-assist.jp/data/china/image_1888th/76841981.pdf","76841981")</f>
        <v>76841981</v>
      </c>
      <c r="F681" s="7" t="s">
        <v>1921</v>
      </c>
      <c r="G681" s="7" t="s">
        <v>1922</v>
      </c>
      <c r="H681" s="7" t="s">
        <v>1923</v>
      </c>
      <c r="I681" s="9">
        <v>45340</v>
      </c>
    </row>
    <row r="682" spans="1:9" x14ac:dyDescent="0.15">
      <c r="A682" s="6">
        <v>681</v>
      </c>
      <c r="B682" s="7" t="s">
        <v>10</v>
      </c>
      <c r="C682" s="8">
        <v>1888</v>
      </c>
      <c r="D682" s="9">
        <v>45432</v>
      </c>
      <c r="E682" s="13" t="str">
        <f>+HYPERLINK("http://trademark.i-assist.jp/data/china/image_1888th/76842249.pdf","76842249")</f>
        <v>76842249</v>
      </c>
      <c r="F682" s="7" t="s">
        <v>1924</v>
      </c>
      <c r="G682" s="7" t="s">
        <v>1925</v>
      </c>
      <c r="H682" s="7" t="s">
        <v>1926</v>
      </c>
      <c r="I682" s="9">
        <v>45340</v>
      </c>
    </row>
    <row r="683" spans="1:9" x14ac:dyDescent="0.15">
      <c r="A683" s="6">
        <v>682</v>
      </c>
      <c r="B683" s="7" t="s">
        <v>10</v>
      </c>
      <c r="C683" s="8">
        <v>1888</v>
      </c>
      <c r="D683" s="9">
        <v>45432</v>
      </c>
      <c r="E683" s="13" t="str">
        <f>+HYPERLINK("http://trademark.i-assist.jp/data/china/image_1888th/76842368.pdf","76842368")</f>
        <v>76842368</v>
      </c>
      <c r="F683" s="7" t="s">
        <v>1927</v>
      </c>
      <c r="G683" s="7" t="s">
        <v>1928</v>
      </c>
      <c r="H683" s="7" t="s">
        <v>1929</v>
      </c>
      <c r="I683" s="9">
        <v>45340</v>
      </c>
    </row>
    <row r="684" spans="1:9" ht="27" x14ac:dyDescent="0.15">
      <c r="A684" s="6">
        <v>683</v>
      </c>
      <c r="B684" s="7" t="s">
        <v>10</v>
      </c>
      <c r="C684" s="8">
        <v>1888</v>
      </c>
      <c r="D684" s="9">
        <v>45432</v>
      </c>
      <c r="E684" s="13" t="str">
        <f>+HYPERLINK("http://trademark.i-assist.jp/data/china/image_1888th/76843003.pdf","76843003")</f>
        <v>76843003</v>
      </c>
      <c r="F684" s="7" t="s">
        <v>1930</v>
      </c>
      <c r="G684" s="7" t="s">
        <v>1931</v>
      </c>
      <c r="H684" s="7" t="s">
        <v>1932</v>
      </c>
      <c r="I684" s="9">
        <v>45340</v>
      </c>
    </row>
    <row r="685" spans="1:9" x14ac:dyDescent="0.15">
      <c r="A685" s="6">
        <v>684</v>
      </c>
      <c r="B685" s="7" t="s">
        <v>10</v>
      </c>
      <c r="C685" s="8">
        <v>1888</v>
      </c>
      <c r="D685" s="9">
        <v>45432</v>
      </c>
      <c r="E685" s="13" t="str">
        <f>+HYPERLINK("http://trademark.i-assist.jp/data/china/image_1888th/76843172.pdf","76843172")</f>
        <v>76843172</v>
      </c>
      <c r="F685" s="7" t="s">
        <v>1933</v>
      </c>
      <c r="G685" s="7" t="s">
        <v>1849</v>
      </c>
      <c r="H685" s="7" t="s">
        <v>1934</v>
      </c>
      <c r="I685" s="9">
        <v>45340</v>
      </c>
    </row>
    <row r="686" spans="1:9" x14ac:dyDescent="0.15">
      <c r="A686" s="6">
        <v>685</v>
      </c>
      <c r="B686" s="7" t="s">
        <v>10</v>
      </c>
      <c r="C686" s="8">
        <v>1888</v>
      </c>
      <c r="D686" s="9">
        <v>45432</v>
      </c>
      <c r="E686" s="13" t="str">
        <f>+HYPERLINK("http://trademark.i-assist.jp/data/china/image_1888th/76843652.pdf","76843652")</f>
        <v>76843652</v>
      </c>
      <c r="F686" s="7" t="s">
        <v>1935</v>
      </c>
      <c r="G686" s="7" t="s">
        <v>1936</v>
      </c>
      <c r="H686" s="7" t="s">
        <v>1937</v>
      </c>
      <c r="I686" s="9">
        <v>45340</v>
      </c>
    </row>
    <row r="687" spans="1:9" x14ac:dyDescent="0.15">
      <c r="A687" s="6">
        <v>686</v>
      </c>
      <c r="B687" s="7" t="s">
        <v>10</v>
      </c>
      <c r="C687" s="8">
        <v>1888</v>
      </c>
      <c r="D687" s="9">
        <v>45432</v>
      </c>
      <c r="E687" s="13" t="str">
        <f>+HYPERLINK("http://trademark.i-assist.jp/data/china/image_1888th/76844066.pdf","76844066")</f>
        <v>76844066</v>
      </c>
      <c r="F687" s="7" t="s">
        <v>1938</v>
      </c>
      <c r="G687" s="7" t="s">
        <v>1849</v>
      </c>
      <c r="H687" s="7" t="s">
        <v>1939</v>
      </c>
      <c r="I687" s="9">
        <v>45340</v>
      </c>
    </row>
    <row r="688" spans="1:9" ht="27" x14ac:dyDescent="0.15">
      <c r="A688" s="6">
        <v>687</v>
      </c>
      <c r="B688" s="7" t="s">
        <v>10</v>
      </c>
      <c r="C688" s="8">
        <v>1888</v>
      </c>
      <c r="D688" s="9">
        <v>45432</v>
      </c>
      <c r="E688" s="13" t="str">
        <f>+HYPERLINK("http://trademark.i-assist.jp/data/china/image_1888th/76844100.pdf","76844100")</f>
        <v>76844100</v>
      </c>
      <c r="F688" s="7" t="s">
        <v>1940</v>
      </c>
      <c r="G688" s="7" t="s">
        <v>1941</v>
      </c>
      <c r="H688" s="7" t="s">
        <v>1942</v>
      </c>
      <c r="I688" s="9">
        <v>45340</v>
      </c>
    </row>
    <row r="689" spans="1:9" x14ac:dyDescent="0.15">
      <c r="A689" s="6">
        <v>688</v>
      </c>
      <c r="B689" s="7" t="s">
        <v>10</v>
      </c>
      <c r="C689" s="8">
        <v>1888</v>
      </c>
      <c r="D689" s="9">
        <v>45432</v>
      </c>
      <c r="E689" s="13" t="str">
        <f>+HYPERLINK("http://trademark.i-assist.jp/data/china/image_1888th/76844109.pdf","76844109")</f>
        <v>76844109</v>
      </c>
      <c r="F689" s="7" t="s">
        <v>1943</v>
      </c>
      <c r="G689" s="7" t="s">
        <v>1849</v>
      </c>
      <c r="H689" s="7" t="s">
        <v>1944</v>
      </c>
      <c r="I689" s="9">
        <v>45340</v>
      </c>
    </row>
    <row r="690" spans="1:9" ht="27" x14ac:dyDescent="0.15">
      <c r="A690" s="6">
        <v>689</v>
      </c>
      <c r="B690" s="7" t="s">
        <v>10</v>
      </c>
      <c r="C690" s="8">
        <v>1888</v>
      </c>
      <c r="D690" s="9">
        <v>45432</v>
      </c>
      <c r="E690" s="13" t="str">
        <f>+HYPERLINK("http://trademark.i-assist.jp/data/china/image_1888th/76844112.pdf","76844112")</f>
        <v>76844112</v>
      </c>
      <c r="F690" s="7" t="s">
        <v>1945</v>
      </c>
      <c r="G690" s="7" t="s">
        <v>1946</v>
      </c>
      <c r="H690" s="7" t="s">
        <v>1947</v>
      </c>
      <c r="I690" s="9">
        <v>45340</v>
      </c>
    </row>
    <row r="691" spans="1:9" x14ac:dyDescent="0.15">
      <c r="A691" s="6">
        <v>690</v>
      </c>
      <c r="B691" s="7" t="s">
        <v>10</v>
      </c>
      <c r="C691" s="8">
        <v>1888</v>
      </c>
      <c r="D691" s="9">
        <v>45432</v>
      </c>
      <c r="E691" s="13" t="str">
        <f>+HYPERLINK("http://trademark.i-assist.jp/data/china/image_1888th/76844322.pdf","76844322")</f>
        <v>76844322</v>
      </c>
      <c r="F691" s="7" t="s">
        <v>1948</v>
      </c>
      <c r="G691" s="7" t="s">
        <v>1949</v>
      </c>
      <c r="H691" s="7" t="s">
        <v>1950</v>
      </c>
      <c r="I691" s="9">
        <v>45340</v>
      </c>
    </row>
    <row r="692" spans="1:9" x14ac:dyDescent="0.15">
      <c r="A692" s="6">
        <v>691</v>
      </c>
      <c r="B692" s="7" t="s">
        <v>10</v>
      </c>
      <c r="C692" s="8">
        <v>1888</v>
      </c>
      <c r="D692" s="9">
        <v>45432</v>
      </c>
      <c r="E692" s="13" t="str">
        <f>+HYPERLINK("http://trademark.i-assist.jp/data/china/image_1888th/76844431.pdf","76844431")</f>
        <v>76844431</v>
      </c>
      <c r="F692" s="7" t="s">
        <v>1951</v>
      </c>
      <c r="G692" s="7" t="s">
        <v>1952</v>
      </c>
      <c r="H692" s="7" t="s">
        <v>1953</v>
      </c>
      <c r="I692" s="9">
        <v>45340</v>
      </c>
    </row>
    <row r="693" spans="1:9" x14ac:dyDescent="0.15">
      <c r="A693" s="6">
        <v>692</v>
      </c>
      <c r="B693" s="7" t="s">
        <v>10</v>
      </c>
      <c r="C693" s="8">
        <v>1888</v>
      </c>
      <c r="D693" s="9">
        <v>45432</v>
      </c>
      <c r="E693" s="13" t="str">
        <f>+HYPERLINK("http://trademark.i-assist.jp/data/china/image_1888th/76844503.pdf","76844503")</f>
        <v>76844503</v>
      </c>
      <c r="F693" s="7" t="s">
        <v>1954</v>
      </c>
      <c r="G693" s="7" t="s">
        <v>1955</v>
      </c>
      <c r="H693" s="7" t="s">
        <v>1956</v>
      </c>
      <c r="I693" s="9">
        <v>45340</v>
      </c>
    </row>
    <row r="694" spans="1:9" x14ac:dyDescent="0.15">
      <c r="A694" s="6">
        <v>693</v>
      </c>
      <c r="B694" s="7" t="s">
        <v>10</v>
      </c>
      <c r="C694" s="8">
        <v>1888</v>
      </c>
      <c r="D694" s="9">
        <v>45432</v>
      </c>
      <c r="E694" s="13" t="str">
        <f>+HYPERLINK("http://trademark.i-assist.jp/data/china/image_1888th/76844553.pdf","76844553")</f>
        <v>76844553</v>
      </c>
      <c r="F694" s="7" t="s">
        <v>1957</v>
      </c>
      <c r="G694" s="7" t="s">
        <v>1958</v>
      </c>
      <c r="H694" s="7" t="s">
        <v>1959</v>
      </c>
      <c r="I694" s="9">
        <v>45340</v>
      </c>
    </row>
    <row r="695" spans="1:9" ht="27" x14ac:dyDescent="0.15">
      <c r="A695" s="6">
        <v>694</v>
      </c>
      <c r="B695" s="7" t="s">
        <v>10</v>
      </c>
      <c r="C695" s="8">
        <v>1888</v>
      </c>
      <c r="D695" s="9">
        <v>45432</v>
      </c>
      <c r="E695" s="13" t="str">
        <f>+HYPERLINK("http://trademark.i-assist.jp/data/china/image_1888th/76844871.pdf","76844871")</f>
        <v>76844871</v>
      </c>
      <c r="F695" s="7" t="s">
        <v>1960</v>
      </c>
      <c r="G695" s="7" t="s">
        <v>1961</v>
      </c>
      <c r="H695" s="7" t="s">
        <v>1962</v>
      </c>
      <c r="I695" s="9">
        <v>45340</v>
      </c>
    </row>
    <row r="696" spans="1:9" ht="27" x14ac:dyDescent="0.15">
      <c r="A696" s="6">
        <v>695</v>
      </c>
      <c r="B696" s="7" t="s">
        <v>10</v>
      </c>
      <c r="C696" s="8">
        <v>1888</v>
      </c>
      <c r="D696" s="9">
        <v>45432</v>
      </c>
      <c r="E696" s="13" t="str">
        <f>+HYPERLINK("http://trademark.i-assist.jp/data/china/image_1888th/76844983.pdf","76844983")</f>
        <v>76844983</v>
      </c>
      <c r="F696" s="7" t="s">
        <v>1963</v>
      </c>
      <c r="G696" s="7" t="s">
        <v>1931</v>
      </c>
      <c r="H696" s="7" t="s">
        <v>1964</v>
      </c>
      <c r="I696" s="9">
        <v>45340</v>
      </c>
    </row>
    <row r="697" spans="1:9" ht="27" x14ac:dyDescent="0.15">
      <c r="A697" s="6">
        <v>696</v>
      </c>
      <c r="B697" s="7" t="s">
        <v>10</v>
      </c>
      <c r="C697" s="8">
        <v>1888</v>
      </c>
      <c r="D697" s="9">
        <v>45432</v>
      </c>
      <c r="E697" s="13" t="str">
        <f>+HYPERLINK("http://trademark.i-assist.jp/data/china/image_1888th/76846781.pdf","76846781")</f>
        <v>76846781</v>
      </c>
      <c r="F697" s="7" t="s">
        <v>1965</v>
      </c>
      <c r="G697" s="7" t="s">
        <v>1966</v>
      </c>
      <c r="H697" s="7" t="s">
        <v>1967</v>
      </c>
      <c r="I697" s="9">
        <v>45341</v>
      </c>
    </row>
    <row r="698" spans="1:9" x14ac:dyDescent="0.15">
      <c r="A698" s="6">
        <v>697</v>
      </c>
      <c r="B698" s="7" t="s">
        <v>10</v>
      </c>
      <c r="C698" s="8">
        <v>1888</v>
      </c>
      <c r="D698" s="9">
        <v>45432</v>
      </c>
      <c r="E698" s="13" t="str">
        <f>+HYPERLINK("http://trademark.i-assist.jp/data/china/image_1888th/76847151.pdf","76847151")</f>
        <v>76847151</v>
      </c>
      <c r="F698" s="7" t="s">
        <v>1968</v>
      </c>
      <c r="G698" s="7" t="s">
        <v>1969</v>
      </c>
      <c r="H698" s="7" t="s">
        <v>1970</v>
      </c>
      <c r="I698" s="9">
        <v>45341</v>
      </c>
    </row>
    <row r="699" spans="1:9" x14ac:dyDescent="0.15">
      <c r="A699" s="6">
        <v>698</v>
      </c>
      <c r="B699" s="7" t="s">
        <v>10</v>
      </c>
      <c r="C699" s="8">
        <v>1888</v>
      </c>
      <c r="D699" s="9">
        <v>45432</v>
      </c>
      <c r="E699" s="13" t="str">
        <f>+HYPERLINK("http://trademark.i-assist.jp/data/china/image_1888th/76847873.pdf","76847873")</f>
        <v>76847873</v>
      </c>
      <c r="F699" s="7" t="s">
        <v>1971</v>
      </c>
      <c r="G699" s="7" t="s">
        <v>1972</v>
      </c>
      <c r="H699" s="7" t="s">
        <v>1973</v>
      </c>
      <c r="I699" s="9">
        <v>45341</v>
      </c>
    </row>
    <row r="700" spans="1:9" x14ac:dyDescent="0.15">
      <c r="A700" s="6">
        <v>699</v>
      </c>
      <c r="B700" s="7" t="s">
        <v>10</v>
      </c>
      <c r="C700" s="8">
        <v>1888</v>
      </c>
      <c r="D700" s="9">
        <v>45432</v>
      </c>
      <c r="E700" s="13" t="str">
        <f>+HYPERLINK("http://trademark.i-assist.jp/data/china/image_1888th/76847961.pdf","76847961")</f>
        <v>76847961</v>
      </c>
      <c r="F700" s="7" t="s">
        <v>1974</v>
      </c>
      <c r="G700" s="7" t="s">
        <v>1975</v>
      </c>
      <c r="H700" s="7" t="s">
        <v>1976</v>
      </c>
      <c r="I700" s="9">
        <v>45341</v>
      </c>
    </row>
    <row r="701" spans="1:9" x14ac:dyDescent="0.15">
      <c r="A701" s="6">
        <v>700</v>
      </c>
      <c r="B701" s="7" t="s">
        <v>10</v>
      </c>
      <c r="C701" s="8">
        <v>1888</v>
      </c>
      <c r="D701" s="9">
        <v>45432</v>
      </c>
      <c r="E701" s="13" t="str">
        <f>+HYPERLINK("http://trademark.i-assist.jp/data/china/image_1888th/76848024.pdf","76848024")</f>
        <v>76848024</v>
      </c>
      <c r="F701" s="7" t="s">
        <v>1977</v>
      </c>
      <c r="G701" s="7" t="s">
        <v>1978</v>
      </c>
      <c r="H701" s="7" t="s">
        <v>1979</v>
      </c>
      <c r="I701" s="9">
        <v>45341</v>
      </c>
    </row>
    <row r="702" spans="1:9" x14ac:dyDescent="0.15">
      <c r="A702" s="6">
        <v>701</v>
      </c>
      <c r="B702" s="7" t="s">
        <v>10</v>
      </c>
      <c r="C702" s="8">
        <v>1888</v>
      </c>
      <c r="D702" s="9">
        <v>45432</v>
      </c>
      <c r="E702" s="13" t="str">
        <f>+HYPERLINK("http://trademark.i-assist.jp/data/china/image_1888th/76849366.pdf","76849366")</f>
        <v>76849366</v>
      </c>
      <c r="F702" s="7" t="s">
        <v>1980</v>
      </c>
      <c r="G702" s="7" t="s">
        <v>1981</v>
      </c>
      <c r="H702" s="7" t="s">
        <v>1982</v>
      </c>
      <c r="I702" s="9">
        <v>45341</v>
      </c>
    </row>
    <row r="703" spans="1:9" x14ac:dyDescent="0.15">
      <c r="A703" s="6">
        <v>702</v>
      </c>
      <c r="B703" s="7" t="s">
        <v>10</v>
      </c>
      <c r="C703" s="8">
        <v>1888</v>
      </c>
      <c r="D703" s="9">
        <v>45432</v>
      </c>
      <c r="E703" s="13" t="str">
        <f>+HYPERLINK("http://trademark.i-assist.jp/data/china/image_1888th/76851003.pdf","76851003")</f>
        <v>76851003</v>
      </c>
      <c r="F703" s="7" t="s">
        <v>1983</v>
      </c>
      <c r="G703" s="7" t="s">
        <v>1984</v>
      </c>
      <c r="H703" s="7" t="s">
        <v>1985</v>
      </c>
      <c r="I703" s="9">
        <v>45341</v>
      </c>
    </row>
    <row r="704" spans="1:9" ht="27" x14ac:dyDescent="0.15">
      <c r="A704" s="6">
        <v>703</v>
      </c>
      <c r="B704" s="7" t="s">
        <v>10</v>
      </c>
      <c r="C704" s="8">
        <v>1888</v>
      </c>
      <c r="D704" s="9">
        <v>45432</v>
      </c>
      <c r="E704" s="13" t="str">
        <f>+HYPERLINK("http://trademark.i-assist.jp/data/china/image_1888th/76852115.pdf","76852115")</f>
        <v>76852115</v>
      </c>
      <c r="F704" s="7" t="s">
        <v>1986</v>
      </c>
      <c r="G704" s="7" t="s">
        <v>1987</v>
      </c>
      <c r="H704" s="7" t="s">
        <v>1988</v>
      </c>
      <c r="I704" s="9">
        <v>45341</v>
      </c>
    </row>
    <row r="705" spans="1:9" x14ac:dyDescent="0.15">
      <c r="A705" s="6">
        <v>704</v>
      </c>
      <c r="B705" s="7" t="s">
        <v>10</v>
      </c>
      <c r="C705" s="8">
        <v>1888</v>
      </c>
      <c r="D705" s="9">
        <v>45432</v>
      </c>
      <c r="E705" s="13" t="str">
        <f>+HYPERLINK("http://trademark.i-assist.jp/data/china/image_1888th/76852605.pdf","76852605")</f>
        <v>76852605</v>
      </c>
      <c r="F705" s="7" t="s">
        <v>1989</v>
      </c>
      <c r="G705" s="7" t="s">
        <v>1391</v>
      </c>
      <c r="H705" s="7" t="s">
        <v>1990</v>
      </c>
      <c r="I705" s="9">
        <v>45341</v>
      </c>
    </row>
    <row r="706" spans="1:9" x14ac:dyDescent="0.15">
      <c r="A706" s="6">
        <v>705</v>
      </c>
      <c r="B706" s="7" t="s">
        <v>10</v>
      </c>
      <c r="C706" s="8">
        <v>1888</v>
      </c>
      <c r="D706" s="9">
        <v>45432</v>
      </c>
      <c r="E706" s="13" t="str">
        <f>+HYPERLINK("http://trademark.i-assist.jp/data/china/image_1888th/76852687.pdf","76852687")</f>
        <v>76852687</v>
      </c>
      <c r="F706" s="7" t="s">
        <v>1991</v>
      </c>
      <c r="G706" s="7" t="s">
        <v>1992</v>
      </c>
      <c r="H706" s="7" t="s">
        <v>1993</v>
      </c>
      <c r="I706" s="9">
        <v>45341</v>
      </c>
    </row>
    <row r="707" spans="1:9" ht="27" x14ac:dyDescent="0.15">
      <c r="A707" s="6">
        <v>706</v>
      </c>
      <c r="B707" s="7" t="s">
        <v>10</v>
      </c>
      <c r="C707" s="8">
        <v>1888</v>
      </c>
      <c r="D707" s="9">
        <v>45432</v>
      </c>
      <c r="E707" s="13" t="str">
        <f>+HYPERLINK("http://trademark.i-assist.jp/data/china/image_1888th/76853456.pdf","76853456")</f>
        <v>76853456</v>
      </c>
      <c r="F707" s="7" t="s">
        <v>1994</v>
      </c>
      <c r="G707" s="7" t="s">
        <v>1995</v>
      </c>
      <c r="H707" s="7" t="s">
        <v>1996</v>
      </c>
      <c r="I707" s="9">
        <v>45341</v>
      </c>
    </row>
    <row r="708" spans="1:9" x14ac:dyDescent="0.15">
      <c r="A708" s="6">
        <v>707</v>
      </c>
      <c r="B708" s="7" t="s">
        <v>10</v>
      </c>
      <c r="C708" s="8">
        <v>1888</v>
      </c>
      <c r="D708" s="9">
        <v>45432</v>
      </c>
      <c r="E708" s="13" t="str">
        <f>+HYPERLINK("http://trademark.i-assist.jp/data/china/image_1888th/76853663.pdf","76853663")</f>
        <v>76853663</v>
      </c>
      <c r="F708" s="7" t="s">
        <v>1997</v>
      </c>
      <c r="G708" s="7" t="s">
        <v>1998</v>
      </c>
      <c r="H708" s="7" t="s">
        <v>1999</v>
      </c>
      <c r="I708" s="9">
        <v>45341</v>
      </c>
    </row>
    <row r="709" spans="1:9" x14ac:dyDescent="0.15">
      <c r="A709" s="6">
        <v>708</v>
      </c>
      <c r="B709" s="7" t="s">
        <v>10</v>
      </c>
      <c r="C709" s="8">
        <v>1888</v>
      </c>
      <c r="D709" s="9">
        <v>45432</v>
      </c>
      <c r="E709" s="13" t="str">
        <f>+HYPERLINK("http://trademark.i-assist.jp/data/china/image_1888th/76854414.pdf","76854414")</f>
        <v>76854414</v>
      </c>
      <c r="F709" s="7" t="s">
        <v>2000</v>
      </c>
      <c r="G709" s="7" t="s">
        <v>2001</v>
      </c>
      <c r="H709" s="7" t="s">
        <v>2002</v>
      </c>
      <c r="I709" s="9">
        <v>45341</v>
      </c>
    </row>
    <row r="710" spans="1:9" x14ac:dyDescent="0.15">
      <c r="A710" s="6">
        <v>709</v>
      </c>
      <c r="B710" s="7" t="s">
        <v>10</v>
      </c>
      <c r="C710" s="8">
        <v>1888</v>
      </c>
      <c r="D710" s="9">
        <v>45432</v>
      </c>
      <c r="E710" s="13" t="str">
        <f>+HYPERLINK("http://trademark.i-assist.jp/data/china/image_1888th/76854490.pdf","76854490")</f>
        <v>76854490</v>
      </c>
      <c r="F710" s="7" t="s">
        <v>2003</v>
      </c>
      <c r="G710" s="7" t="s">
        <v>2004</v>
      </c>
      <c r="H710" s="7" t="s">
        <v>2005</v>
      </c>
      <c r="I710" s="9">
        <v>45341</v>
      </c>
    </row>
    <row r="711" spans="1:9" x14ac:dyDescent="0.15">
      <c r="A711" s="6">
        <v>710</v>
      </c>
      <c r="B711" s="7" t="s">
        <v>10</v>
      </c>
      <c r="C711" s="8">
        <v>1888</v>
      </c>
      <c r="D711" s="9">
        <v>45432</v>
      </c>
      <c r="E711" s="13" t="str">
        <f>+HYPERLINK("http://trademark.i-assist.jp/data/china/image_1888th/76855251.pdf","76855251")</f>
        <v>76855251</v>
      </c>
      <c r="F711" s="7" t="s">
        <v>2006</v>
      </c>
      <c r="G711" s="7" t="s">
        <v>2007</v>
      </c>
      <c r="H711" s="7" t="s">
        <v>2008</v>
      </c>
      <c r="I711" s="9">
        <v>45341</v>
      </c>
    </row>
    <row r="712" spans="1:9" ht="27" x14ac:dyDescent="0.15">
      <c r="A712" s="6">
        <v>711</v>
      </c>
      <c r="B712" s="7" t="s">
        <v>10</v>
      </c>
      <c r="C712" s="8">
        <v>1888</v>
      </c>
      <c r="D712" s="9">
        <v>45432</v>
      </c>
      <c r="E712" s="13" t="str">
        <f>+HYPERLINK("http://trademark.i-assist.jp/data/china/image_1888th/76855302.pdf","76855302")</f>
        <v>76855302</v>
      </c>
      <c r="F712" s="7" t="s">
        <v>2009</v>
      </c>
      <c r="G712" s="7" t="s">
        <v>2010</v>
      </c>
      <c r="H712" s="7" t="s">
        <v>2011</v>
      </c>
      <c r="I712" s="9">
        <v>45341</v>
      </c>
    </row>
    <row r="713" spans="1:9" x14ac:dyDescent="0.15">
      <c r="A713" s="6">
        <v>712</v>
      </c>
      <c r="B713" s="7" t="s">
        <v>10</v>
      </c>
      <c r="C713" s="8">
        <v>1888</v>
      </c>
      <c r="D713" s="9">
        <v>45432</v>
      </c>
      <c r="E713" s="13" t="str">
        <f>+HYPERLINK("http://trademark.i-assist.jp/data/china/image_1888th/76856062.pdf","76856062")</f>
        <v>76856062</v>
      </c>
      <c r="F713" s="7" t="s">
        <v>2012</v>
      </c>
      <c r="G713" s="7" t="s">
        <v>2013</v>
      </c>
      <c r="H713" s="7" t="s">
        <v>2014</v>
      </c>
      <c r="I713" s="9">
        <v>45341</v>
      </c>
    </row>
    <row r="714" spans="1:9" x14ac:dyDescent="0.15">
      <c r="A714" s="6">
        <v>713</v>
      </c>
      <c r="B714" s="7" t="s">
        <v>10</v>
      </c>
      <c r="C714" s="8">
        <v>1888</v>
      </c>
      <c r="D714" s="9">
        <v>45432</v>
      </c>
      <c r="E714" s="13" t="str">
        <f>+HYPERLINK("http://trademark.i-assist.jp/data/china/image_1888th/76856356.pdf","76856356")</f>
        <v>76856356</v>
      </c>
      <c r="F714" s="7" t="s">
        <v>2015</v>
      </c>
      <c r="G714" s="7" t="s">
        <v>2016</v>
      </c>
      <c r="H714" s="7" t="s">
        <v>2017</v>
      </c>
      <c r="I714" s="9">
        <v>45341</v>
      </c>
    </row>
    <row r="715" spans="1:9" x14ac:dyDescent="0.15">
      <c r="A715" s="6">
        <v>714</v>
      </c>
      <c r="B715" s="7" t="s">
        <v>10</v>
      </c>
      <c r="C715" s="8">
        <v>1888</v>
      </c>
      <c r="D715" s="9">
        <v>45432</v>
      </c>
      <c r="E715" s="13" t="str">
        <f>+HYPERLINK("http://trademark.i-assist.jp/data/china/image_1888th/76856658.pdf","76856658")</f>
        <v>76856658</v>
      </c>
      <c r="F715" s="7" t="s">
        <v>2018</v>
      </c>
      <c r="G715" s="7" t="s">
        <v>2019</v>
      </c>
      <c r="H715" s="7" t="s">
        <v>2020</v>
      </c>
      <c r="I715" s="9">
        <v>45341</v>
      </c>
    </row>
    <row r="716" spans="1:9" x14ac:dyDescent="0.15">
      <c r="A716" s="6">
        <v>715</v>
      </c>
      <c r="B716" s="7" t="s">
        <v>10</v>
      </c>
      <c r="C716" s="8">
        <v>1888</v>
      </c>
      <c r="D716" s="9">
        <v>45432</v>
      </c>
      <c r="E716" s="13" t="str">
        <f>+HYPERLINK("http://trademark.i-assist.jp/data/china/image_1888th/76856801.pdf","76856801")</f>
        <v>76856801</v>
      </c>
      <c r="F716" s="7" t="s">
        <v>2021</v>
      </c>
      <c r="G716" s="7" t="s">
        <v>2022</v>
      </c>
      <c r="H716" s="7" t="s">
        <v>2023</v>
      </c>
      <c r="I716" s="9">
        <v>45341</v>
      </c>
    </row>
    <row r="717" spans="1:9" x14ac:dyDescent="0.15">
      <c r="A717" s="6">
        <v>716</v>
      </c>
      <c r="B717" s="7" t="s">
        <v>10</v>
      </c>
      <c r="C717" s="8">
        <v>1888</v>
      </c>
      <c r="D717" s="9">
        <v>45432</v>
      </c>
      <c r="E717" s="13" t="str">
        <f>+HYPERLINK("http://trademark.i-assist.jp/data/china/image_1888th/76857060.pdf","76857060")</f>
        <v>76857060</v>
      </c>
      <c r="F717" s="7" t="s">
        <v>2024</v>
      </c>
      <c r="G717" s="7" t="s">
        <v>2025</v>
      </c>
      <c r="H717" s="7" t="s">
        <v>2026</v>
      </c>
      <c r="I717" s="9">
        <v>45341</v>
      </c>
    </row>
    <row r="718" spans="1:9" x14ac:dyDescent="0.15">
      <c r="A718" s="6">
        <v>717</v>
      </c>
      <c r="B718" s="7" t="s">
        <v>10</v>
      </c>
      <c r="C718" s="8">
        <v>1888</v>
      </c>
      <c r="D718" s="9">
        <v>45432</v>
      </c>
      <c r="E718" s="13" t="str">
        <f>+HYPERLINK("http://trademark.i-assist.jp/data/china/image_1888th/76857246.pdf","76857246")</f>
        <v>76857246</v>
      </c>
      <c r="F718" s="7" t="s">
        <v>2027</v>
      </c>
      <c r="G718" s="7" t="s">
        <v>2028</v>
      </c>
      <c r="H718" s="7" t="s">
        <v>2029</v>
      </c>
      <c r="I718" s="9">
        <v>45341</v>
      </c>
    </row>
    <row r="719" spans="1:9" x14ac:dyDescent="0.15">
      <c r="A719" s="6">
        <v>718</v>
      </c>
      <c r="B719" s="7" t="s">
        <v>10</v>
      </c>
      <c r="C719" s="8">
        <v>1888</v>
      </c>
      <c r="D719" s="9">
        <v>45432</v>
      </c>
      <c r="E719" s="13" t="str">
        <f>+HYPERLINK("http://trademark.i-assist.jp/data/china/image_1888th/76857358.pdf","76857358")</f>
        <v>76857358</v>
      </c>
      <c r="F719" s="7" t="s">
        <v>2030</v>
      </c>
      <c r="G719" s="7" t="s">
        <v>2031</v>
      </c>
      <c r="H719" s="7" t="s">
        <v>2032</v>
      </c>
      <c r="I719" s="9">
        <v>45341</v>
      </c>
    </row>
    <row r="720" spans="1:9" ht="27" x14ac:dyDescent="0.15">
      <c r="A720" s="6">
        <v>719</v>
      </c>
      <c r="B720" s="7" t="s">
        <v>10</v>
      </c>
      <c r="C720" s="8">
        <v>1888</v>
      </c>
      <c r="D720" s="9">
        <v>45432</v>
      </c>
      <c r="E720" s="13" t="str">
        <f>+HYPERLINK("http://trademark.i-assist.jp/data/china/image_1888th/76857463.pdf","76857463")</f>
        <v>76857463</v>
      </c>
      <c r="F720" s="7" t="s">
        <v>2033</v>
      </c>
      <c r="G720" s="7" t="s">
        <v>2034</v>
      </c>
      <c r="H720" s="7" t="s">
        <v>2035</v>
      </c>
      <c r="I720" s="9">
        <v>45341</v>
      </c>
    </row>
    <row r="721" spans="1:9" x14ac:dyDescent="0.15">
      <c r="A721" s="6">
        <v>720</v>
      </c>
      <c r="B721" s="7" t="s">
        <v>10</v>
      </c>
      <c r="C721" s="8">
        <v>1888</v>
      </c>
      <c r="D721" s="9">
        <v>45432</v>
      </c>
      <c r="E721" s="13" t="str">
        <f>+HYPERLINK("http://trademark.i-assist.jp/data/china/image_1888th/76858143.pdf","76858143")</f>
        <v>76858143</v>
      </c>
      <c r="F721" s="7" t="s">
        <v>2036</v>
      </c>
      <c r="G721" s="7" t="s">
        <v>2037</v>
      </c>
      <c r="H721" s="7" t="s">
        <v>2038</v>
      </c>
      <c r="I721" s="9">
        <v>45341</v>
      </c>
    </row>
    <row r="722" spans="1:9" x14ac:dyDescent="0.15">
      <c r="A722" s="6">
        <v>721</v>
      </c>
      <c r="B722" s="7" t="s">
        <v>10</v>
      </c>
      <c r="C722" s="8">
        <v>1888</v>
      </c>
      <c r="D722" s="9">
        <v>45432</v>
      </c>
      <c r="E722" s="13" t="str">
        <f>+HYPERLINK("http://trademark.i-assist.jp/data/china/image_1888th/76858779.pdf","76858779")</f>
        <v>76858779</v>
      </c>
      <c r="F722" s="7" t="s">
        <v>2039</v>
      </c>
      <c r="G722" s="7" t="s">
        <v>2040</v>
      </c>
      <c r="H722" s="7" t="s">
        <v>2041</v>
      </c>
      <c r="I722" s="9">
        <v>45341</v>
      </c>
    </row>
    <row r="723" spans="1:9" x14ac:dyDescent="0.15">
      <c r="A723" s="6">
        <v>722</v>
      </c>
      <c r="B723" s="7" t="s">
        <v>10</v>
      </c>
      <c r="C723" s="8">
        <v>1888</v>
      </c>
      <c r="D723" s="9">
        <v>45432</v>
      </c>
      <c r="E723" s="13" t="str">
        <f>+HYPERLINK("http://trademark.i-assist.jp/data/china/image_1888th/76859188.pdf","76859188")</f>
        <v>76859188</v>
      </c>
      <c r="F723" s="7" t="s">
        <v>2042</v>
      </c>
      <c r="G723" s="7" t="s">
        <v>2043</v>
      </c>
      <c r="H723" s="7" t="s">
        <v>2044</v>
      </c>
      <c r="I723" s="9">
        <v>45341</v>
      </c>
    </row>
    <row r="724" spans="1:9" x14ac:dyDescent="0.15">
      <c r="A724" s="6">
        <v>723</v>
      </c>
      <c r="B724" s="7" t="s">
        <v>10</v>
      </c>
      <c r="C724" s="8">
        <v>1888</v>
      </c>
      <c r="D724" s="9">
        <v>45432</v>
      </c>
      <c r="E724" s="13" t="str">
        <f>+HYPERLINK("http://trademark.i-assist.jp/data/china/image_1888th/76859261.pdf","76859261")</f>
        <v>76859261</v>
      </c>
      <c r="F724" s="7" t="s">
        <v>2045</v>
      </c>
      <c r="G724" s="7" t="s">
        <v>1823</v>
      </c>
      <c r="H724" s="7" t="s">
        <v>2046</v>
      </c>
      <c r="I724" s="9">
        <v>45341</v>
      </c>
    </row>
    <row r="725" spans="1:9" x14ac:dyDescent="0.15">
      <c r="A725" s="6">
        <v>724</v>
      </c>
      <c r="B725" s="7" t="s">
        <v>10</v>
      </c>
      <c r="C725" s="8">
        <v>1888</v>
      </c>
      <c r="D725" s="9">
        <v>45432</v>
      </c>
      <c r="E725" s="13" t="str">
        <f>+HYPERLINK("http://trademark.i-assist.jp/data/china/image_1888th/76859298.pdf","76859298")</f>
        <v>76859298</v>
      </c>
      <c r="F725" s="7" t="s">
        <v>2047</v>
      </c>
      <c r="G725" s="7" t="s">
        <v>2048</v>
      </c>
      <c r="H725" s="7" t="s">
        <v>2049</v>
      </c>
      <c r="I725" s="9">
        <v>45341</v>
      </c>
    </row>
    <row r="726" spans="1:9" ht="27" x14ac:dyDescent="0.15">
      <c r="A726" s="6">
        <v>725</v>
      </c>
      <c r="B726" s="7" t="s">
        <v>10</v>
      </c>
      <c r="C726" s="8">
        <v>1888</v>
      </c>
      <c r="D726" s="9">
        <v>45432</v>
      </c>
      <c r="E726" s="13" t="str">
        <f>+HYPERLINK("http://trademark.i-assist.jp/data/china/image_1888th/76859663.pdf","76859663")</f>
        <v>76859663</v>
      </c>
      <c r="F726" s="7" t="s">
        <v>2050</v>
      </c>
      <c r="G726" s="7" t="s">
        <v>2051</v>
      </c>
      <c r="H726" s="7" t="s">
        <v>2052</v>
      </c>
      <c r="I726" s="9">
        <v>45341</v>
      </c>
    </row>
    <row r="727" spans="1:9" x14ac:dyDescent="0.15">
      <c r="A727" s="6">
        <v>726</v>
      </c>
      <c r="B727" s="7" t="s">
        <v>10</v>
      </c>
      <c r="C727" s="8">
        <v>1888</v>
      </c>
      <c r="D727" s="9">
        <v>45432</v>
      </c>
      <c r="E727" s="13" t="str">
        <f>+HYPERLINK("http://trademark.i-assist.jp/data/china/image_1888th/76859701.pdf","76859701")</f>
        <v>76859701</v>
      </c>
      <c r="F727" s="7" t="s">
        <v>2053</v>
      </c>
      <c r="G727" s="7" t="s">
        <v>2054</v>
      </c>
      <c r="H727" s="7" t="s">
        <v>2055</v>
      </c>
      <c r="I727" s="9">
        <v>45341</v>
      </c>
    </row>
    <row r="728" spans="1:9" x14ac:dyDescent="0.15">
      <c r="A728" s="6">
        <v>727</v>
      </c>
      <c r="B728" s="7" t="s">
        <v>10</v>
      </c>
      <c r="C728" s="8">
        <v>1888</v>
      </c>
      <c r="D728" s="9">
        <v>45432</v>
      </c>
      <c r="E728" s="13" t="str">
        <f>+HYPERLINK("http://trademark.i-assist.jp/data/china/image_1888th/76859707.pdf","76859707")</f>
        <v>76859707</v>
      </c>
      <c r="F728" s="7" t="s">
        <v>2056</v>
      </c>
      <c r="G728" s="7" t="s">
        <v>2057</v>
      </c>
      <c r="H728" s="7" t="s">
        <v>2058</v>
      </c>
      <c r="I728" s="9">
        <v>45341</v>
      </c>
    </row>
    <row r="729" spans="1:9" x14ac:dyDescent="0.15">
      <c r="A729" s="6">
        <v>728</v>
      </c>
      <c r="B729" s="7" t="s">
        <v>10</v>
      </c>
      <c r="C729" s="8">
        <v>1888</v>
      </c>
      <c r="D729" s="9">
        <v>45432</v>
      </c>
      <c r="E729" s="13" t="str">
        <f>+HYPERLINK("http://trademark.i-assist.jp/data/china/image_1888th/76859770.pdf","76859770")</f>
        <v>76859770</v>
      </c>
      <c r="F729" s="7" t="s">
        <v>2059</v>
      </c>
      <c r="G729" s="7" t="s">
        <v>2060</v>
      </c>
      <c r="H729" s="7" t="s">
        <v>2061</v>
      </c>
      <c r="I729" s="9">
        <v>45341</v>
      </c>
    </row>
    <row r="730" spans="1:9" x14ac:dyDescent="0.15">
      <c r="A730" s="6">
        <v>729</v>
      </c>
      <c r="B730" s="7" t="s">
        <v>10</v>
      </c>
      <c r="C730" s="8">
        <v>1888</v>
      </c>
      <c r="D730" s="9">
        <v>45432</v>
      </c>
      <c r="E730" s="13" t="str">
        <f>+HYPERLINK("http://trademark.i-assist.jp/data/china/image_1888th/76859931.pdf","76859931")</f>
        <v>76859931</v>
      </c>
      <c r="F730" s="7" t="s">
        <v>2062</v>
      </c>
      <c r="G730" s="7" t="s">
        <v>2063</v>
      </c>
      <c r="H730" s="7" t="s">
        <v>2064</v>
      </c>
      <c r="I730" s="9">
        <v>45341</v>
      </c>
    </row>
    <row r="731" spans="1:9" x14ac:dyDescent="0.15">
      <c r="A731" s="6">
        <v>730</v>
      </c>
      <c r="B731" s="7" t="s">
        <v>10</v>
      </c>
      <c r="C731" s="8">
        <v>1888</v>
      </c>
      <c r="D731" s="9">
        <v>45432</v>
      </c>
      <c r="E731" s="13" t="str">
        <f>+HYPERLINK("http://trademark.i-assist.jp/data/china/image_1888th/76860120.pdf","76860120")</f>
        <v>76860120</v>
      </c>
      <c r="F731" s="7" t="s">
        <v>2065</v>
      </c>
      <c r="G731" s="7" t="s">
        <v>2066</v>
      </c>
      <c r="H731" s="7" t="s">
        <v>2067</v>
      </c>
      <c r="I731" s="9">
        <v>45341</v>
      </c>
    </row>
    <row r="732" spans="1:9" ht="27" x14ac:dyDescent="0.15">
      <c r="A732" s="6">
        <v>731</v>
      </c>
      <c r="B732" s="7" t="s">
        <v>10</v>
      </c>
      <c r="C732" s="8">
        <v>1888</v>
      </c>
      <c r="D732" s="9">
        <v>45432</v>
      </c>
      <c r="E732" s="13" t="str">
        <f>+HYPERLINK("http://trademark.i-assist.jp/data/china/image_1888th/76860421.pdf","76860421")</f>
        <v>76860421</v>
      </c>
      <c r="F732" s="7" t="s">
        <v>2068</v>
      </c>
      <c r="G732" s="7" t="s">
        <v>2069</v>
      </c>
      <c r="H732" s="7" t="s">
        <v>2070</v>
      </c>
      <c r="I732" s="9">
        <v>45341</v>
      </c>
    </row>
    <row r="733" spans="1:9" x14ac:dyDescent="0.15">
      <c r="A733" s="6">
        <v>732</v>
      </c>
      <c r="B733" s="7" t="s">
        <v>10</v>
      </c>
      <c r="C733" s="8">
        <v>1888</v>
      </c>
      <c r="D733" s="9">
        <v>45432</v>
      </c>
      <c r="E733" s="13" t="str">
        <f>+HYPERLINK("http://trademark.i-assist.jp/data/china/image_1888th/76861044.pdf","76861044")</f>
        <v>76861044</v>
      </c>
      <c r="F733" s="7" t="s">
        <v>2071</v>
      </c>
      <c r="G733" s="7" t="s">
        <v>2072</v>
      </c>
      <c r="H733" s="7" t="s">
        <v>2073</v>
      </c>
      <c r="I733" s="9">
        <v>45341</v>
      </c>
    </row>
    <row r="734" spans="1:9" x14ac:dyDescent="0.15">
      <c r="A734" s="6">
        <v>733</v>
      </c>
      <c r="B734" s="7" t="s">
        <v>10</v>
      </c>
      <c r="C734" s="8">
        <v>1888</v>
      </c>
      <c r="D734" s="9">
        <v>45432</v>
      </c>
      <c r="E734" s="13" t="str">
        <f>+HYPERLINK("http://trademark.i-assist.jp/data/china/image_1888th/76861440.pdf","76861440")</f>
        <v>76861440</v>
      </c>
      <c r="F734" s="7" t="s">
        <v>2074</v>
      </c>
      <c r="G734" s="7" t="s">
        <v>2075</v>
      </c>
      <c r="H734" s="7" t="s">
        <v>2076</v>
      </c>
      <c r="I734" s="9">
        <v>45341</v>
      </c>
    </row>
    <row r="735" spans="1:9" ht="27" x14ac:dyDescent="0.15">
      <c r="A735" s="6">
        <v>734</v>
      </c>
      <c r="B735" s="7" t="s">
        <v>10</v>
      </c>
      <c r="C735" s="8">
        <v>1888</v>
      </c>
      <c r="D735" s="9">
        <v>45432</v>
      </c>
      <c r="E735" s="13" t="str">
        <f>+HYPERLINK("http://trademark.i-assist.jp/data/china/image_1888th/76861563.pdf","76861563")</f>
        <v>76861563</v>
      </c>
      <c r="F735" s="7" t="s">
        <v>2077</v>
      </c>
      <c r="G735" s="7" t="s">
        <v>2069</v>
      </c>
      <c r="H735" s="7" t="s">
        <v>2078</v>
      </c>
      <c r="I735" s="9">
        <v>45341</v>
      </c>
    </row>
    <row r="736" spans="1:9" x14ac:dyDescent="0.15">
      <c r="A736" s="6">
        <v>735</v>
      </c>
      <c r="B736" s="7" t="s">
        <v>10</v>
      </c>
      <c r="C736" s="8">
        <v>1888</v>
      </c>
      <c r="D736" s="9">
        <v>45432</v>
      </c>
      <c r="E736" s="13" t="str">
        <f>+HYPERLINK("http://trademark.i-assist.jp/data/china/image_1888th/76861670.pdf","76861670")</f>
        <v>76861670</v>
      </c>
      <c r="F736" s="7" t="s">
        <v>2079</v>
      </c>
      <c r="G736" s="7" t="s">
        <v>2080</v>
      </c>
      <c r="H736" s="7" t="s">
        <v>2081</v>
      </c>
      <c r="I736" s="9">
        <v>45341</v>
      </c>
    </row>
    <row r="737" spans="1:9" ht="27" x14ac:dyDescent="0.15">
      <c r="A737" s="6">
        <v>736</v>
      </c>
      <c r="B737" s="7" t="s">
        <v>10</v>
      </c>
      <c r="C737" s="8">
        <v>1888</v>
      </c>
      <c r="D737" s="9">
        <v>45432</v>
      </c>
      <c r="E737" s="13" t="str">
        <f>+HYPERLINK("http://trademark.i-assist.jp/data/china/image_1888th/76861689.pdf","76861689")</f>
        <v>76861689</v>
      </c>
      <c r="F737" s="7" t="s">
        <v>2082</v>
      </c>
      <c r="G737" s="7" t="s">
        <v>2083</v>
      </c>
      <c r="H737" s="7" t="s">
        <v>2084</v>
      </c>
      <c r="I737" s="9">
        <v>45341</v>
      </c>
    </row>
    <row r="738" spans="1:9" x14ac:dyDescent="0.15">
      <c r="A738" s="6">
        <v>737</v>
      </c>
      <c r="B738" s="7" t="s">
        <v>10</v>
      </c>
      <c r="C738" s="8">
        <v>1888</v>
      </c>
      <c r="D738" s="9">
        <v>45432</v>
      </c>
      <c r="E738" s="13" t="str">
        <f>+HYPERLINK("http://trademark.i-assist.jp/data/china/image_1888th/76862372.pdf","76862372")</f>
        <v>76862372</v>
      </c>
      <c r="F738" s="7" t="s">
        <v>2085</v>
      </c>
      <c r="G738" s="7" t="s">
        <v>1474</v>
      </c>
      <c r="H738" s="7" t="s">
        <v>2086</v>
      </c>
      <c r="I738" s="9">
        <v>45341</v>
      </c>
    </row>
    <row r="739" spans="1:9" x14ac:dyDescent="0.15">
      <c r="A739" s="6">
        <v>738</v>
      </c>
      <c r="B739" s="7" t="s">
        <v>10</v>
      </c>
      <c r="C739" s="8">
        <v>1888</v>
      </c>
      <c r="D739" s="9">
        <v>45432</v>
      </c>
      <c r="E739" s="13" t="str">
        <f>+HYPERLINK("http://trademark.i-assist.jp/data/china/image_1888th/76862522.pdf","76862522")</f>
        <v>76862522</v>
      </c>
      <c r="F739" s="7" t="s">
        <v>2087</v>
      </c>
      <c r="G739" s="7" t="s">
        <v>2088</v>
      </c>
      <c r="H739" s="7" t="s">
        <v>2089</v>
      </c>
      <c r="I739" s="9">
        <v>45341</v>
      </c>
    </row>
    <row r="740" spans="1:9" x14ac:dyDescent="0.15">
      <c r="A740" s="6">
        <v>739</v>
      </c>
      <c r="B740" s="7" t="s">
        <v>10</v>
      </c>
      <c r="C740" s="8">
        <v>1888</v>
      </c>
      <c r="D740" s="9">
        <v>45432</v>
      </c>
      <c r="E740" s="13" t="str">
        <f>+HYPERLINK("http://trademark.i-assist.jp/data/china/image_1888th/76862682.pdf","76862682")</f>
        <v>76862682</v>
      </c>
      <c r="F740" s="7" t="s">
        <v>2090</v>
      </c>
      <c r="G740" s="7" t="s">
        <v>2091</v>
      </c>
      <c r="H740" s="7" t="s">
        <v>2092</v>
      </c>
      <c r="I740" s="9">
        <v>45341</v>
      </c>
    </row>
    <row r="741" spans="1:9" x14ac:dyDescent="0.15">
      <c r="A741" s="6">
        <v>740</v>
      </c>
      <c r="B741" s="7" t="s">
        <v>10</v>
      </c>
      <c r="C741" s="8">
        <v>1888</v>
      </c>
      <c r="D741" s="9">
        <v>45432</v>
      </c>
      <c r="E741" s="13" t="str">
        <f>+HYPERLINK("http://trademark.i-assist.jp/data/china/image_1888th/76863272.pdf","76863272")</f>
        <v>76863272</v>
      </c>
      <c r="F741" s="7" t="s">
        <v>2093</v>
      </c>
      <c r="G741" s="7" t="s">
        <v>2094</v>
      </c>
      <c r="H741" s="7" t="s">
        <v>2095</v>
      </c>
      <c r="I741" s="9">
        <v>45342</v>
      </c>
    </row>
    <row r="742" spans="1:9" x14ac:dyDescent="0.15">
      <c r="A742" s="6">
        <v>741</v>
      </c>
      <c r="B742" s="7" t="s">
        <v>10</v>
      </c>
      <c r="C742" s="8">
        <v>1888</v>
      </c>
      <c r="D742" s="9">
        <v>45432</v>
      </c>
      <c r="E742" s="13" t="str">
        <f>+HYPERLINK("http://trademark.i-assist.jp/data/china/image_1888th/76863588.pdf","76863588")</f>
        <v>76863588</v>
      </c>
      <c r="F742" s="7" t="s">
        <v>2096</v>
      </c>
      <c r="G742" s="7" t="s">
        <v>2097</v>
      </c>
      <c r="H742" s="7" t="s">
        <v>2098</v>
      </c>
      <c r="I742" s="9">
        <v>45342</v>
      </c>
    </row>
    <row r="743" spans="1:9" ht="27" x14ac:dyDescent="0.15">
      <c r="A743" s="6">
        <v>742</v>
      </c>
      <c r="B743" s="7" t="s">
        <v>10</v>
      </c>
      <c r="C743" s="8">
        <v>1888</v>
      </c>
      <c r="D743" s="9">
        <v>45432</v>
      </c>
      <c r="E743" s="13" t="str">
        <f>+HYPERLINK("http://trademark.i-assist.jp/data/china/image_1888th/76863852.pdf","76863852")</f>
        <v>76863852</v>
      </c>
      <c r="F743" s="7" t="s">
        <v>2099</v>
      </c>
      <c r="G743" s="7" t="s">
        <v>2100</v>
      </c>
      <c r="H743" s="7" t="s">
        <v>2101</v>
      </c>
      <c r="I743" s="9">
        <v>45342</v>
      </c>
    </row>
    <row r="744" spans="1:9" x14ac:dyDescent="0.15">
      <c r="A744" s="6">
        <v>743</v>
      </c>
      <c r="B744" s="7" t="s">
        <v>10</v>
      </c>
      <c r="C744" s="8">
        <v>1888</v>
      </c>
      <c r="D744" s="9">
        <v>45432</v>
      </c>
      <c r="E744" s="13" t="str">
        <f>+HYPERLINK("http://trademark.i-assist.jp/data/china/image_1888th/76863981.pdf","76863981")</f>
        <v>76863981</v>
      </c>
      <c r="F744" s="7" t="s">
        <v>2102</v>
      </c>
      <c r="G744" s="7" t="s">
        <v>2094</v>
      </c>
      <c r="H744" s="7" t="s">
        <v>2103</v>
      </c>
      <c r="I744" s="9">
        <v>45342</v>
      </c>
    </row>
    <row r="745" spans="1:9" x14ac:dyDescent="0.15">
      <c r="A745" s="6">
        <v>744</v>
      </c>
      <c r="B745" s="7" t="s">
        <v>10</v>
      </c>
      <c r="C745" s="8">
        <v>1888</v>
      </c>
      <c r="D745" s="9">
        <v>45432</v>
      </c>
      <c r="E745" s="13" t="str">
        <f>+HYPERLINK("http://trademark.i-assist.jp/data/china/image_1888th/76864014.pdf","76864014")</f>
        <v>76864014</v>
      </c>
      <c r="F745" s="7" t="s">
        <v>2104</v>
      </c>
      <c r="G745" s="7" t="s">
        <v>2105</v>
      </c>
      <c r="H745" s="7" t="s">
        <v>2106</v>
      </c>
      <c r="I745" s="9">
        <v>45342</v>
      </c>
    </row>
    <row r="746" spans="1:9" x14ac:dyDescent="0.15">
      <c r="A746" s="6">
        <v>745</v>
      </c>
      <c r="B746" s="7" t="s">
        <v>10</v>
      </c>
      <c r="C746" s="8">
        <v>1888</v>
      </c>
      <c r="D746" s="9">
        <v>45432</v>
      </c>
      <c r="E746" s="13" t="str">
        <f>+HYPERLINK("http://trademark.i-assist.jp/data/china/image_1888th/76864637.pdf","76864637")</f>
        <v>76864637</v>
      </c>
      <c r="F746" s="7" t="s">
        <v>2107</v>
      </c>
      <c r="G746" s="7" t="s">
        <v>2108</v>
      </c>
      <c r="H746" s="7" t="s">
        <v>2109</v>
      </c>
      <c r="I746" s="9">
        <v>45342</v>
      </c>
    </row>
    <row r="747" spans="1:9" ht="27" x14ac:dyDescent="0.15">
      <c r="A747" s="6">
        <v>746</v>
      </c>
      <c r="B747" s="7" t="s">
        <v>10</v>
      </c>
      <c r="C747" s="8">
        <v>1888</v>
      </c>
      <c r="D747" s="9">
        <v>45432</v>
      </c>
      <c r="E747" s="13" t="str">
        <f>+HYPERLINK("http://trademark.i-assist.jp/data/china/image_1888th/76867336.pdf","76867336")</f>
        <v>76867336</v>
      </c>
      <c r="F747" s="7" t="s">
        <v>2110</v>
      </c>
      <c r="G747" s="7" t="s">
        <v>2111</v>
      </c>
      <c r="H747" s="7" t="s">
        <v>2112</v>
      </c>
      <c r="I747" s="9">
        <v>45342</v>
      </c>
    </row>
    <row r="748" spans="1:9" x14ac:dyDescent="0.15">
      <c r="A748" s="6">
        <v>747</v>
      </c>
      <c r="B748" s="7" t="s">
        <v>10</v>
      </c>
      <c r="C748" s="8">
        <v>1888</v>
      </c>
      <c r="D748" s="9">
        <v>45432</v>
      </c>
      <c r="E748" s="13" t="str">
        <f>+HYPERLINK("http://trademark.i-assist.jp/data/china/image_1888th/76868288.pdf","76868288")</f>
        <v>76868288</v>
      </c>
      <c r="F748" s="7" t="s">
        <v>2113</v>
      </c>
      <c r="G748" s="7" t="s">
        <v>2105</v>
      </c>
      <c r="H748" s="7" t="s">
        <v>2114</v>
      </c>
      <c r="I748" s="9">
        <v>45342</v>
      </c>
    </row>
    <row r="749" spans="1:9" x14ac:dyDescent="0.15">
      <c r="A749" s="6">
        <v>748</v>
      </c>
      <c r="B749" s="7" t="s">
        <v>10</v>
      </c>
      <c r="C749" s="8">
        <v>1888</v>
      </c>
      <c r="D749" s="9">
        <v>45432</v>
      </c>
      <c r="E749" s="13" t="str">
        <f>+HYPERLINK("http://trademark.i-assist.jp/data/china/image_1888th/76871329.pdf","76871329")</f>
        <v>76871329</v>
      </c>
      <c r="F749" s="7" t="s">
        <v>2115</v>
      </c>
      <c r="G749" s="7" t="s">
        <v>2116</v>
      </c>
      <c r="H749" s="7" t="s">
        <v>2117</v>
      </c>
      <c r="I749" s="9">
        <v>45342</v>
      </c>
    </row>
    <row r="750" spans="1:9" x14ac:dyDescent="0.15">
      <c r="A750" s="6">
        <v>749</v>
      </c>
      <c r="B750" s="7" t="s">
        <v>10</v>
      </c>
      <c r="C750" s="8">
        <v>1888</v>
      </c>
      <c r="D750" s="9">
        <v>45432</v>
      </c>
      <c r="E750" s="13" t="str">
        <f>+HYPERLINK("http://trademark.i-assist.jp/data/china/image_1888th/76872629.pdf","76872629")</f>
        <v>76872629</v>
      </c>
      <c r="F750" s="7" t="s">
        <v>2118</v>
      </c>
      <c r="G750" s="7" t="s">
        <v>2105</v>
      </c>
      <c r="H750" s="7" t="s">
        <v>2119</v>
      </c>
      <c r="I750" s="9">
        <v>45342</v>
      </c>
    </row>
    <row r="751" spans="1:9" x14ac:dyDescent="0.15">
      <c r="A751" s="6">
        <v>750</v>
      </c>
      <c r="B751" s="7" t="s">
        <v>10</v>
      </c>
      <c r="C751" s="8">
        <v>1888</v>
      </c>
      <c r="D751" s="9">
        <v>45432</v>
      </c>
      <c r="E751" s="13" t="str">
        <f>+HYPERLINK("http://trademark.i-assist.jp/data/china/image_1888th/76873742.pdf","76873742")</f>
        <v>76873742</v>
      </c>
      <c r="F751" s="7" t="s">
        <v>2120</v>
      </c>
      <c r="G751" s="7" t="s">
        <v>2121</v>
      </c>
      <c r="H751" s="7" t="s">
        <v>2122</v>
      </c>
      <c r="I751" s="9">
        <v>45342</v>
      </c>
    </row>
    <row r="752" spans="1:9" x14ac:dyDescent="0.15">
      <c r="A752" s="6">
        <v>751</v>
      </c>
      <c r="B752" s="7" t="s">
        <v>10</v>
      </c>
      <c r="C752" s="8">
        <v>1888</v>
      </c>
      <c r="D752" s="9">
        <v>45432</v>
      </c>
      <c r="E752" s="13" t="str">
        <f>+HYPERLINK("http://trademark.i-assist.jp/data/china/image_1888th/76874952.pdf","76874952")</f>
        <v>76874952</v>
      </c>
      <c r="F752" s="7" t="s">
        <v>2123</v>
      </c>
      <c r="G752" s="7" t="s">
        <v>2124</v>
      </c>
      <c r="H752" s="7" t="s">
        <v>2125</v>
      </c>
      <c r="I752" s="9">
        <v>45342</v>
      </c>
    </row>
    <row r="753" spans="1:9" x14ac:dyDescent="0.15">
      <c r="A753" s="6">
        <v>752</v>
      </c>
      <c r="B753" s="7" t="s">
        <v>10</v>
      </c>
      <c r="C753" s="8">
        <v>1888</v>
      </c>
      <c r="D753" s="9">
        <v>45432</v>
      </c>
      <c r="E753" s="13" t="str">
        <f>+HYPERLINK("http://trademark.i-assist.jp/data/china/image_1888th/76875055.pdf","76875055")</f>
        <v>76875055</v>
      </c>
      <c r="F753" s="7" t="s">
        <v>2126</v>
      </c>
      <c r="G753" s="7" t="s">
        <v>2127</v>
      </c>
      <c r="H753" s="7" t="s">
        <v>2128</v>
      </c>
      <c r="I753" s="9">
        <v>45342</v>
      </c>
    </row>
    <row r="754" spans="1:9" ht="27" x14ac:dyDescent="0.15">
      <c r="A754" s="6">
        <v>753</v>
      </c>
      <c r="B754" s="7" t="s">
        <v>10</v>
      </c>
      <c r="C754" s="8">
        <v>1888</v>
      </c>
      <c r="D754" s="9">
        <v>45432</v>
      </c>
      <c r="E754" s="13" t="str">
        <f>+HYPERLINK("http://trademark.i-assist.jp/data/china/image_1888th/76875828.pdf","76875828")</f>
        <v>76875828</v>
      </c>
      <c r="F754" s="7" t="s">
        <v>2129</v>
      </c>
      <c r="G754" s="7" t="s">
        <v>2130</v>
      </c>
      <c r="H754" s="7" t="s">
        <v>2131</v>
      </c>
      <c r="I754" s="9">
        <v>45342</v>
      </c>
    </row>
    <row r="755" spans="1:9" x14ac:dyDescent="0.15">
      <c r="A755" s="6">
        <v>754</v>
      </c>
      <c r="B755" s="7" t="s">
        <v>10</v>
      </c>
      <c r="C755" s="8">
        <v>1888</v>
      </c>
      <c r="D755" s="9">
        <v>45432</v>
      </c>
      <c r="E755" s="13" t="str">
        <f>+HYPERLINK("http://trademark.i-assist.jp/data/china/image_1888th/76876021.pdf","76876021")</f>
        <v>76876021</v>
      </c>
      <c r="F755" s="7" t="s">
        <v>2132</v>
      </c>
      <c r="G755" s="7" t="s">
        <v>2133</v>
      </c>
      <c r="H755" s="7" t="s">
        <v>2134</v>
      </c>
      <c r="I755" s="9">
        <v>45342</v>
      </c>
    </row>
    <row r="756" spans="1:9" x14ac:dyDescent="0.15">
      <c r="A756" s="6">
        <v>755</v>
      </c>
      <c r="B756" s="7" t="s">
        <v>10</v>
      </c>
      <c r="C756" s="8">
        <v>1888</v>
      </c>
      <c r="D756" s="9">
        <v>45432</v>
      </c>
      <c r="E756" s="13" t="str">
        <f>+HYPERLINK("http://trademark.i-assist.jp/data/china/image_1888th/76876709.pdf","76876709")</f>
        <v>76876709</v>
      </c>
      <c r="F756" s="7" t="s">
        <v>2135</v>
      </c>
      <c r="G756" s="7" t="s">
        <v>2136</v>
      </c>
      <c r="H756" s="7" t="s">
        <v>2137</v>
      </c>
      <c r="I756" s="9">
        <v>45342</v>
      </c>
    </row>
    <row r="757" spans="1:9" x14ac:dyDescent="0.15">
      <c r="A757" s="6">
        <v>756</v>
      </c>
      <c r="B757" s="7" t="s">
        <v>10</v>
      </c>
      <c r="C757" s="8">
        <v>1888</v>
      </c>
      <c r="D757" s="9">
        <v>45432</v>
      </c>
      <c r="E757" s="13" t="str">
        <f>+HYPERLINK("http://trademark.i-assist.jp/data/china/image_1888th/76876806.pdf","76876806")</f>
        <v>76876806</v>
      </c>
      <c r="F757" s="7" t="s">
        <v>2138</v>
      </c>
      <c r="G757" s="7" t="s">
        <v>2139</v>
      </c>
      <c r="H757" s="7" t="s">
        <v>2140</v>
      </c>
      <c r="I757" s="9">
        <v>45342</v>
      </c>
    </row>
    <row r="758" spans="1:9" x14ac:dyDescent="0.15">
      <c r="A758" s="6">
        <v>757</v>
      </c>
      <c r="B758" s="7" t="s">
        <v>10</v>
      </c>
      <c r="C758" s="8">
        <v>1888</v>
      </c>
      <c r="D758" s="9">
        <v>45432</v>
      </c>
      <c r="E758" s="13" t="str">
        <f>+HYPERLINK("http://trademark.i-assist.jp/data/china/image_1888th/76877340.pdf","76877340")</f>
        <v>76877340</v>
      </c>
      <c r="F758" s="7" t="s">
        <v>2141</v>
      </c>
      <c r="G758" s="7" t="s">
        <v>2142</v>
      </c>
      <c r="H758" s="7" t="s">
        <v>2143</v>
      </c>
      <c r="I758" s="9">
        <v>45342</v>
      </c>
    </row>
    <row r="759" spans="1:9" ht="27" x14ac:dyDescent="0.15">
      <c r="A759" s="6">
        <v>758</v>
      </c>
      <c r="B759" s="7" t="s">
        <v>10</v>
      </c>
      <c r="C759" s="8">
        <v>1888</v>
      </c>
      <c r="D759" s="9">
        <v>45432</v>
      </c>
      <c r="E759" s="13" t="str">
        <f>+HYPERLINK("http://trademark.i-assist.jp/data/china/image_1888th/76877696.pdf","76877696")</f>
        <v>76877696</v>
      </c>
      <c r="F759" s="7" t="s">
        <v>2144</v>
      </c>
      <c r="G759" s="7" t="s">
        <v>2145</v>
      </c>
      <c r="H759" s="7" t="s">
        <v>2146</v>
      </c>
      <c r="I759" s="9">
        <v>45342</v>
      </c>
    </row>
    <row r="760" spans="1:9" x14ac:dyDescent="0.15">
      <c r="A760" s="6">
        <v>759</v>
      </c>
      <c r="B760" s="7" t="s">
        <v>10</v>
      </c>
      <c r="C760" s="8">
        <v>1888</v>
      </c>
      <c r="D760" s="9">
        <v>45432</v>
      </c>
      <c r="E760" s="13" t="str">
        <f>+HYPERLINK("http://trademark.i-assist.jp/data/china/image_1888th/76878121.pdf","76878121")</f>
        <v>76878121</v>
      </c>
      <c r="F760" s="7" t="s">
        <v>2147</v>
      </c>
      <c r="G760" s="7" t="s">
        <v>2094</v>
      </c>
      <c r="H760" s="7" t="s">
        <v>2148</v>
      </c>
      <c r="I760" s="9">
        <v>45342</v>
      </c>
    </row>
    <row r="761" spans="1:9" ht="27" x14ac:dyDescent="0.15">
      <c r="A761" s="6">
        <v>760</v>
      </c>
      <c r="B761" s="7" t="s">
        <v>10</v>
      </c>
      <c r="C761" s="8">
        <v>1888</v>
      </c>
      <c r="D761" s="9">
        <v>45432</v>
      </c>
      <c r="E761" s="13" t="str">
        <f>+HYPERLINK("http://trademark.i-assist.jp/data/china/image_1888th/76878465.pdf","76878465")</f>
        <v>76878465</v>
      </c>
      <c r="F761" s="7" t="s">
        <v>2149</v>
      </c>
      <c r="G761" s="7" t="s">
        <v>2150</v>
      </c>
      <c r="H761" s="7" t="s">
        <v>2151</v>
      </c>
      <c r="I761" s="9">
        <v>45342</v>
      </c>
    </row>
    <row r="762" spans="1:9" x14ac:dyDescent="0.15">
      <c r="A762" s="6">
        <v>761</v>
      </c>
      <c r="B762" s="7" t="s">
        <v>10</v>
      </c>
      <c r="C762" s="8">
        <v>1888</v>
      </c>
      <c r="D762" s="9">
        <v>45432</v>
      </c>
      <c r="E762" s="13" t="str">
        <f>+HYPERLINK("http://trademark.i-assist.jp/data/china/image_1888th/76878681.pdf","76878681")</f>
        <v>76878681</v>
      </c>
      <c r="F762" s="7" t="s">
        <v>2152</v>
      </c>
      <c r="G762" s="7" t="s">
        <v>2153</v>
      </c>
      <c r="H762" s="7" t="s">
        <v>2154</v>
      </c>
      <c r="I762" s="9">
        <v>45342</v>
      </c>
    </row>
    <row r="763" spans="1:9" x14ac:dyDescent="0.15">
      <c r="A763" s="6">
        <v>762</v>
      </c>
      <c r="B763" s="7" t="s">
        <v>10</v>
      </c>
      <c r="C763" s="8">
        <v>1888</v>
      </c>
      <c r="D763" s="9">
        <v>45432</v>
      </c>
      <c r="E763" s="13" t="str">
        <f>+HYPERLINK("http://trademark.i-assist.jp/data/china/image_1888th/76879320.pdf","76879320")</f>
        <v>76879320</v>
      </c>
      <c r="F763" s="7" t="s">
        <v>2155</v>
      </c>
      <c r="G763" s="7" t="s">
        <v>2156</v>
      </c>
      <c r="H763" s="7" t="s">
        <v>2157</v>
      </c>
      <c r="I763" s="9">
        <v>45342</v>
      </c>
    </row>
    <row r="764" spans="1:9" x14ac:dyDescent="0.15">
      <c r="A764" s="6">
        <v>763</v>
      </c>
      <c r="B764" s="7" t="s">
        <v>10</v>
      </c>
      <c r="C764" s="8">
        <v>1888</v>
      </c>
      <c r="D764" s="9">
        <v>45432</v>
      </c>
      <c r="E764" s="13" t="str">
        <f>+HYPERLINK("http://trademark.i-assist.jp/data/china/image_1888th/76879487.pdf","76879487")</f>
        <v>76879487</v>
      </c>
      <c r="F764" s="7" t="s">
        <v>2158</v>
      </c>
      <c r="G764" s="7" t="s">
        <v>2159</v>
      </c>
      <c r="H764" s="7" t="s">
        <v>2160</v>
      </c>
      <c r="I764" s="9">
        <v>45342</v>
      </c>
    </row>
    <row r="765" spans="1:9" x14ac:dyDescent="0.15">
      <c r="A765" s="6">
        <v>764</v>
      </c>
      <c r="B765" s="7" t="s">
        <v>10</v>
      </c>
      <c r="C765" s="8">
        <v>1888</v>
      </c>
      <c r="D765" s="9">
        <v>45432</v>
      </c>
      <c r="E765" s="13" t="str">
        <f>+HYPERLINK("http://trademark.i-assist.jp/data/china/image_1888th/76879746.pdf","76879746")</f>
        <v>76879746</v>
      </c>
      <c r="F765" s="7" t="s">
        <v>2161</v>
      </c>
      <c r="G765" s="7" t="s">
        <v>2162</v>
      </c>
      <c r="H765" s="7" t="s">
        <v>2163</v>
      </c>
      <c r="I765" s="9">
        <v>45342</v>
      </c>
    </row>
    <row r="766" spans="1:9" ht="27" x14ac:dyDescent="0.15">
      <c r="A766" s="6">
        <v>765</v>
      </c>
      <c r="B766" s="7" t="s">
        <v>10</v>
      </c>
      <c r="C766" s="8">
        <v>1888</v>
      </c>
      <c r="D766" s="9">
        <v>45432</v>
      </c>
      <c r="E766" s="13" t="str">
        <f>+HYPERLINK("http://trademark.i-assist.jp/data/china/image_1888th/76880295.pdf","76880295")</f>
        <v>76880295</v>
      </c>
      <c r="F766" s="7" t="s">
        <v>2164</v>
      </c>
      <c r="G766" s="7" t="s">
        <v>2100</v>
      </c>
      <c r="H766" s="7" t="s">
        <v>2165</v>
      </c>
      <c r="I766" s="9">
        <v>45342</v>
      </c>
    </row>
    <row r="767" spans="1:9" x14ac:dyDescent="0.15">
      <c r="A767" s="6">
        <v>766</v>
      </c>
      <c r="B767" s="7" t="s">
        <v>10</v>
      </c>
      <c r="C767" s="8">
        <v>1888</v>
      </c>
      <c r="D767" s="9">
        <v>45432</v>
      </c>
      <c r="E767" s="13" t="str">
        <f>+HYPERLINK("http://trademark.i-assist.jp/data/china/image_1888th/76880413.pdf","76880413")</f>
        <v>76880413</v>
      </c>
      <c r="F767" s="7" t="s">
        <v>2166</v>
      </c>
      <c r="G767" s="7" t="s">
        <v>2167</v>
      </c>
      <c r="H767" s="7" t="s">
        <v>2168</v>
      </c>
      <c r="I767" s="9">
        <v>45342</v>
      </c>
    </row>
    <row r="768" spans="1:9" ht="27" x14ac:dyDescent="0.15">
      <c r="A768" s="6">
        <v>767</v>
      </c>
      <c r="B768" s="7" t="s">
        <v>10</v>
      </c>
      <c r="C768" s="8">
        <v>1888</v>
      </c>
      <c r="D768" s="9">
        <v>45432</v>
      </c>
      <c r="E768" s="13" t="str">
        <f>+HYPERLINK("http://trademark.i-assist.jp/data/china/image_1888th/76880591.pdf","76880591")</f>
        <v>76880591</v>
      </c>
      <c r="F768" s="7" t="s">
        <v>2169</v>
      </c>
      <c r="G768" s="7" t="s">
        <v>2170</v>
      </c>
      <c r="H768" s="7" t="s">
        <v>2171</v>
      </c>
      <c r="I768" s="9">
        <v>45342</v>
      </c>
    </row>
    <row r="769" spans="1:9" x14ac:dyDescent="0.15">
      <c r="A769" s="6">
        <v>768</v>
      </c>
      <c r="B769" s="7" t="s">
        <v>10</v>
      </c>
      <c r="C769" s="8">
        <v>1888</v>
      </c>
      <c r="D769" s="9">
        <v>45432</v>
      </c>
      <c r="E769" s="13" t="str">
        <f>+HYPERLINK("http://trademark.i-assist.jp/data/china/image_1888th/76880598.pdf","76880598")</f>
        <v>76880598</v>
      </c>
      <c r="F769" s="7" t="s">
        <v>2172</v>
      </c>
      <c r="G769" s="7" t="s">
        <v>2173</v>
      </c>
      <c r="H769" s="7" t="s">
        <v>75</v>
      </c>
      <c r="I769" s="9">
        <v>45342</v>
      </c>
    </row>
    <row r="770" spans="1:9" x14ac:dyDescent="0.15">
      <c r="A770" s="6">
        <v>769</v>
      </c>
      <c r="B770" s="7" t="s">
        <v>10</v>
      </c>
      <c r="C770" s="8">
        <v>1888</v>
      </c>
      <c r="D770" s="9">
        <v>45432</v>
      </c>
      <c r="E770" s="13" t="str">
        <f>+HYPERLINK("http://trademark.i-assist.jp/data/china/image_1888th/76880798.pdf","76880798")</f>
        <v>76880798</v>
      </c>
      <c r="F770" s="7" t="s">
        <v>76</v>
      </c>
      <c r="G770" s="7" t="s">
        <v>2174</v>
      </c>
      <c r="H770" s="7" t="s">
        <v>2175</v>
      </c>
      <c r="I770" s="9">
        <v>45342</v>
      </c>
    </row>
    <row r="771" spans="1:9" x14ac:dyDescent="0.15">
      <c r="A771" s="6">
        <v>770</v>
      </c>
      <c r="B771" s="7" t="s">
        <v>10</v>
      </c>
      <c r="C771" s="8">
        <v>1888</v>
      </c>
      <c r="D771" s="9">
        <v>45432</v>
      </c>
      <c r="E771" s="13" t="str">
        <f>+HYPERLINK("http://trademark.i-assist.jp/data/china/image_1888th/76881126.pdf","76881126")</f>
        <v>76881126</v>
      </c>
      <c r="F771" s="7" t="s">
        <v>2176</v>
      </c>
      <c r="G771" s="7" t="s">
        <v>2177</v>
      </c>
      <c r="H771" s="7" t="s">
        <v>2178</v>
      </c>
      <c r="I771" s="9">
        <v>45342</v>
      </c>
    </row>
    <row r="772" spans="1:9" x14ac:dyDescent="0.15">
      <c r="A772" s="6">
        <v>771</v>
      </c>
      <c r="B772" s="7" t="s">
        <v>10</v>
      </c>
      <c r="C772" s="8">
        <v>1888</v>
      </c>
      <c r="D772" s="9">
        <v>45432</v>
      </c>
      <c r="E772" s="13" t="str">
        <f>+HYPERLINK("http://trademark.i-assist.jp/data/china/image_1888th/76881713.pdf","76881713")</f>
        <v>76881713</v>
      </c>
      <c r="F772" s="7" t="s">
        <v>2179</v>
      </c>
      <c r="G772" s="7" t="s">
        <v>2180</v>
      </c>
      <c r="H772" s="7" t="s">
        <v>2181</v>
      </c>
      <c r="I772" s="9">
        <v>45343</v>
      </c>
    </row>
    <row r="773" spans="1:9" x14ac:dyDescent="0.15">
      <c r="A773" s="6">
        <v>772</v>
      </c>
      <c r="B773" s="7" t="s">
        <v>10</v>
      </c>
      <c r="C773" s="8">
        <v>1888</v>
      </c>
      <c r="D773" s="9">
        <v>45432</v>
      </c>
      <c r="E773" s="13" t="str">
        <f>+HYPERLINK("http://trademark.i-assist.jp/data/china/image_1888th/76882084.pdf","76882084")</f>
        <v>76882084</v>
      </c>
      <c r="F773" s="7" t="s">
        <v>2182</v>
      </c>
      <c r="G773" s="7" t="s">
        <v>2183</v>
      </c>
      <c r="H773" s="7" t="s">
        <v>2184</v>
      </c>
      <c r="I773" s="9">
        <v>45343</v>
      </c>
    </row>
    <row r="774" spans="1:9" x14ac:dyDescent="0.15">
      <c r="A774" s="6">
        <v>773</v>
      </c>
      <c r="B774" s="7" t="s">
        <v>10</v>
      </c>
      <c r="C774" s="8">
        <v>1888</v>
      </c>
      <c r="D774" s="9">
        <v>45432</v>
      </c>
      <c r="E774" s="13" t="str">
        <f>+HYPERLINK("http://trademark.i-assist.jp/data/china/image_1888th/76882342.pdf","76882342")</f>
        <v>76882342</v>
      </c>
      <c r="F774" s="7" t="s">
        <v>2185</v>
      </c>
      <c r="G774" s="7" t="s">
        <v>2186</v>
      </c>
      <c r="H774" s="7" t="s">
        <v>2187</v>
      </c>
      <c r="I774" s="9">
        <v>45343</v>
      </c>
    </row>
    <row r="775" spans="1:9" x14ac:dyDescent="0.15">
      <c r="A775" s="6">
        <v>774</v>
      </c>
      <c r="B775" s="7" t="s">
        <v>10</v>
      </c>
      <c r="C775" s="8">
        <v>1888</v>
      </c>
      <c r="D775" s="9">
        <v>45432</v>
      </c>
      <c r="E775" s="13" t="str">
        <f>+HYPERLINK("http://trademark.i-assist.jp/data/china/image_1888th/76882761.pdf","76882761")</f>
        <v>76882761</v>
      </c>
      <c r="F775" s="7" t="s">
        <v>2188</v>
      </c>
      <c r="G775" s="7" t="s">
        <v>2189</v>
      </c>
      <c r="H775" s="7" t="s">
        <v>2190</v>
      </c>
      <c r="I775" s="9">
        <v>45343</v>
      </c>
    </row>
    <row r="776" spans="1:9" x14ac:dyDescent="0.15">
      <c r="A776" s="6">
        <v>775</v>
      </c>
      <c r="B776" s="7" t="s">
        <v>10</v>
      </c>
      <c r="C776" s="8">
        <v>1888</v>
      </c>
      <c r="D776" s="9">
        <v>45432</v>
      </c>
      <c r="E776" s="13" t="str">
        <f>+HYPERLINK("http://trademark.i-assist.jp/data/china/image_1888th/76883905.pdf","76883905")</f>
        <v>76883905</v>
      </c>
      <c r="F776" s="7" t="s">
        <v>2191</v>
      </c>
      <c r="G776" s="7" t="s">
        <v>2192</v>
      </c>
      <c r="H776" s="7" t="s">
        <v>2193</v>
      </c>
      <c r="I776" s="9">
        <v>45343</v>
      </c>
    </row>
    <row r="777" spans="1:9" x14ac:dyDescent="0.15">
      <c r="A777" s="6">
        <v>776</v>
      </c>
      <c r="B777" s="7" t="s">
        <v>10</v>
      </c>
      <c r="C777" s="8">
        <v>1888</v>
      </c>
      <c r="D777" s="9">
        <v>45432</v>
      </c>
      <c r="E777" s="13" t="str">
        <f>+HYPERLINK("http://trademark.i-assist.jp/data/china/image_1888th/76884757.pdf","76884757")</f>
        <v>76884757</v>
      </c>
      <c r="F777" s="7" t="s">
        <v>2194</v>
      </c>
      <c r="G777" s="7" t="s">
        <v>2195</v>
      </c>
      <c r="H777" s="7" t="s">
        <v>2196</v>
      </c>
      <c r="I777" s="9">
        <v>45343</v>
      </c>
    </row>
    <row r="778" spans="1:9" x14ac:dyDescent="0.15">
      <c r="A778" s="6">
        <v>777</v>
      </c>
      <c r="B778" s="7" t="s">
        <v>10</v>
      </c>
      <c r="C778" s="8">
        <v>1888</v>
      </c>
      <c r="D778" s="9">
        <v>45432</v>
      </c>
      <c r="E778" s="13" t="str">
        <f>+HYPERLINK("http://trademark.i-assist.jp/data/china/image_1888th/76885790.pdf","76885790")</f>
        <v>76885790</v>
      </c>
      <c r="F778" s="7" t="s">
        <v>2197</v>
      </c>
      <c r="G778" s="7" t="s">
        <v>2198</v>
      </c>
      <c r="H778" s="7" t="s">
        <v>2199</v>
      </c>
      <c r="I778" s="9">
        <v>45343</v>
      </c>
    </row>
    <row r="779" spans="1:9" ht="27" x14ac:dyDescent="0.15">
      <c r="A779" s="6">
        <v>778</v>
      </c>
      <c r="B779" s="7" t="s">
        <v>10</v>
      </c>
      <c r="C779" s="8">
        <v>1888</v>
      </c>
      <c r="D779" s="9">
        <v>45432</v>
      </c>
      <c r="E779" s="13" t="str">
        <f>+HYPERLINK("http://trademark.i-assist.jp/data/china/image_1888th/76886234.pdf","76886234")</f>
        <v>76886234</v>
      </c>
      <c r="F779" s="7" t="s">
        <v>2200</v>
      </c>
      <c r="G779" s="7" t="s">
        <v>750</v>
      </c>
      <c r="H779" s="7" t="s">
        <v>2201</v>
      </c>
      <c r="I779" s="9">
        <v>45343</v>
      </c>
    </row>
    <row r="780" spans="1:9" x14ac:dyDescent="0.15">
      <c r="A780" s="6">
        <v>779</v>
      </c>
      <c r="B780" s="7" t="s">
        <v>10</v>
      </c>
      <c r="C780" s="8">
        <v>1888</v>
      </c>
      <c r="D780" s="9">
        <v>45432</v>
      </c>
      <c r="E780" s="13" t="str">
        <f>+HYPERLINK("http://trademark.i-assist.jp/data/china/image_1888th/76887668.pdf","76887668")</f>
        <v>76887668</v>
      </c>
      <c r="F780" s="7" t="s">
        <v>2202</v>
      </c>
      <c r="G780" s="7" t="s">
        <v>2192</v>
      </c>
      <c r="H780" s="7" t="s">
        <v>2203</v>
      </c>
      <c r="I780" s="9">
        <v>45343</v>
      </c>
    </row>
    <row r="781" spans="1:9" ht="27" x14ac:dyDescent="0.15">
      <c r="A781" s="6">
        <v>780</v>
      </c>
      <c r="B781" s="7" t="s">
        <v>10</v>
      </c>
      <c r="C781" s="8">
        <v>1888</v>
      </c>
      <c r="D781" s="9">
        <v>45432</v>
      </c>
      <c r="E781" s="13" t="str">
        <f>+HYPERLINK("http://trademark.i-assist.jp/data/china/image_1888th/76888359.pdf","76888359")</f>
        <v>76888359</v>
      </c>
      <c r="F781" s="7" t="s">
        <v>2204</v>
      </c>
      <c r="G781" s="7" t="s">
        <v>2205</v>
      </c>
      <c r="H781" s="7" t="s">
        <v>2206</v>
      </c>
      <c r="I781" s="9">
        <v>45343</v>
      </c>
    </row>
    <row r="782" spans="1:9" x14ac:dyDescent="0.15">
      <c r="A782" s="6">
        <v>781</v>
      </c>
      <c r="B782" s="7" t="s">
        <v>10</v>
      </c>
      <c r="C782" s="8">
        <v>1888</v>
      </c>
      <c r="D782" s="9">
        <v>45432</v>
      </c>
      <c r="E782" s="13" t="str">
        <f>+HYPERLINK("http://trademark.i-assist.jp/data/china/image_1888th/76889401.pdf","76889401")</f>
        <v>76889401</v>
      </c>
      <c r="F782" s="7" t="s">
        <v>2207</v>
      </c>
      <c r="G782" s="7" t="s">
        <v>2208</v>
      </c>
      <c r="H782" s="7" t="s">
        <v>2209</v>
      </c>
      <c r="I782" s="9">
        <v>45343</v>
      </c>
    </row>
    <row r="783" spans="1:9" x14ac:dyDescent="0.15">
      <c r="A783" s="6">
        <v>782</v>
      </c>
      <c r="B783" s="7" t="s">
        <v>10</v>
      </c>
      <c r="C783" s="8">
        <v>1888</v>
      </c>
      <c r="D783" s="9">
        <v>45432</v>
      </c>
      <c r="E783" s="13" t="str">
        <f>+HYPERLINK("http://trademark.i-assist.jp/data/china/image_1888th/76890024.pdf","76890024")</f>
        <v>76890024</v>
      </c>
      <c r="F783" s="7" t="s">
        <v>2210</v>
      </c>
      <c r="G783" s="7" t="s">
        <v>2211</v>
      </c>
      <c r="H783" s="7" t="s">
        <v>2212</v>
      </c>
      <c r="I783" s="9">
        <v>45343</v>
      </c>
    </row>
    <row r="784" spans="1:9" x14ac:dyDescent="0.15">
      <c r="A784" s="6">
        <v>783</v>
      </c>
      <c r="B784" s="7" t="s">
        <v>10</v>
      </c>
      <c r="C784" s="8">
        <v>1888</v>
      </c>
      <c r="D784" s="9">
        <v>45432</v>
      </c>
      <c r="E784" s="13" t="str">
        <f>+HYPERLINK("http://trademark.i-assist.jp/data/china/image_1888th/76890300.pdf","76890300")</f>
        <v>76890300</v>
      </c>
      <c r="F784" s="7" t="s">
        <v>2213</v>
      </c>
      <c r="G784" s="7" t="s">
        <v>2214</v>
      </c>
      <c r="H784" s="7" t="s">
        <v>2215</v>
      </c>
      <c r="I784" s="9">
        <v>45343</v>
      </c>
    </row>
    <row r="785" spans="1:9" x14ac:dyDescent="0.15">
      <c r="A785" s="6">
        <v>784</v>
      </c>
      <c r="B785" s="7" t="s">
        <v>10</v>
      </c>
      <c r="C785" s="8">
        <v>1888</v>
      </c>
      <c r="D785" s="9">
        <v>45432</v>
      </c>
      <c r="E785" s="13" t="str">
        <f>+HYPERLINK("http://trademark.i-assist.jp/data/china/image_1888th/76890308.pdf","76890308")</f>
        <v>76890308</v>
      </c>
      <c r="F785" s="7" t="s">
        <v>2216</v>
      </c>
      <c r="G785" s="7" t="s">
        <v>2217</v>
      </c>
      <c r="H785" s="7" t="s">
        <v>2218</v>
      </c>
      <c r="I785" s="9">
        <v>45343</v>
      </c>
    </row>
    <row r="786" spans="1:9" x14ac:dyDescent="0.15">
      <c r="A786" s="6">
        <v>785</v>
      </c>
      <c r="B786" s="7" t="s">
        <v>10</v>
      </c>
      <c r="C786" s="8">
        <v>1888</v>
      </c>
      <c r="D786" s="9">
        <v>45432</v>
      </c>
      <c r="E786" s="13" t="str">
        <f>+HYPERLINK("http://trademark.i-assist.jp/data/china/image_1888th/76891171.pdf","76891171")</f>
        <v>76891171</v>
      </c>
      <c r="F786" s="7" t="s">
        <v>2219</v>
      </c>
      <c r="G786" s="7" t="s">
        <v>2183</v>
      </c>
      <c r="H786" s="7" t="s">
        <v>2220</v>
      </c>
      <c r="I786" s="9">
        <v>45343</v>
      </c>
    </row>
    <row r="787" spans="1:9" x14ac:dyDescent="0.15">
      <c r="A787" s="6">
        <v>786</v>
      </c>
      <c r="B787" s="7" t="s">
        <v>10</v>
      </c>
      <c r="C787" s="8">
        <v>1888</v>
      </c>
      <c r="D787" s="9">
        <v>45432</v>
      </c>
      <c r="E787" s="13" t="str">
        <f>+HYPERLINK("http://trademark.i-assist.jp/data/china/image_1888th/76891451.pdf","76891451")</f>
        <v>76891451</v>
      </c>
      <c r="F787" s="7" t="s">
        <v>2221</v>
      </c>
      <c r="G787" s="7" t="s">
        <v>2183</v>
      </c>
      <c r="H787" s="7" t="s">
        <v>2222</v>
      </c>
      <c r="I787" s="9">
        <v>45343</v>
      </c>
    </row>
    <row r="788" spans="1:9" x14ac:dyDescent="0.15">
      <c r="A788" s="6">
        <v>787</v>
      </c>
      <c r="B788" s="7" t="s">
        <v>10</v>
      </c>
      <c r="C788" s="8">
        <v>1888</v>
      </c>
      <c r="D788" s="9">
        <v>45432</v>
      </c>
      <c r="E788" s="13" t="str">
        <f>+HYPERLINK("http://trademark.i-assist.jp/data/china/image_1888th/76892061.pdf","76892061")</f>
        <v>76892061</v>
      </c>
      <c r="F788" s="7" t="s">
        <v>2223</v>
      </c>
      <c r="G788" s="7" t="s">
        <v>2183</v>
      </c>
      <c r="H788" s="7" t="s">
        <v>2224</v>
      </c>
      <c r="I788" s="9">
        <v>45343</v>
      </c>
    </row>
    <row r="789" spans="1:9" x14ac:dyDescent="0.15">
      <c r="A789" s="6">
        <v>788</v>
      </c>
      <c r="B789" s="7" t="s">
        <v>10</v>
      </c>
      <c r="C789" s="8">
        <v>1888</v>
      </c>
      <c r="D789" s="9">
        <v>45432</v>
      </c>
      <c r="E789" s="13" t="str">
        <f>+HYPERLINK("http://trademark.i-assist.jp/data/china/image_1888th/76892328.pdf","76892328")</f>
        <v>76892328</v>
      </c>
      <c r="F789" s="7" t="s">
        <v>2225</v>
      </c>
      <c r="G789" s="7" t="s">
        <v>2226</v>
      </c>
      <c r="H789" s="7" t="s">
        <v>2227</v>
      </c>
      <c r="I789" s="9">
        <v>45343</v>
      </c>
    </row>
    <row r="790" spans="1:9" ht="27" x14ac:dyDescent="0.15">
      <c r="A790" s="6">
        <v>789</v>
      </c>
      <c r="B790" s="7" t="s">
        <v>10</v>
      </c>
      <c r="C790" s="8">
        <v>1888</v>
      </c>
      <c r="D790" s="9">
        <v>45432</v>
      </c>
      <c r="E790" s="13" t="str">
        <f>+HYPERLINK("http://trademark.i-assist.jp/data/china/image_1888th/76892599.pdf","76892599")</f>
        <v>76892599</v>
      </c>
      <c r="F790" s="7" t="s">
        <v>2228</v>
      </c>
      <c r="G790" s="7" t="s">
        <v>2229</v>
      </c>
      <c r="H790" s="7" t="s">
        <v>2230</v>
      </c>
      <c r="I790" s="9">
        <v>45343</v>
      </c>
    </row>
    <row r="791" spans="1:9" ht="27" x14ac:dyDescent="0.15">
      <c r="A791" s="6">
        <v>790</v>
      </c>
      <c r="B791" s="7" t="s">
        <v>10</v>
      </c>
      <c r="C791" s="8">
        <v>1888</v>
      </c>
      <c r="D791" s="9">
        <v>45432</v>
      </c>
      <c r="E791" s="13" t="str">
        <f>+HYPERLINK("http://trademark.i-assist.jp/data/china/image_1888th/76893174.pdf","76893174")</f>
        <v>76893174</v>
      </c>
      <c r="F791" s="7" t="s">
        <v>2231</v>
      </c>
      <c r="G791" s="7" t="s">
        <v>750</v>
      </c>
      <c r="H791" s="7" t="s">
        <v>2232</v>
      </c>
      <c r="I791" s="9">
        <v>45343</v>
      </c>
    </row>
    <row r="792" spans="1:9" x14ac:dyDescent="0.15">
      <c r="A792" s="6">
        <v>791</v>
      </c>
      <c r="B792" s="7" t="s">
        <v>10</v>
      </c>
      <c r="C792" s="8">
        <v>1888</v>
      </c>
      <c r="D792" s="9">
        <v>45432</v>
      </c>
      <c r="E792" s="13" t="str">
        <f>+HYPERLINK("http://trademark.i-assist.jp/data/china/image_1888th/76894746.pdf","76894746")</f>
        <v>76894746</v>
      </c>
      <c r="F792" s="7" t="s">
        <v>2233</v>
      </c>
      <c r="G792" s="7" t="s">
        <v>2234</v>
      </c>
      <c r="H792" s="7" t="s">
        <v>2235</v>
      </c>
      <c r="I792" s="9">
        <v>45343</v>
      </c>
    </row>
    <row r="793" spans="1:9" x14ac:dyDescent="0.15">
      <c r="A793" s="6">
        <v>792</v>
      </c>
      <c r="B793" s="7" t="s">
        <v>10</v>
      </c>
      <c r="C793" s="8">
        <v>1888</v>
      </c>
      <c r="D793" s="9">
        <v>45432</v>
      </c>
      <c r="E793" s="13" t="str">
        <f>+HYPERLINK("http://trademark.i-assist.jp/data/china/image_1888th/76895092.pdf","76895092")</f>
        <v>76895092</v>
      </c>
      <c r="F793" s="7" t="s">
        <v>2236</v>
      </c>
      <c r="G793" s="7" t="s">
        <v>2237</v>
      </c>
      <c r="H793" s="7" t="s">
        <v>2238</v>
      </c>
      <c r="I793" s="9">
        <v>45343</v>
      </c>
    </row>
    <row r="794" spans="1:9" x14ac:dyDescent="0.15">
      <c r="A794" s="6">
        <v>793</v>
      </c>
      <c r="B794" s="7" t="s">
        <v>10</v>
      </c>
      <c r="C794" s="8">
        <v>1888</v>
      </c>
      <c r="D794" s="9">
        <v>45432</v>
      </c>
      <c r="E794" s="13" t="str">
        <f>+HYPERLINK("http://trademark.i-assist.jp/data/china/image_1888th/76895635.pdf","76895635")</f>
        <v>76895635</v>
      </c>
      <c r="F794" s="7" t="s">
        <v>2239</v>
      </c>
      <c r="G794" s="7" t="s">
        <v>2240</v>
      </c>
      <c r="H794" s="7" t="s">
        <v>2241</v>
      </c>
      <c r="I794" s="9">
        <v>45343</v>
      </c>
    </row>
    <row r="795" spans="1:9" x14ac:dyDescent="0.15">
      <c r="A795" s="6">
        <v>794</v>
      </c>
      <c r="B795" s="7" t="s">
        <v>10</v>
      </c>
      <c r="C795" s="8">
        <v>1888</v>
      </c>
      <c r="D795" s="9">
        <v>45432</v>
      </c>
      <c r="E795" s="13" t="str">
        <f>+HYPERLINK("http://trademark.i-assist.jp/data/china/image_1888th/76896623.pdf","76896623")</f>
        <v>76896623</v>
      </c>
      <c r="F795" s="7" t="s">
        <v>2242</v>
      </c>
      <c r="G795" s="7" t="s">
        <v>2243</v>
      </c>
      <c r="H795" s="7" t="s">
        <v>2244</v>
      </c>
      <c r="I795" s="9">
        <v>45343</v>
      </c>
    </row>
    <row r="796" spans="1:9" x14ac:dyDescent="0.15">
      <c r="A796" s="6">
        <v>795</v>
      </c>
      <c r="B796" s="7" t="s">
        <v>10</v>
      </c>
      <c r="C796" s="8">
        <v>1888</v>
      </c>
      <c r="D796" s="9">
        <v>45432</v>
      </c>
      <c r="E796" s="13" t="str">
        <f>+HYPERLINK("http://trademark.i-assist.jp/data/china/image_1888th/76898178.pdf","76898178")</f>
        <v>76898178</v>
      </c>
      <c r="F796" s="7" t="s">
        <v>2245</v>
      </c>
      <c r="G796" s="7" t="s">
        <v>2246</v>
      </c>
      <c r="H796" s="7" t="s">
        <v>2247</v>
      </c>
      <c r="I796" s="9">
        <v>45343</v>
      </c>
    </row>
    <row r="797" spans="1:9" ht="27" x14ac:dyDescent="0.15">
      <c r="A797" s="6">
        <v>796</v>
      </c>
      <c r="B797" s="7" t="s">
        <v>10</v>
      </c>
      <c r="C797" s="8">
        <v>1888</v>
      </c>
      <c r="D797" s="9">
        <v>45432</v>
      </c>
      <c r="E797" s="13" t="str">
        <f>+HYPERLINK("http://trademark.i-assist.jp/data/china/image_1888th/76898272.pdf","76898272")</f>
        <v>76898272</v>
      </c>
      <c r="F797" s="7" t="s">
        <v>2248</v>
      </c>
      <c r="G797" s="7" t="s">
        <v>2249</v>
      </c>
      <c r="H797" s="7" t="s">
        <v>2250</v>
      </c>
      <c r="I797" s="9">
        <v>45343</v>
      </c>
    </row>
    <row r="798" spans="1:9" x14ac:dyDescent="0.15">
      <c r="A798" s="6">
        <v>797</v>
      </c>
      <c r="B798" s="7" t="s">
        <v>10</v>
      </c>
      <c r="C798" s="8">
        <v>1888</v>
      </c>
      <c r="D798" s="9">
        <v>45432</v>
      </c>
      <c r="E798" s="13" t="str">
        <f>+HYPERLINK("http://trademark.i-assist.jp/data/china/image_1888th/76899141.pdf","76899141")</f>
        <v>76899141</v>
      </c>
      <c r="F798" s="7" t="s">
        <v>2251</v>
      </c>
      <c r="G798" s="7" t="s">
        <v>2252</v>
      </c>
      <c r="H798" s="7" t="s">
        <v>2253</v>
      </c>
      <c r="I798" s="9">
        <v>45343</v>
      </c>
    </row>
    <row r="799" spans="1:9" x14ac:dyDescent="0.15">
      <c r="A799" s="6">
        <v>798</v>
      </c>
      <c r="B799" s="7" t="s">
        <v>10</v>
      </c>
      <c r="C799" s="8">
        <v>1888</v>
      </c>
      <c r="D799" s="9">
        <v>45432</v>
      </c>
      <c r="E799" s="13" t="str">
        <f>+HYPERLINK("http://trademark.i-assist.jp/data/china/image_1888th/76899957.pdf","76899957")</f>
        <v>76899957</v>
      </c>
      <c r="F799" s="7" t="s">
        <v>2254</v>
      </c>
      <c r="G799" s="7" t="s">
        <v>2255</v>
      </c>
      <c r="H799" s="7" t="s">
        <v>2256</v>
      </c>
      <c r="I799" s="9">
        <v>45344</v>
      </c>
    </row>
    <row r="800" spans="1:9" x14ac:dyDescent="0.15">
      <c r="A800" s="6">
        <v>799</v>
      </c>
      <c r="B800" s="7" t="s">
        <v>10</v>
      </c>
      <c r="C800" s="8">
        <v>1888</v>
      </c>
      <c r="D800" s="9">
        <v>45432</v>
      </c>
      <c r="E800" s="13" t="str">
        <f>+HYPERLINK("http://trademark.i-assist.jp/data/china/image_1888th/76900042.pdf","76900042")</f>
        <v>76900042</v>
      </c>
      <c r="F800" s="7" t="s">
        <v>2257</v>
      </c>
      <c r="G800" s="7" t="s">
        <v>2258</v>
      </c>
      <c r="H800" s="7" t="s">
        <v>2259</v>
      </c>
      <c r="I800" s="9">
        <v>45344</v>
      </c>
    </row>
    <row r="801" spans="1:9" x14ac:dyDescent="0.15">
      <c r="A801" s="6">
        <v>800</v>
      </c>
      <c r="B801" s="7" t="s">
        <v>10</v>
      </c>
      <c r="C801" s="8">
        <v>1888</v>
      </c>
      <c r="D801" s="9">
        <v>45432</v>
      </c>
      <c r="E801" s="13" t="str">
        <f>+HYPERLINK("http://trademark.i-assist.jp/data/china/image_1888th/76900178.pdf","76900178")</f>
        <v>76900178</v>
      </c>
      <c r="F801" s="7" t="s">
        <v>2260</v>
      </c>
      <c r="G801" s="7" t="s">
        <v>2261</v>
      </c>
      <c r="H801" s="7" t="s">
        <v>2262</v>
      </c>
      <c r="I801" s="9">
        <v>45344</v>
      </c>
    </row>
    <row r="802" spans="1:9" x14ac:dyDescent="0.15">
      <c r="A802" s="6">
        <v>801</v>
      </c>
      <c r="B802" s="7" t="s">
        <v>10</v>
      </c>
      <c r="C802" s="8">
        <v>1888</v>
      </c>
      <c r="D802" s="9">
        <v>45432</v>
      </c>
      <c r="E802" s="13" t="str">
        <f>+HYPERLINK("http://trademark.i-assist.jp/data/china/image_1888th/76900185.pdf","76900185")</f>
        <v>76900185</v>
      </c>
      <c r="F802" s="7" t="s">
        <v>2263</v>
      </c>
      <c r="G802" s="7" t="s">
        <v>2264</v>
      </c>
      <c r="H802" s="7" t="s">
        <v>2265</v>
      </c>
      <c r="I802" s="9">
        <v>45344</v>
      </c>
    </row>
    <row r="803" spans="1:9" x14ac:dyDescent="0.15">
      <c r="A803" s="6">
        <v>802</v>
      </c>
      <c r="B803" s="7" t="s">
        <v>10</v>
      </c>
      <c r="C803" s="8">
        <v>1888</v>
      </c>
      <c r="D803" s="9">
        <v>45432</v>
      </c>
      <c r="E803" s="13" t="str">
        <f>+HYPERLINK("http://trademark.i-assist.jp/data/china/image_1888th/76900632.pdf","76900632")</f>
        <v>76900632</v>
      </c>
      <c r="F803" s="7" t="s">
        <v>2266</v>
      </c>
      <c r="G803" s="7" t="s">
        <v>2267</v>
      </c>
      <c r="H803" s="7" t="s">
        <v>2268</v>
      </c>
      <c r="I803" s="9">
        <v>45344</v>
      </c>
    </row>
    <row r="804" spans="1:9" x14ac:dyDescent="0.15">
      <c r="A804" s="6">
        <v>803</v>
      </c>
      <c r="B804" s="7" t="s">
        <v>10</v>
      </c>
      <c r="C804" s="8">
        <v>1888</v>
      </c>
      <c r="D804" s="9">
        <v>45432</v>
      </c>
      <c r="E804" s="13" t="str">
        <f>+HYPERLINK("http://trademark.i-assist.jp/data/china/image_1888th/76901528.pdf","76901528")</f>
        <v>76901528</v>
      </c>
      <c r="F804" s="7" t="s">
        <v>2269</v>
      </c>
      <c r="G804" s="7" t="s">
        <v>2270</v>
      </c>
      <c r="H804" s="7" t="s">
        <v>2271</v>
      </c>
      <c r="I804" s="9">
        <v>45344</v>
      </c>
    </row>
    <row r="805" spans="1:9" x14ac:dyDescent="0.15">
      <c r="A805" s="6">
        <v>804</v>
      </c>
      <c r="B805" s="7" t="s">
        <v>10</v>
      </c>
      <c r="C805" s="8">
        <v>1888</v>
      </c>
      <c r="D805" s="9">
        <v>45432</v>
      </c>
      <c r="E805" s="13" t="str">
        <f>+HYPERLINK("http://trademark.i-assist.jp/data/china/image_1888th/76903017.pdf","76903017")</f>
        <v>76903017</v>
      </c>
      <c r="F805" s="7" t="s">
        <v>2272</v>
      </c>
      <c r="G805" s="7" t="s">
        <v>2273</v>
      </c>
      <c r="H805" s="7" t="s">
        <v>2274</v>
      </c>
      <c r="I805" s="9">
        <v>45344</v>
      </c>
    </row>
    <row r="806" spans="1:9" x14ac:dyDescent="0.15">
      <c r="A806" s="6">
        <v>805</v>
      </c>
      <c r="B806" s="7" t="s">
        <v>10</v>
      </c>
      <c r="C806" s="8">
        <v>1888</v>
      </c>
      <c r="D806" s="9">
        <v>45432</v>
      </c>
      <c r="E806" s="13" t="str">
        <f>+HYPERLINK("http://trademark.i-assist.jp/data/china/image_1888th/76903132.pdf","76903132")</f>
        <v>76903132</v>
      </c>
      <c r="F806" s="7" t="s">
        <v>2275</v>
      </c>
      <c r="G806" s="7" t="s">
        <v>2276</v>
      </c>
      <c r="H806" s="7" t="s">
        <v>2277</v>
      </c>
      <c r="I806" s="9">
        <v>45344</v>
      </c>
    </row>
    <row r="807" spans="1:9" x14ac:dyDescent="0.15">
      <c r="A807" s="6">
        <v>806</v>
      </c>
      <c r="B807" s="7" t="s">
        <v>10</v>
      </c>
      <c r="C807" s="8">
        <v>1888</v>
      </c>
      <c r="D807" s="9">
        <v>45432</v>
      </c>
      <c r="E807" s="13" t="str">
        <f>+HYPERLINK("http://trademark.i-assist.jp/data/china/image_1888th/76903781.pdf","76903781")</f>
        <v>76903781</v>
      </c>
      <c r="F807" s="7" t="s">
        <v>2278</v>
      </c>
      <c r="G807" s="7" t="s">
        <v>2279</v>
      </c>
      <c r="H807" s="7" t="s">
        <v>2280</v>
      </c>
      <c r="I807" s="9">
        <v>45344</v>
      </c>
    </row>
    <row r="808" spans="1:9" ht="27" x14ac:dyDescent="0.15">
      <c r="A808" s="6">
        <v>807</v>
      </c>
      <c r="B808" s="7" t="s">
        <v>10</v>
      </c>
      <c r="C808" s="8">
        <v>1888</v>
      </c>
      <c r="D808" s="9">
        <v>45432</v>
      </c>
      <c r="E808" s="13" t="str">
        <f>+HYPERLINK("http://trademark.i-assist.jp/data/china/image_1888th/76904676.pdf","76904676")</f>
        <v>76904676</v>
      </c>
      <c r="F808" s="7" t="s">
        <v>2281</v>
      </c>
      <c r="G808" s="7" t="s">
        <v>2282</v>
      </c>
      <c r="H808" s="7" t="s">
        <v>2283</v>
      </c>
      <c r="I808" s="9">
        <v>45344</v>
      </c>
    </row>
    <row r="809" spans="1:9" x14ac:dyDescent="0.15">
      <c r="A809" s="6">
        <v>808</v>
      </c>
      <c r="B809" s="7" t="s">
        <v>10</v>
      </c>
      <c r="C809" s="8">
        <v>1888</v>
      </c>
      <c r="D809" s="9">
        <v>45432</v>
      </c>
      <c r="E809" s="13" t="str">
        <f>+HYPERLINK("http://trademark.i-assist.jp/data/china/image_1888th/76905959.pdf","76905959")</f>
        <v>76905959</v>
      </c>
      <c r="F809" s="7" t="s">
        <v>2284</v>
      </c>
      <c r="G809" s="7" t="s">
        <v>2285</v>
      </c>
      <c r="H809" s="7" t="s">
        <v>2286</v>
      </c>
      <c r="I809" s="9">
        <v>45344</v>
      </c>
    </row>
    <row r="810" spans="1:9" x14ac:dyDescent="0.15">
      <c r="A810" s="6">
        <v>809</v>
      </c>
      <c r="B810" s="7" t="s">
        <v>10</v>
      </c>
      <c r="C810" s="8">
        <v>1888</v>
      </c>
      <c r="D810" s="9">
        <v>45432</v>
      </c>
      <c r="E810" s="13" t="str">
        <f>+HYPERLINK("http://trademark.i-assist.jp/data/china/image_1888th/76906596.pdf","76906596")</f>
        <v>76906596</v>
      </c>
      <c r="F810" s="7" t="s">
        <v>2287</v>
      </c>
      <c r="G810" s="7" t="s">
        <v>2288</v>
      </c>
      <c r="H810" s="7" t="s">
        <v>2289</v>
      </c>
      <c r="I810" s="9">
        <v>45344</v>
      </c>
    </row>
    <row r="811" spans="1:9" x14ac:dyDescent="0.15">
      <c r="A811" s="6">
        <v>810</v>
      </c>
      <c r="B811" s="7" t="s">
        <v>10</v>
      </c>
      <c r="C811" s="8">
        <v>1888</v>
      </c>
      <c r="D811" s="9">
        <v>45432</v>
      </c>
      <c r="E811" s="13" t="str">
        <f>+HYPERLINK("http://trademark.i-assist.jp/data/china/image_1888th/76908654.pdf","76908654")</f>
        <v>76908654</v>
      </c>
      <c r="F811" s="7" t="s">
        <v>2290</v>
      </c>
      <c r="G811" s="7" t="s">
        <v>2291</v>
      </c>
      <c r="H811" s="7" t="s">
        <v>2292</v>
      </c>
      <c r="I811" s="9">
        <v>45344</v>
      </c>
    </row>
    <row r="812" spans="1:9" x14ac:dyDescent="0.15">
      <c r="A812" s="6">
        <v>811</v>
      </c>
      <c r="B812" s="7" t="s">
        <v>10</v>
      </c>
      <c r="C812" s="8">
        <v>1888</v>
      </c>
      <c r="D812" s="9">
        <v>45432</v>
      </c>
      <c r="E812" s="13" t="str">
        <f>+HYPERLINK("http://trademark.i-assist.jp/data/china/image_1888th/76909280.pdf","76909280")</f>
        <v>76909280</v>
      </c>
      <c r="F812" s="7" t="s">
        <v>2293</v>
      </c>
      <c r="G812" s="7" t="s">
        <v>2294</v>
      </c>
      <c r="H812" s="7" t="s">
        <v>2295</v>
      </c>
      <c r="I812" s="9">
        <v>45344</v>
      </c>
    </row>
    <row r="813" spans="1:9" ht="27" x14ac:dyDescent="0.15">
      <c r="A813" s="6">
        <v>812</v>
      </c>
      <c r="B813" s="7" t="s">
        <v>10</v>
      </c>
      <c r="C813" s="8">
        <v>1888</v>
      </c>
      <c r="D813" s="9">
        <v>45432</v>
      </c>
      <c r="E813" s="13" t="str">
        <f>+HYPERLINK("http://trademark.i-assist.jp/data/china/image_1888th/76909710.pdf","76909710")</f>
        <v>76909710</v>
      </c>
      <c r="F813" s="7" t="s">
        <v>2296</v>
      </c>
      <c r="G813" s="7" t="s">
        <v>2297</v>
      </c>
      <c r="H813" s="7" t="s">
        <v>2298</v>
      </c>
      <c r="I813" s="9">
        <v>45344</v>
      </c>
    </row>
    <row r="814" spans="1:9" x14ac:dyDescent="0.15">
      <c r="A814" s="6">
        <v>813</v>
      </c>
      <c r="B814" s="7" t="s">
        <v>10</v>
      </c>
      <c r="C814" s="8">
        <v>1888</v>
      </c>
      <c r="D814" s="9">
        <v>45432</v>
      </c>
      <c r="E814" s="13" t="str">
        <f>+HYPERLINK("http://trademark.i-assist.jp/data/china/image_1888th/76909774.pdf","76909774")</f>
        <v>76909774</v>
      </c>
      <c r="F814" s="7" t="s">
        <v>2299</v>
      </c>
      <c r="G814" s="7" t="s">
        <v>2300</v>
      </c>
      <c r="H814" s="7" t="s">
        <v>2301</v>
      </c>
      <c r="I814" s="9">
        <v>45344</v>
      </c>
    </row>
    <row r="815" spans="1:9" x14ac:dyDescent="0.15">
      <c r="A815" s="6">
        <v>814</v>
      </c>
      <c r="B815" s="7" t="s">
        <v>10</v>
      </c>
      <c r="C815" s="8">
        <v>1888</v>
      </c>
      <c r="D815" s="9">
        <v>45432</v>
      </c>
      <c r="E815" s="13" t="str">
        <f>+HYPERLINK("http://trademark.i-assist.jp/data/china/image_1888th/76910034.pdf","76910034")</f>
        <v>76910034</v>
      </c>
      <c r="F815" s="7" t="s">
        <v>76</v>
      </c>
      <c r="G815" s="7" t="s">
        <v>2302</v>
      </c>
      <c r="H815" s="7" t="s">
        <v>2303</v>
      </c>
      <c r="I815" s="9">
        <v>45344</v>
      </c>
    </row>
    <row r="816" spans="1:9" x14ac:dyDescent="0.15">
      <c r="A816" s="6">
        <v>815</v>
      </c>
      <c r="B816" s="7" t="s">
        <v>10</v>
      </c>
      <c r="C816" s="8">
        <v>1888</v>
      </c>
      <c r="D816" s="9">
        <v>45432</v>
      </c>
      <c r="E816" s="13" t="str">
        <f>+HYPERLINK("http://trademark.i-assist.jp/data/china/image_1888th/76910743.pdf","76910743")</f>
        <v>76910743</v>
      </c>
      <c r="F816" s="7" t="s">
        <v>2304</v>
      </c>
      <c r="G816" s="7" t="s">
        <v>2305</v>
      </c>
      <c r="H816" s="7" t="s">
        <v>2306</v>
      </c>
      <c r="I816" s="9">
        <v>45344</v>
      </c>
    </row>
    <row r="817" spans="1:9" x14ac:dyDescent="0.15">
      <c r="A817" s="6">
        <v>816</v>
      </c>
      <c r="B817" s="7" t="s">
        <v>10</v>
      </c>
      <c r="C817" s="8">
        <v>1888</v>
      </c>
      <c r="D817" s="9">
        <v>45432</v>
      </c>
      <c r="E817" s="13" t="str">
        <f>+HYPERLINK("http://trademark.i-assist.jp/data/china/image_1888th/76910754.pdf","76910754")</f>
        <v>76910754</v>
      </c>
      <c r="F817" s="7" t="s">
        <v>76</v>
      </c>
      <c r="G817" s="7" t="s">
        <v>2307</v>
      </c>
      <c r="H817" s="7" t="s">
        <v>2308</v>
      </c>
      <c r="I817" s="9">
        <v>45344</v>
      </c>
    </row>
    <row r="818" spans="1:9" ht="27" x14ac:dyDescent="0.15">
      <c r="A818" s="6">
        <v>817</v>
      </c>
      <c r="B818" s="7" t="s">
        <v>10</v>
      </c>
      <c r="C818" s="8">
        <v>1888</v>
      </c>
      <c r="D818" s="9">
        <v>45432</v>
      </c>
      <c r="E818" s="13" t="str">
        <f>+HYPERLINK("http://trademark.i-assist.jp/data/china/image_1888th/76910869.pdf","76910869")</f>
        <v>76910869</v>
      </c>
      <c r="F818" s="7" t="s">
        <v>2309</v>
      </c>
      <c r="G818" s="7" t="s">
        <v>2310</v>
      </c>
      <c r="H818" s="7" t="s">
        <v>2311</v>
      </c>
      <c r="I818" s="9">
        <v>45344</v>
      </c>
    </row>
    <row r="819" spans="1:9" ht="27" x14ac:dyDescent="0.15">
      <c r="A819" s="6">
        <v>818</v>
      </c>
      <c r="B819" s="7" t="s">
        <v>10</v>
      </c>
      <c r="C819" s="8">
        <v>1888</v>
      </c>
      <c r="D819" s="9">
        <v>45432</v>
      </c>
      <c r="E819" s="13" t="str">
        <f>+HYPERLINK("http://trademark.i-assist.jp/data/china/image_1888th/76910924.pdf","76910924")</f>
        <v>76910924</v>
      </c>
      <c r="F819" s="7" t="s">
        <v>2312</v>
      </c>
      <c r="G819" s="7" t="s">
        <v>2313</v>
      </c>
      <c r="H819" s="7" t="s">
        <v>2314</v>
      </c>
      <c r="I819" s="9">
        <v>45344</v>
      </c>
    </row>
    <row r="820" spans="1:9" ht="27" x14ac:dyDescent="0.15">
      <c r="A820" s="6">
        <v>819</v>
      </c>
      <c r="B820" s="7" t="s">
        <v>10</v>
      </c>
      <c r="C820" s="8">
        <v>1888</v>
      </c>
      <c r="D820" s="9">
        <v>45432</v>
      </c>
      <c r="E820" s="13" t="str">
        <f>+HYPERLINK("http://trademark.i-assist.jp/data/china/image_1888th/76910963.pdf","76910963")</f>
        <v>76910963</v>
      </c>
      <c r="F820" s="7" t="s">
        <v>2315</v>
      </c>
      <c r="G820" s="7" t="s">
        <v>2316</v>
      </c>
      <c r="H820" s="7" t="s">
        <v>2317</v>
      </c>
      <c r="I820" s="9">
        <v>45344</v>
      </c>
    </row>
    <row r="821" spans="1:9" ht="27" x14ac:dyDescent="0.15">
      <c r="A821" s="6">
        <v>820</v>
      </c>
      <c r="B821" s="7" t="s">
        <v>10</v>
      </c>
      <c r="C821" s="8">
        <v>1888</v>
      </c>
      <c r="D821" s="9">
        <v>45432</v>
      </c>
      <c r="E821" s="13" t="str">
        <f>+HYPERLINK("http://trademark.i-assist.jp/data/china/image_1888th/76911183.pdf","76911183")</f>
        <v>76911183</v>
      </c>
      <c r="F821" s="7" t="s">
        <v>2318</v>
      </c>
      <c r="G821" s="7" t="s">
        <v>2319</v>
      </c>
      <c r="H821" s="7" t="s">
        <v>2320</v>
      </c>
      <c r="I821" s="9">
        <v>45344</v>
      </c>
    </row>
    <row r="822" spans="1:9" ht="27" x14ac:dyDescent="0.15">
      <c r="A822" s="6">
        <v>821</v>
      </c>
      <c r="B822" s="7" t="s">
        <v>10</v>
      </c>
      <c r="C822" s="8">
        <v>1888</v>
      </c>
      <c r="D822" s="9">
        <v>45432</v>
      </c>
      <c r="E822" s="13" t="str">
        <f>+HYPERLINK("http://trademark.i-assist.jp/data/china/image_1888th/76911223.pdf","76911223")</f>
        <v>76911223</v>
      </c>
      <c r="F822" s="7" t="s">
        <v>2321</v>
      </c>
      <c r="G822" s="7" t="s">
        <v>2322</v>
      </c>
      <c r="H822" s="7" t="s">
        <v>2323</v>
      </c>
      <c r="I822" s="9">
        <v>45344</v>
      </c>
    </row>
    <row r="823" spans="1:9" x14ac:dyDescent="0.15">
      <c r="A823" s="6">
        <v>822</v>
      </c>
      <c r="B823" s="7" t="s">
        <v>10</v>
      </c>
      <c r="C823" s="8">
        <v>1888</v>
      </c>
      <c r="D823" s="9">
        <v>45432</v>
      </c>
      <c r="E823" s="13" t="str">
        <f>+HYPERLINK("http://trademark.i-assist.jp/data/china/image_1888th/76911536.pdf","76911536")</f>
        <v>76911536</v>
      </c>
      <c r="F823" s="7" t="s">
        <v>2324</v>
      </c>
      <c r="G823" s="7" t="s">
        <v>2325</v>
      </c>
      <c r="H823" s="7" t="s">
        <v>2326</v>
      </c>
      <c r="I823" s="9">
        <v>45344</v>
      </c>
    </row>
    <row r="824" spans="1:9" ht="27" x14ac:dyDescent="0.15">
      <c r="A824" s="6">
        <v>823</v>
      </c>
      <c r="B824" s="7" t="s">
        <v>10</v>
      </c>
      <c r="C824" s="8">
        <v>1888</v>
      </c>
      <c r="D824" s="9">
        <v>45432</v>
      </c>
      <c r="E824" s="13" t="str">
        <f>+HYPERLINK("http://trademark.i-assist.jp/data/china/image_1888th/76911770.pdf","76911770")</f>
        <v>76911770</v>
      </c>
      <c r="F824" s="7" t="s">
        <v>2327</v>
      </c>
      <c r="G824" s="7" t="s">
        <v>2297</v>
      </c>
      <c r="H824" s="7" t="s">
        <v>2328</v>
      </c>
      <c r="I824" s="9">
        <v>45344</v>
      </c>
    </row>
    <row r="825" spans="1:9" x14ac:dyDescent="0.15">
      <c r="A825" s="6">
        <v>824</v>
      </c>
      <c r="B825" s="7" t="s">
        <v>10</v>
      </c>
      <c r="C825" s="8">
        <v>1888</v>
      </c>
      <c r="D825" s="9">
        <v>45432</v>
      </c>
      <c r="E825" s="13" t="str">
        <f>+HYPERLINK("http://trademark.i-assist.jp/data/china/image_1888th/76912156.pdf","76912156")</f>
        <v>76912156</v>
      </c>
      <c r="F825" s="7" t="s">
        <v>2329</v>
      </c>
      <c r="G825" s="7" t="s">
        <v>2330</v>
      </c>
      <c r="H825" s="7" t="s">
        <v>2331</v>
      </c>
      <c r="I825" s="9">
        <v>45344</v>
      </c>
    </row>
    <row r="826" spans="1:9" x14ac:dyDescent="0.15">
      <c r="A826" s="6">
        <v>825</v>
      </c>
      <c r="B826" s="7" t="s">
        <v>10</v>
      </c>
      <c r="C826" s="8">
        <v>1888</v>
      </c>
      <c r="D826" s="9">
        <v>45432</v>
      </c>
      <c r="E826" s="13" t="str">
        <f>+HYPERLINK("http://trademark.i-assist.jp/data/china/image_1888th/76912210.pdf","76912210")</f>
        <v>76912210</v>
      </c>
      <c r="F826" s="7" t="s">
        <v>2332</v>
      </c>
      <c r="G826" s="7" t="s">
        <v>2333</v>
      </c>
      <c r="H826" s="7" t="s">
        <v>2334</v>
      </c>
      <c r="I826" s="9">
        <v>45344</v>
      </c>
    </row>
    <row r="827" spans="1:9" x14ac:dyDescent="0.15">
      <c r="A827" s="6">
        <v>826</v>
      </c>
      <c r="B827" s="7" t="s">
        <v>10</v>
      </c>
      <c r="C827" s="8">
        <v>1888</v>
      </c>
      <c r="D827" s="9">
        <v>45432</v>
      </c>
      <c r="E827" s="13" t="str">
        <f>+HYPERLINK("http://trademark.i-assist.jp/data/china/image_1888th/76912688.pdf","76912688")</f>
        <v>76912688</v>
      </c>
      <c r="F827" s="7" t="s">
        <v>2335</v>
      </c>
      <c r="G827" s="7" t="s">
        <v>2336</v>
      </c>
      <c r="H827" s="7" t="s">
        <v>2337</v>
      </c>
      <c r="I827" s="9">
        <v>45344</v>
      </c>
    </row>
    <row r="828" spans="1:9" x14ac:dyDescent="0.15">
      <c r="A828" s="6">
        <v>827</v>
      </c>
      <c r="B828" s="7" t="s">
        <v>10</v>
      </c>
      <c r="C828" s="8">
        <v>1888</v>
      </c>
      <c r="D828" s="9">
        <v>45432</v>
      </c>
      <c r="E828" s="13" t="str">
        <f>+HYPERLINK("http://trademark.i-assist.jp/data/china/image_1888th/76913251.pdf","76913251")</f>
        <v>76913251</v>
      </c>
      <c r="F828" s="7" t="s">
        <v>2338</v>
      </c>
      <c r="G828" s="7" t="s">
        <v>2339</v>
      </c>
      <c r="H828" s="7" t="s">
        <v>2340</v>
      </c>
      <c r="I828" s="9">
        <v>45344</v>
      </c>
    </row>
    <row r="829" spans="1:9" x14ac:dyDescent="0.15">
      <c r="A829" s="6">
        <v>828</v>
      </c>
      <c r="B829" s="7" t="s">
        <v>10</v>
      </c>
      <c r="C829" s="8">
        <v>1888</v>
      </c>
      <c r="D829" s="9">
        <v>45432</v>
      </c>
      <c r="E829" s="13" t="str">
        <f>+HYPERLINK("http://trademark.i-assist.jp/data/china/image_1888th/76913476.pdf","76913476")</f>
        <v>76913476</v>
      </c>
      <c r="F829" s="7" t="s">
        <v>2341</v>
      </c>
      <c r="G829" s="7" t="s">
        <v>2342</v>
      </c>
      <c r="H829" s="7" t="s">
        <v>2343</v>
      </c>
      <c r="I829" s="9">
        <v>45344</v>
      </c>
    </row>
    <row r="830" spans="1:9" x14ac:dyDescent="0.15">
      <c r="A830" s="6">
        <v>829</v>
      </c>
      <c r="B830" s="7" t="s">
        <v>10</v>
      </c>
      <c r="C830" s="8">
        <v>1888</v>
      </c>
      <c r="D830" s="9">
        <v>45432</v>
      </c>
      <c r="E830" s="13" t="str">
        <f>+HYPERLINK("http://trademark.i-assist.jp/data/china/image_1888th/76913685.pdf","76913685")</f>
        <v>76913685</v>
      </c>
      <c r="F830" s="7" t="s">
        <v>2344</v>
      </c>
      <c r="G830" s="7" t="s">
        <v>2345</v>
      </c>
      <c r="H830" s="7" t="s">
        <v>2346</v>
      </c>
      <c r="I830" s="9">
        <v>45344</v>
      </c>
    </row>
    <row r="831" spans="1:9" ht="27" x14ac:dyDescent="0.15">
      <c r="A831" s="6">
        <v>830</v>
      </c>
      <c r="B831" s="7" t="s">
        <v>10</v>
      </c>
      <c r="C831" s="8">
        <v>1888</v>
      </c>
      <c r="D831" s="9">
        <v>45432</v>
      </c>
      <c r="E831" s="13" t="str">
        <f>+HYPERLINK("http://trademark.i-assist.jp/data/china/image_1888th/76914642.pdf","76914642")</f>
        <v>76914642</v>
      </c>
      <c r="F831" s="7" t="s">
        <v>2347</v>
      </c>
      <c r="G831" s="7" t="s">
        <v>2348</v>
      </c>
      <c r="H831" s="7" t="s">
        <v>2349</v>
      </c>
      <c r="I831" s="9">
        <v>45344</v>
      </c>
    </row>
    <row r="832" spans="1:9" x14ac:dyDescent="0.15">
      <c r="A832" s="6">
        <v>831</v>
      </c>
      <c r="B832" s="7" t="s">
        <v>10</v>
      </c>
      <c r="C832" s="8">
        <v>1888</v>
      </c>
      <c r="D832" s="9">
        <v>45432</v>
      </c>
      <c r="E832" s="13" t="str">
        <f>+HYPERLINK("http://trademark.i-assist.jp/data/china/image_1888th/76914936.pdf","76914936")</f>
        <v>76914936</v>
      </c>
      <c r="F832" s="7" t="s">
        <v>2350</v>
      </c>
      <c r="G832" s="7" t="s">
        <v>2351</v>
      </c>
      <c r="H832" s="7" t="s">
        <v>2352</v>
      </c>
      <c r="I832" s="9">
        <v>45344</v>
      </c>
    </row>
    <row r="833" spans="1:9" x14ac:dyDescent="0.15">
      <c r="A833" s="6">
        <v>832</v>
      </c>
      <c r="B833" s="7" t="s">
        <v>10</v>
      </c>
      <c r="C833" s="8">
        <v>1888</v>
      </c>
      <c r="D833" s="9">
        <v>45432</v>
      </c>
      <c r="E833" s="13" t="str">
        <f>+HYPERLINK("http://trademark.i-assist.jp/data/china/image_1888th/76915347.pdf","76915347")</f>
        <v>76915347</v>
      </c>
      <c r="F833" s="7" t="s">
        <v>2353</v>
      </c>
      <c r="G833" s="7" t="s">
        <v>2354</v>
      </c>
      <c r="H833" s="7" t="s">
        <v>2355</v>
      </c>
      <c r="I833" s="9">
        <v>45344</v>
      </c>
    </row>
    <row r="834" spans="1:9" ht="27" x14ac:dyDescent="0.15">
      <c r="A834" s="6">
        <v>833</v>
      </c>
      <c r="B834" s="7" t="s">
        <v>10</v>
      </c>
      <c r="C834" s="8">
        <v>1888</v>
      </c>
      <c r="D834" s="9">
        <v>45432</v>
      </c>
      <c r="E834" s="13" t="str">
        <f>+HYPERLINK("http://trademark.i-assist.jp/data/china/image_1888th/76915500.pdf","76915500")</f>
        <v>76915500</v>
      </c>
      <c r="F834" s="7" t="s">
        <v>2356</v>
      </c>
      <c r="G834" s="7" t="s">
        <v>2322</v>
      </c>
      <c r="H834" s="7" t="s">
        <v>2357</v>
      </c>
      <c r="I834" s="9">
        <v>45344</v>
      </c>
    </row>
    <row r="835" spans="1:9" ht="27" x14ac:dyDescent="0.15">
      <c r="A835" s="6">
        <v>834</v>
      </c>
      <c r="B835" s="7" t="s">
        <v>10</v>
      </c>
      <c r="C835" s="8">
        <v>1888</v>
      </c>
      <c r="D835" s="9">
        <v>45432</v>
      </c>
      <c r="E835" s="13" t="str">
        <f>+HYPERLINK("http://trademark.i-assist.jp/data/china/image_1888th/76915520.pdf","76915520")</f>
        <v>76915520</v>
      </c>
      <c r="F835" s="7" t="s">
        <v>2358</v>
      </c>
      <c r="G835" s="7" t="s">
        <v>2322</v>
      </c>
      <c r="H835" s="7" t="s">
        <v>2359</v>
      </c>
      <c r="I835" s="9">
        <v>45344</v>
      </c>
    </row>
    <row r="836" spans="1:9" x14ac:dyDescent="0.15">
      <c r="A836" s="6">
        <v>835</v>
      </c>
      <c r="B836" s="7" t="s">
        <v>10</v>
      </c>
      <c r="C836" s="8">
        <v>1888</v>
      </c>
      <c r="D836" s="9">
        <v>45432</v>
      </c>
      <c r="E836" s="13" t="str">
        <f>+HYPERLINK("http://trademark.i-assist.jp/data/china/image_1888th/76915563.pdf","76915563")</f>
        <v>76915563</v>
      </c>
      <c r="F836" s="7" t="s">
        <v>2360</v>
      </c>
      <c r="G836" s="7" t="s">
        <v>2361</v>
      </c>
      <c r="H836" s="7" t="s">
        <v>2362</v>
      </c>
      <c r="I836" s="9">
        <v>45344</v>
      </c>
    </row>
    <row r="837" spans="1:9" x14ac:dyDescent="0.15">
      <c r="A837" s="6">
        <v>836</v>
      </c>
      <c r="B837" s="7" t="s">
        <v>10</v>
      </c>
      <c r="C837" s="8">
        <v>1888</v>
      </c>
      <c r="D837" s="9">
        <v>45432</v>
      </c>
      <c r="E837" s="13" t="str">
        <f>+HYPERLINK("http://trademark.i-assist.jp/data/china/image_1888th/76915635.pdf","76915635")</f>
        <v>76915635</v>
      </c>
      <c r="F837" s="7" t="s">
        <v>2363</v>
      </c>
      <c r="G837" s="7" t="s">
        <v>2364</v>
      </c>
      <c r="H837" s="7" t="s">
        <v>2365</v>
      </c>
      <c r="I837" s="9">
        <v>45344</v>
      </c>
    </row>
    <row r="838" spans="1:9" x14ac:dyDescent="0.15">
      <c r="A838" s="6">
        <v>837</v>
      </c>
      <c r="B838" s="7" t="s">
        <v>10</v>
      </c>
      <c r="C838" s="8">
        <v>1888</v>
      </c>
      <c r="D838" s="9">
        <v>45432</v>
      </c>
      <c r="E838" s="13" t="str">
        <f>+HYPERLINK("http://trademark.i-assist.jp/data/china/image_1888th/76916127.pdf","76916127")</f>
        <v>76916127</v>
      </c>
      <c r="F838" s="7" t="s">
        <v>2366</v>
      </c>
      <c r="G838" s="7" t="s">
        <v>2367</v>
      </c>
      <c r="H838" s="7" t="s">
        <v>2368</v>
      </c>
      <c r="I838" s="9">
        <v>45344</v>
      </c>
    </row>
    <row r="839" spans="1:9" x14ac:dyDescent="0.15">
      <c r="A839" s="6">
        <v>838</v>
      </c>
      <c r="B839" s="7" t="s">
        <v>10</v>
      </c>
      <c r="C839" s="8">
        <v>1888</v>
      </c>
      <c r="D839" s="9">
        <v>45432</v>
      </c>
      <c r="E839" s="13" t="str">
        <f>+HYPERLINK("http://trademark.i-assist.jp/data/china/image_1888th/76916182.pdf","76916182")</f>
        <v>76916182</v>
      </c>
      <c r="F839" s="7" t="s">
        <v>2369</v>
      </c>
      <c r="G839" s="7" t="s">
        <v>2285</v>
      </c>
      <c r="H839" s="7" t="s">
        <v>2370</v>
      </c>
      <c r="I839" s="9">
        <v>45344</v>
      </c>
    </row>
    <row r="840" spans="1:9" ht="27" x14ac:dyDescent="0.15">
      <c r="A840" s="6">
        <v>839</v>
      </c>
      <c r="B840" s="7" t="s">
        <v>10</v>
      </c>
      <c r="C840" s="8">
        <v>1888</v>
      </c>
      <c r="D840" s="9">
        <v>45432</v>
      </c>
      <c r="E840" s="13" t="str">
        <f>+HYPERLINK("http://trademark.i-assist.jp/data/china/image_1888th/76916663.pdf","76916663")</f>
        <v>76916663</v>
      </c>
      <c r="F840" s="7" t="s">
        <v>2371</v>
      </c>
      <c r="G840" s="7" t="s">
        <v>2372</v>
      </c>
      <c r="H840" s="7" t="s">
        <v>2373</v>
      </c>
      <c r="I840" s="9">
        <v>45344</v>
      </c>
    </row>
    <row r="841" spans="1:9" x14ac:dyDescent="0.15">
      <c r="A841" s="6">
        <v>840</v>
      </c>
      <c r="B841" s="7" t="s">
        <v>10</v>
      </c>
      <c r="C841" s="8">
        <v>1888</v>
      </c>
      <c r="D841" s="9">
        <v>45432</v>
      </c>
      <c r="E841" s="13" t="str">
        <f>+HYPERLINK("http://trademark.i-assist.jp/data/china/image_1888th/76917822.pdf","76917822")</f>
        <v>76917822</v>
      </c>
      <c r="F841" s="7" t="s">
        <v>2374</v>
      </c>
      <c r="G841" s="7" t="s">
        <v>2180</v>
      </c>
      <c r="H841" s="7" t="s">
        <v>2375</v>
      </c>
      <c r="I841" s="9">
        <v>45344</v>
      </c>
    </row>
    <row r="842" spans="1:9" x14ac:dyDescent="0.15">
      <c r="A842" s="6">
        <v>841</v>
      </c>
      <c r="B842" s="7" t="s">
        <v>10</v>
      </c>
      <c r="C842" s="8">
        <v>1888</v>
      </c>
      <c r="D842" s="9">
        <v>45432</v>
      </c>
      <c r="E842" s="13" t="str">
        <f>+HYPERLINK("http://trademark.i-assist.jp/data/china/image_1888th/76917857.pdf","76917857")</f>
        <v>76917857</v>
      </c>
      <c r="F842" s="7" t="s">
        <v>2376</v>
      </c>
      <c r="G842" s="7" t="s">
        <v>2377</v>
      </c>
      <c r="H842" s="7" t="s">
        <v>2378</v>
      </c>
      <c r="I842" s="9">
        <v>45344</v>
      </c>
    </row>
    <row r="843" spans="1:9" x14ac:dyDescent="0.15">
      <c r="A843" s="6">
        <v>842</v>
      </c>
      <c r="B843" s="7" t="s">
        <v>10</v>
      </c>
      <c r="C843" s="8">
        <v>1888</v>
      </c>
      <c r="D843" s="9">
        <v>45432</v>
      </c>
      <c r="E843" s="13" t="str">
        <f>+HYPERLINK("http://trademark.i-assist.jp/data/china/image_1888th/76917987.pdf","76917987")</f>
        <v>76917987</v>
      </c>
      <c r="F843" s="7" t="s">
        <v>2379</v>
      </c>
      <c r="G843" s="7" t="s">
        <v>2380</v>
      </c>
      <c r="H843" s="7" t="s">
        <v>2381</v>
      </c>
      <c r="I843" s="9">
        <v>45344</v>
      </c>
    </row>
    <row r="844" spans="1:9" x14ac:dyDescent="0.15">
      <c r="A844" s="6">
        <v>843</v>
      </c>
      <c r="B844" s="7" t="s">
        <v>10</v>
      </c>
      <c r="C844" s="8">
        <v>1888</v>
      </c>
      <c r="D844" s="9">
        <v>45432</v>
      </c>
      <c r="E844" s="13" t="str">
        <f>+HYPERLINK("http://trademark.i-assist.jp/data/china/image_1888th/76919539.pdf","76919539")</f>
        <v>76919539</v>
      </c>
      <c r="F844" s="7" t="s">
        <v>2382</v>
      </c>
      <c r="G844" s="7" t="s">
        <v>2383</v>
      </c>
      <c r="H844" s="7" t="s">
        <v>2384</v>
      </c>
      <c r="I844" s="9">
        <v>45345</v>
      </c>
    </row>
    <row r="845" spans="1:9" x14ac:dyDescent="0.15">
      <c r="A845" s="6">
        <v>844</v>
      </c>
      <c r="B845" s="7" t="s">
        <v>10</v>
      </c>
      <c r="C845" s="8">
        <v>1888</v>
      </c>
      <c r="D845" s="9">
        <v>45432</v>
      </c>
      <c r="E845" s="13" t="str">
        <f>+HYPERLINK("http://trademark.i-assist.jp/data/china/image_1888th/76919592.pdf","76919592")</f>
        <v>76919592</v>
      </c>
      <c r="F845" s="7" t="s">
        <v>2385</v>
      </c>
      <c r="G845" s="7" t="s">
        <v>2386</v>
      </c>
      <c r="H845" s="7" t="s">
        <v>2387</v>
      </c>
      <c r="I845" s="9">
        <v>45345</v>
      </c>
    </row>
    <row r="846" spans="1:9" x14ac:dyDescent="0.15">
      <c r="A846" s="6">
        <v>845</v>
      </c>
      <c r="B846" s="7" t="s">
        <v>10</v>
      </c>
      <c r="C846" s="8">
        <v>1888</v>
      </c>
      <c r="D846" s="9">
        <v>45432</v>
      </c>
      <c r="E846" s="13" t="str">
        <f>+HYPERLINK("http://trademark.i-assist.jp/data/china/image_1888th/76919633.pdf","76919633")</f>
        <v>76919633</v>
      </c>
      <c r="F846" s="7" t="s">
        <v>2388</v>
      </c>
      <c r="G846" s="7" t="s">
        <v>2389</v>
      </c>
      <c r="H846" s="7" t="s">
        <v>2390</v>
      </c>
      <c r="I846" s="9">
        <v>45345</v>
      </c>
    </row>
    <row r="847" spans="1:9" x14ac:dyDescent="0.15">
      <c r="A847" s="6">
        <v>846</v>
      </c>
      <c r="B847" s="7" t="s">
        <v>10</v>
      </c>
      <c r="C847" s="8">
        <v>1888</v>
      </c>
      <c r="D847" s="9">
        <v>45432</v>
      </c>
      <c r="E847" s="13" t="str">
        <f>+HYPERLINK("http://trademark.i-assist.jp/data/china/image_1888th/76919686.pdf","76919686")</f>
        <v>76919686</v>
      </c>
      <c r="F847" s="7" t="s">
        <v>2391</v>
      </c>
      <c r="G847" s="7" t="s">
        <v>2392</v>
      </c>
      <c r="H847" s="7" t="s">
        <v>2393</v>
      </c>
      <c r="I847" s="9">
        <v>45345</v>
      </c>
    </row>
    <row r="848" spans="1:9" x14ac:dyDescent="0.15">
      <c r="A848" s="6">
        <v>847</v>
      </c>
      <c r="B848" s="7" t="s">
        <v>10</v>
      </c>
      <c r="C848" s="8">
        <v>1888</v>
      </c>
      <c r="D848" s="9">
        <v>45432</v>
      </c>
      <c r="E848" s="13" t="str">
        <f>+HYPERLINK("http://trademark.i-assist.jp/data/china/image_1888th/76920284.pdf","76920284")</f>
        <v>76920284</v>
      </c>
      <c r="F848" s="7" t="s">
        <v>2394</v>
      </c>
      <c r="G848" s="7" t="s">
        <v>2395</v>
      </c>
      <c r="H848" s="7" t="s">
        <v>2396</v>
      </c>
      <c r="I848" s="9">
        <v>45345</v>
      </c>
    </row>
    <row r="849" spans="1:9" ht="27" x14ac:dyDescent="0.15">
      <c r="A849" s="6">
        <v>848</v>
      </c>
      <c r="B849" s="7" t="s">
        <v>10</v>
      </c>
      <c r="C849" s="8">
        <v>1888</v>
      </c>
      <c r="D849" s="9">
        <v>45432</v>
      </c>
      <c r="E849" s="13" t="str">
        <f>+HYPERLINK("http://trademark.i-assist.jp/data/china/image_1888th/76920973.pdf","76920973")</f>
        <v>76920973</v>
      </c>
      <c r="F849" s="7" t="s">
        <v>2397</v>
      </c>
      <c r="G849" s="7" t="s">
        <v>2398</v>
      </c>
      <c r="H849" s="7" t="s">
        <v>2399</v>
      </c>
      <c r="I849" s="9">
        <v>45345</v>
      </c>
    </row>
    <row r="850" spans="1:9" x14ac:dyDescent="0.15">
      <c r="A850" s="6">
        <v>849</v>
      </c>
      <c r="B850" s="7" t="s">
        <v>10</v>
      </c>
      <c r="C850" s="8">
        <v>1888</v>
      </c>
      <c r="D850" s="9">
        <v>45432</v>
      </c>
      <c r="E850" s="13" t="str">
        <f>+HYPERLINK("http://trademark.i-assist.jp/data/china/image_1888th/76921719.pdf","76921719")</f>
        <v>76921719</v>
      </c>
      <c r="F850" s="7" t="s">
        <v>76</v>
      </c>
      <c r="G850" s="7" t="s">
        <v>2400</v>
      </c>
      <c r="H850" s="7" t="s">
        <v>2401</v>
      </c>
      <c r="I850" s="9">
        <v>45345</v>
      </c>
    </row>
    <row r="851" spans="1:9" ht="27" x14ac:dyDescent="0.15">
      <c r="A851" s="6">
        <v>850</v>
      </c>
      <c r="B851" s="7" t="s">
        <v>10</v>
      </c>
      <c r="C851" s="8">
        <v>1888</v>
      </c>
      <c r="D851" s="9">
        <v>45432</v>
      </c>
      <c r="E851" s="13" t="str">
        <f>+HYPERLINK("http://trademark.i-assist.jp/data/china/image_1888th/76923191.pdf","76923191")</f>
        <v>76923191</v>
      </c>
      <c r="F851" s="7" t="s">
        <v>2402</v>
      </c>
      <c r="G851" s="7" t="s">
        <v>2403</v>
      </c>
      <c r="H851" s="7" t="s">
        <v>2404</v>
      </c>
      <c r="I851" s="9">
        <v>45345</v>
      </c>
    </row>
    <row r="852" spans="1:9" x14ac:dyDescent="0.15">
      <c r="A852" s="6">
        <v>851</v>
      </c>
      <c r="B852" s="7" t="s">
        <v>10</v>
      </c>
      <c r="C852" s="8">
        <v>1888</v>
      </c>
      <c r="D852" s="9">
        <v>45432</v>
      </c>
      <c r="E852" s="13" t="str">
        <f>+HYPERLINK("http://trademark.i-assist.jp/data/china/image_1888th/76923978.pdf","76923978")</f>
        <v>76923978</v>
      </c>
      <c r="F852" s="7" t="s">
        <v>2405</v>
      </c>
      <c r="G852" s="7" t="s">
        <v>2406</v>
      </c>
      <c r="H852" s="7" t="s">
        <v>2407</v>
      </c>
      <c r="I852" s="9">
        <v>45345</v>
      </c>
    </row>
    <row r="853" spans="1:9" x14ac:dyDescent="0.15">
      <c r="A853" s="6">
        <v>852</v>
      </c>
      <c r="B853" s="7" t="s">
        <v>10</v>
      </c>
      <c r="C853" s="8">
        <v>1888</v>
      </c>
      <c r="D853" s="9">
        <v>45432</v>
      </c>
      <c r="E853" s="13" t="str">
        <f>+HYPERLINK("http://trademark.i-assist.jp/data/china/image_1888th/76924110.pdf","76924110")</f>
        <v>76924110</v>
      </c>
      <c r="F853" s="7" t="s">
        <v>2408</v>
      </c>
      <c r="G853" s="7" t="s">
        <v>2409</v>
      </c>
      <c r="H853" s="7" t="s">
        <v>2410</v>
      </c>
      <c r="I853" s="9">
        <v>45345</v>
      </c>
    </row>
    <row r="854" spans="1:9" x14ac:dyDescent="0.15">
      <c r="A854" s="6">
        <v>853</v>
      </c>
      <c r="B854" s="7" t="s">
        <v>10</v>
      </c>
      <c r="C854" s="8">
        <v>1888</v>
      </c>
      <c r="D854" s="9">
        <v>45432</v>
      </c>
      <c r="E854" s="13" t="str">
        <f>+HYPERLINK("http://trademark.i-assist.jp/data/china/image_1888th/76924243.pdf","76924243")</f>
        <v>76924243</v>
      </c>
      <c r="F854" s="7" t="s">
        <v>2411</v>
      </c>
      <c r="G854" s="7" t="s">
        <v>2412</v>
      </c>
      <c r="H854" s="7" t="s">
        <v>2413</v>
      </c>
      <c r="I854" s="9">
        <v>45345</v>
      </c>
    </row>
    <row r="855" spans="1:9" x14ac:dyDescent="0.15">
      <c r="A855" s="6">
        <v>854</v>
      </c>
      <c r="B855" s="7" t="s">
        <v>10</v>
      </c>
      <c r="C855" s="8">
        <v>1888</v>
      </c>
      <c r="D855" s="9">
        <v>45432</v>
      </c>
      <c r="E855" s="13" t="str">
        <f>+HYPERLINK("http://trademark.i-assist.jp/data/china/image_1888th/76924768.pdf","76924768")</f>
        <v>76924768</v>
      </c>
      <c r="F855" s="7" t="s">
        <v>76</v>
      </c>
      <c r="G855" s="7" t="s">
        <v>2414</v>
      </c>
      <c r="H855" s="7" t="s">
        <v>2415</v>
      </c>
      <c r="I855" s="9">
        <v>45345</v>
      </c>
    </row>
    <row r="856" spans="1:9" ht="27" x14ac:dyDescent="0.15">
      <c r="A856" s="6">
        <v>855</v>
      </c>
      <c r="B856" s="7" t="s">
        <v>10</v>
      </c>
      <c r="C856" s="8">
        <v>1888</v>
      </c>
      <c r="D856" s="9">
        <v>45432</v>
      </c>
      <c r="E856" s="13" t="str">
        <f>+HYPERLINK("http://trademark.i-assist.jp/data/china/image_1888th/76924922.pdf","76924922")</f>
        <v>76924922</v>
      </c>
      <c r="F856" s="7" t="s">
        <v>2416</v>
      </c>
      <c r="G856" s="7" t="s">
        <v>2417</v>
      </c>
      <c r="H856" s="7" t="s">
        <v>2418</v>
      </c>
      <c r="I856" s="9">
        <v>45345</v>
      </c>
    </row>
    <row r="857" spans="1:9" ht="27" x14ac:dyDescent="0.15">
      <c r="A857" s="6">
        <v>856</v>
      </c>
      <c r="B857" s="7" t="s">
        <v>10</v>
      </c>
      <c r="C857" s="8">
        <v>1888</v>
      </c>
      <c r="D857" s="9">
        <v>45432</v>
      </c>
      <c r="E857" s="13" t="str">
        <f>+HYPERLINK("http://trademark.i-assist.jp/data/china/image_1888th/76924964.pdf","76924964")</f>
        <v>76924964</v>
      </c>
      <c r="F857" s="7" t="s">
        <v>2419</v>
      </c>
      <c r="G857" s="7" t="s">
        <v>2420</v>
      </c>
      <c r="H857" s="7" t="s">
        <v>2421</v>
      </c>
      <c r="I857" s="9">
        <v>45345</v>
      </c>
    </row>
    <row r="858" spans="1:9" x14ac:dyDescent="0.15">
      <c r="A858" s="6">
        <v>857</v>
      </c>
      <c r="B858" s="7" t="s">
        <v>10</v>
      </c>
      <c r="C858" s="8">
        <v>1888</v>
      </c>
      <c r="D858" s="9">
        <v>45432</v>
      </c>
      <c r="E858" s="13" t="str">
        <f>+HYPERLINK("http://trademark.i-assist.jp/data/china/image_1888th/76925193.pdf","76925193")</f>
        <v>76925193</v>
      </c>
      <c r="F858" s="7" t="s">
        <v>2422</v>
      </c>
      <c r="G858" s="7" t="s">
        <v>2423</v>
      </c>
      <c r="H858" s="7" t="s">
        <v>2424</v>
      </c>
      <c r="I858" s="9">
        <v>45345</v>
      </c>
    </row>
    <row r="859" spans="1:9" x14ac:dyDescent="0.15">
      <c r="A859" s="6">
        <v>858</v>
      </c>
      <c r="B859" s="7" t="s">
        <v>10</v>
      </c>
      <c r="C859" s="8">
        <v>1888</v>
      </c>
      <c r="D859" s="9">
        <v>45432</v>
      </c>
      <c r="E859" s="13" t="str">
        <f>+HYPERLINK("http://trademark.i-assist.jp/data/china/image_1888th/76925259.pdf","76925259")</f>
        <v>76925259</v>
      </c>
      <c r="F859" s="7" t="s">
        <v>2425</v>
      </c>
      <c r="G859" s="7" t="s">
        <v>2426</v>
      </c>
      <c r="H859" s="7" t="s">
        <v>2427</v>
      </c>
      <c r="I859" s="9">
        <v>45345</v>
      </c>
    </row>
    <row r="860" spans="1:9" x14ac:dyDescent="0.15">
      <c r="A860" s="6">
        <v>859</v>
      </c>
      <c r="B860" s="7" t="s">
        <v>10</v>
      </c>
      <c r="C860" s="8">
        <v>1888</v>
      </c>
      <c r="D860" s="9">
        <v>45432</v>
      </c>
      <c r="E860" s="13" t="str">
        <f>+HYPERLINK("http://trademark.i-assist.jp/data/china/image_1888th/76926031.pdf","76926031")</f>
        <v>76926031</v>
      </c>
      <c r="F860" s="7" t="s">
        <v>2428</v>
      </c>
      <c r="G860" s="7" t="s">
        <v>909</v>
      </c>
      <c r="H860" s="7" t="s">
        <v>2429</v>
      </c>
      <c r="I860" s="9">
        <v>45345</v>
      </c>
    </row>
    <row r="861" spans="1:9" x14ac:dyDescent="0.15">
      <c r="A861" s="6">
        <v>860</v>
      </c>
      <c r="B861" s="7" t="s">
        <v>10</v>
      </c>
      <c r="C861" s="8">
        <v>1888</v>
      </c>
      <c r="D861" s="9">
        <v>45432</v>
      </c>
      <c r="E861" s="13" t="str">
        <f>+HYPERLINK("http://trademark.i-assist.jp/data/china/image_1888th/76926191.pdf","76926191")</f>
        <v>76926191</v>
      </c>
      <c r="F861" s="7" t="s">
        <v>2430</v>
      </c>
      <c r="G861" s="7" t="s">
        <v>2431</v>
      </c>
      <c r="H861" s="7" t="s">
        <v>2432</v>
      </c>
      <c r="I861" s="9">
        <v>45345</v>
      </c>
    </row>
    <row r="862" spans="1:9" x14ac:dyDescent="0.15">
      <c r="A862" s="6">
        <v>861</v>
      </c>
      <c r="B862" s="7" t="s">
        <v>10</v>
      </c>
      <c r="C862" s="8">
        <v>1888</v>
      </c>
      <c r="D862" s="9">
        <v>45432</v>
      </c>
      <c r="E862" s="13" t="str">
        <f>+HYPERLINK("http://trademark.i-assist.jp/data/china/image_1888th/76926477.pdf","76926477")</f>
        <v>76926477</v>
      </c>
      <c r="F862" s="7" t="s">
        <v>2433</v>
      </c>
      <c r="G862" s="7" t="s">
        <v>2434</v>
      </c>
      <c r="H862" s="7" t="s">
        <v>2435</v>
      </c>
      <c r="I862" s="9">
        <v>45345</v>
      </c>
    </row>
    <row r="863" spans="1:9" x14ac:dyDescent="0.15">
      <c r="A863" s="6">
        <v>862</v>
      </c>
      <c r="B863" s="7" t="s">
        <v>10</v>
      </c>
      <c r="C863" s="8">
        <v>1888</v>
      </c>
      <c r="D863" s="9">
        <v>45432</v>
      </c>
      <c r="E863" s="13" t="str">
        <f>+HYPERLINK("http://trademark.i-assist.jp/data/china/image_1888th/76927198.pdf","76927198")</f>
        <v>76927198</v>
      </c>
      <c r="F863" s="7" t="s">
        <v>2436</v>
      </c>
      <c r="G863" s="7" t="s">
        <v>2437</v>
      </c>
      <c r="H863" s="7" t="s">
        <v>2438</v>
      </c>
      <c r="I863" s="9">
        <v>45345</v>
      </c>
    </row>
    <row r="864" spans="1:9" x14ac:dyDescent="0.15">
      <c r="A864" s="6">
        <v>863</v>
      </c>
      <c r="B864" s="7" t="s">
        <v>10</v>
      </c>
      <c r="C864" s="8">
        <v>1888</v>
      </c>
      <c r="D864" s="9">
        <v>45432</v>
      </c>
      <c r="E864" s="13" t="str">
        <f>+HYPERLINK("http://trademark.i-assist.jp/data/china/image_1888th/76927203.pdf","76927203")</f>
        <v>76927203</v>
      </c>
      <c r="F864" s="7" t="s">
        <v>2439</v>
      </c>
      <c r="G864" s="7" t="s">
        <v>2440</v>
      </c>
      <c r="H864" s="7" t="s">
        <v>2441</v>
      </c>
      <c r="I864" s="9">
        <v>45345</v>
      </c>
    </row>
    <row r="865" spans="1:9" x14ac:dyDescent="0.15">
      <c r="A865" s="6">
        <v>864</v>
      </c>
      <c r="B865" s="7" t="s">
        <v>10</v>
      </c>
      <c r="C865" s="8">
        <v>1888</v>
      </c>
      <c r="D865" s="9">
        <v>45432</v>
      </c>
      <c r="E865" s="13" t="str">
        <f>+HYPERLINK("http://trademark.i-assist.jp/data/china/image_1888th/76927259.pdf","76927259")</f>
        <v>76927259</v>
      </c>
      <c r="F865" s="7" t="s">
        <v>76</v>
      </c>
      <c r="G865" s="7" t="s">
        <v>2442</v>
      </c>
      <c r="H865" s="7" t="s">
        <v>2443</v>
      </c>
      <c r="I865" s="9">
        <v>45345</v>
      </c>
    </row>
    <row r="866" spans="1:9" x14ac:dyDescent="0.15">
      <c r="A866" s="6">
        <v>865</v>
      </c>
      <c r="B866" s="7" t="s">
        <v>10</v>
      </c>
      <c r="C866" s="8">
        <v>1888</v>
      </c>
      <c r="D866" s="9">
        <v>45432</v>
      </c>
      <c r="E866" s="13" t="str">
        <f>+HYPERLINK("http://trademark.i-assist.jp/data/china/image_1888th/76927585.pdf","76927585")</f>
        <v>76927585</v>
      </c>
      <c r="F866" s="7" t="s">
        <v>2444</v>
      </c>
      <c r="G866" s="7" t="s">
        <v>2445</v>
      </c>
      <c r="H866" s="7" t="s">
        <v>2446</v>
      </c>
      <c r="I866" s="9">
        <v>45345</v>
      </c>
    </row>
    <row r="867" spans="1:9" x14ac:dyDescent="0.15">
      <c r="A867" s="6">
        <v>866</v>
      </c>
      <c r="B867" s="7" t="s">
        <v>10</v>
      </c>
      <c r="C867" s="8">
        <v>1888</v>
      </c>
      <c r="D867" s="9">
        <v>45432</v>
      </c>
      <c r="E867" s="13" t="str">
        <f>+HYPERLINK("http://trademark.i-assist.jp/data/china/image_1888th/76928439.pdf","76928439")</f>
        <v>76928439</v>
      </c>
      <c r="F867" s="7" t="s">
        <v>2447</v>
      </c>
      <c r="G867" s="7" t="s">
        <v>2448</v>
      </c>
      <c r="H867" s="7" t="s">
        <v>2449</v>
      </c>
      <c r="I867" s="9">
        <v>45345</v>
      </c>
    </row>
    <row r="868" spans="1:9" ht="27" x14ac:dyDescent="0.15">
      <c r="A868" s="6">
        <v>867</v>
      </c>
      <c r="B868" s="7" t="s">
        <v>10</v>
      </c>
      <c r="C868" s="8">
        <v>1888</v>
      </c>
      <c r="D868" s="9">
        <v>45432</v>
      </c>
      <c r="E868" s="13" t="str">
        <f>+HYPERLINK("http://trademark.i-assist.jp/data/china/image_1888th/76928815.pdf","76928815")</f>
        <v>76928815</v>
      </c>
      <c r="F868" s="7" t="s">
        <v>2450</v>
      </c>
      <c r="G868" s="7" t="s">
        <v>2451</v>
      </c>
      <c r="H868" s="7" t="s">
        <v>2452</v>
      </c>
      <c r="I868" s="9">
        <v>45345</v>
      </c>
    </row>
    <row r="869" spans="1:9" x14ac:dyDescent="0.15">
      <c r="A869" s="6">
        <v>868</v>
      </c>
      <c r="B869" s="7" t="s">
        <v>10</v>
      </c>
      <c r="C869" s="8">
        <v>1888</v>
      </c>
      <c r="D869" s="9">
        <v>45432</v>
      </c>
      <c r="E869" s="13" t="str">
        <f>+HYPERLINK("http://trademark.i-assist.jp/data/china/image_1888th/76929161.pdf","76929161")</f>
        <v>76929161</v>
      </c>
      <c r="F869" s="7" t="s">
        <v>2453</v>
      </c>
      <c r="G869" s="7" t="s">
        <v>2454</v>
      </c>
      <c r="H869" s="7" t="s">
        <v>2455</v>
      </c>
      <c r="I869" s="9">
        <v>45345</v>
      </c>
    </row>
    <row r="870" spans="1:9" x14ac:dyDescent="0.15">
      <c r="A870" s="6">
        <v>869</v>
      </c>
      <c r="B870" s="7" t="s">
        <v>10</v>
      </c>
      <c r="C870" s="8">
        <v>1888</v>
      </c>
      <c r="D870" s="9">
        <v>45432</v>
      </c>
      <c r="E870" s="13" t="str">
        <f>+HYPERLINK("http://trademark.i-assist.jp/data/china/image_1888th/76929942.pdf","76929942")</f>
        <v>76929942</v>
      </c>
      <c r="F870" s="7" t="s">
        <v>2456</v>
      </c>
      <c r="G870" s="7" t="s">
        <v>2457</v>
      </c>
      <c r="H870" s="7" t="s">
        <v>2458</v>
      </c>
      <c r="I870" s="9">
        <v>45345</v>
      </c>
    </row>
    <row r="871" spans="1:9" x14ac:dyDescent="0.15">
      <c r="A871" s="6">
        <v>870</v>
      </c>
      <c r="B871" s="7" t="s">
        <v>10</v>
      </c>
      <c r="C871" s="8">
        <v>1888</v>
      </c>
      <c r="D871" s="9">
        <v>45432</v>
      </c>
      <c r="E871" s="13" t="str">
        <f>+HYPERLINK("http://trademark.i-assist.jp/data/china/image_1888th/76930252.pdf","76930252")</f>
        <v>76930252</v>
      </c>
      <c r="F871" s="7" t="s">
        <v>2459</v>
      </c>
      <c r="G871" s="7" t="s">
        <v>2460</v>
      </c>
      <c r="H871" s="7" t="s">
        <v>2461</v>
      </c>
      <c r="I871" s="9">
        <v>45345</v>
      </c>
    </row>
    <row r="872" spans="1:9" x14ac:dyDescent="0.15">
      <c r="A872" s="6">
        <v>871</v>
      </c>
      <c r="B872" s="7" t="s">
        <v>10</v>
      </c>
      <c r="C872" s="8">
        <v>1888</v>
      </c>
      <c r="D872" s="9">
        <v>45432</v>
      </c>
      <c r="E872" s="13" t="str">
        <f>+HYPERLINK("http://trademark.i-assist.jp/data/china/image_1888th/76930338.pdf","76930338")</f>
        <v>76930338</v>
      </c>
      <c r="F872" s="7" t="s">
        <v>2462</v>
      </c>
      <c r="G872" s="7" t="s">
        <v>2463</v>
      </c>
      <c r="H872" s="7" t="s">
        <v>2464</v>
      </c>
      <c r="I872" s="9">
        <v>45345</v>
      </c>
    </row>
    <row r="873" spans="1:9" ht="27" x14ac:dyDescent="0.15">
      <c r="A873" s="6">
        <v>872</v>
      </c>
      <c r="B873" s="7" t="s">
        <v>10</v>
      </c>
      <c r="C873" s="8">
        <v>1888</v>
      </c>
      <c r="D873" s="9">
        <v>45432</v>
      </c>
      <c r="E873" s="13" t="str">
        <f>+HYPERLINK("http://trademark.i-assist.jp/data/china/image_1888th/76930371.pdf","76930371")</f>
        <v>76930371</v>
      </c>
      <c r="F873" s="7" t="s">
        <v>2465</v>
      </c>
      <c r="G873" s="7" t="s">
        <v>2466</v>
      </c>
      <c r="H873" s="7" t="s">
        <v>2467</v>
      </c>
      <c r="I873" s="9">
        <v>45345</v>
      </c>
    </row>
    <row r="874" spans="1:9" x14ac:dyDescent="0.15">
      <c r="A874" s="6">
        <v>873</v>
      </c>
      <c r="B874" s="7" t="s">
        <v>10</v>
      </c>
      <c r="C874" s="8">
        <v>1888</v>
      </c>
      <c r="D874" s="9">
        <v>45432</v>
      </c>
      <c r="E874" s="13" t="str">
        <f>+HYPERLINK("http://trademark.i-assist.jp/data/china/image_1888th/76930836.pdf","76930836")</f>
        <v>76930836</v>
      </c>
      <c r="F874" s="7" t="s">
        <v>2468</v>
      </c>
      <c r="G874" s="7" t="s">
        <v>2442</v>
      </c>
      <c r="H874" s="7" t="s">
        <v>2469</v>
      </c>
      <c r="I874" s="9">
        <v>45345</v>
      </c>
    </row>
    <row r="875" spans="1:9" ht="27" x14ac:dyDescent="0.15">
      <c r="A875" s="6">
        <v>874</v>
      </c>
      <c r="B875" s="7" t="s">
        <v>10</v>
      </c>
      <c r="C875" s="8">
        <v>1888</v>
      </c>
      <c r="D875" s="9">
        <v>45432</v>
      </c>
      <c r="E875" s="13" t="str">
        <f>+HYPERLINK("http://trademark.i-assist.jp/data/china/image_1888th/76930885.pdf","76930885")</f>
        <v>76930885</v>
      </c>
      <c r="F875" s="7" t="s">
        <v>2470</v>
      </c>
      <c r="G875" s="7" t="s">
        <v>2471</v>
      </c>
      <c r="H875" s="7" t="s">
        <v>2472</v>
      </c>
      <c r="I875" s="9">
        <v>45345</v>
      </c>
    </row>
    <row r="876" spans="1:9" x14ac:dyDescent="0.15">
      <c r="A876" s="6">
        <v>875</v>
      </c>
      <c r="B876" s="7" t="s">
        <v>10</v>
      </c>
      <c r="C876" s="8">
        <v>1888</v>
      </c>
      <c r="D876" s="9">
        <v>45432</v>
      </c>
      <c r="E876" s="13" t="str">
        <f>+HYPERLINK("http://trademark.i-assist.jp/data/china/image_1888th/76931579.pdf","76931579")</f>
        <v>76931579</v>
      </c>
      <c r="F876" s="7" t="s">
        <v>2473</v>
      </c>
      <c r="G876" s="7" t="s">
        <v>2474</v>
      </c>
      <c r="H876" s="7" t="s">
        <v>2475</v>
      </c>
      <c r="I876" s="9">
        <v>45345</v>
      </c>
    </row>
    <row r="877" spans="1:9" x14ac:dyDescent="0.15">
      <c r="A877" s="6">
        <v>876</v>
      </c>
      <c r="B877" s="7" t="s">
        <v>10</v>
      </c>
      <c r="C877" s="8">
        <v>1888</v>
      </c>
      <c r="D877" s="9">
        <v>45432</v>
      </c>
      <c r="E877" s="13" t="str">
        <f>+HYPERLINK("http://trademark.i-assist.jp/data/china/image_1888th/76931921.pdf","76931921")</f>
        <v>76931921</v>
      </c>
      <c r="F877" s="7" t="s">
        <v>2476</v>
      </c>
      <c r="G877" s="7" t="s">
        <v>2477</v>
      </c>
      <c r="H877" s="7" t="s">
        <v>2478</v>
      </c>
      <c r="I877" s="9">
        <v>45345</v>
      </c>
    </row>
    <row r="878" spans="1:9" x14ac:dyDescent="0.15">
      <c r="A878" s="6">
        <v>877</v>
      </c>
      <c r="B878" s="7" t="s">
        <v>10</v>
      </c>
      <c r="C878" s="8">
        <v>1888</v>
      </c>
      <c r="D878" s="9">
        <v>45432</v>
      </c>
      <c r="E878" s="13" t="str">
        <f>+HYPERLINK("http://trademark.i-assist.jp/data/china/image_1888th/76932483.pdf","76932483")</f>
        <v>76932483</v>
      </c>
      <c r="F878" s="7" t="s">
        <v>2479</v>
      </c>
      <c r="G878" s="7" t="s">
        <v>2480</v>
      </c>
      <c r="H878" s="7" t="s">
        <v>2481</v>
      </c>
      <c r="I878" s="9">
        <v>45345</v>
      </c>
    </row>
    <row r="879" spans="1:9" x14ac:dyDescent="0.15">
      <c r="A879" s="6">
        <v>878</v>
      </c>
      <c r="B879" s="7" t="s">
        <v>10</v>
      </c>
      <c r="C879" s="8">
        <v>1888</v>
      </c>
      <c r="D879" s="9">
        <v>45432</v>
      </c>
      <c r="E879" s="13" t="str">
        <f>+HYPERLINK("http://trademark.i-assist.jp/data/china/image_1888th/76932873.pdf","76932873")</f>
        <v>76932873</v>
      </c>
      <c r="F879" s="7" t="s">
        <v>2482</v>
      </c>
      <c r="G879" s="7" t="s">
        <v>2426</v>
      </c>
      <c r="H879" s="7" t="s">
        <v>2483</v>
      </c>
      <c r="I879" s="9">
        <v>45345</v>
      </c>
    </row>
    <row r="880" spans="1:9" x14ac:dyDescent="0.15">
      <c r="A880" s="6">
        <v>879</v>
      </c>
      <c r="B880" s="7" t="s">
        <v>10</v>
      </c>
      <c r="C880" s="8">
        <v>1888</v>
      </c>
      <c r="D880" s="9">
        <v>45432</v>
      </c>
      <c r="E880" s="13" t="str">
        <f>+HYPERLINK("http://trademark.i-assist.jp/data/china/image_1888th/76933794.pdf","76933794")</f>
        <v>76933794</v>
      </c>
      <c r="F880" s="7" t="s">
        <v>2484</v>
      </c>
      <c r="G880" s="7" t="s">
        <v>2485</v>
      </c>
      <c r="H880" s="7" t="s">
        <v>2486</v>
      </c>
      <c r="I880" s="9">
        <v>45345</v>
      </c>
    </row>
    <row r="881" spans="1:9" ht="27" x14ac:dyDescent="0.15">
      <c r="A881" s="6">
        <v>880</v>
      </c>
      <c r="B881" s="7" t="s">
        <v>10</v>
      </c>
      <c r="C881" s="8">
        <v>1888</v>
      </c>
      <c r="D881" s="9">
        <v>45432</v>
      </c>
      <c r="E881" s="13" t="str">
        <f>+HYPERLINK("http://trademark.i-assist.jp/data/china/image_1888th/76933864.pdf","76933864")</f>
        <v>76933864</v>
      </c>
      <c r="F881" s="7" t="s">
        <v>2487</v>
      </c>
      <c r="G881" s="7" t="s">
        <v>2488</v>
      </c>
      <c r="H881" s="7" t="s">
        <v>2489</v>
      </c>
      <c r="I881" s="9">
        <v>45345</v>
      </c>
    </row>
    <row r="882" spans="1:9" x14ac:dyDescent="0.15">
      <c r="A882" s="6">
        <v>881</v>
      </c>
      <c r="B882" s="7" t="s">
        <v>10</v>
      </c>
      <c r="C882" s="8">
        <v>1888</v>
      </c>
      <c r="D882" s="9">
        <v>45432</v>
      </c>
      <c r="E882" s="13" t="str">
        <f>+HYPERLINK("http://trademark.i-assist.jp/data/china/image_1888th/76934185.pdf","76934185")</f>
        <v>76934185</v>
      </c>
      <c r="F882" s="7" t="s">
        <v>2490</v>
      </c>
      <c r="G882" s="7" t="s">
        <v>2491</v>
      </c>
      <c r="H882" s="7" t="s">
        <v>2492</v>
      </c>
      <c r="I882" s="9">
        <v>45345</v>
      </c>
    </row>
    <row r="883" spans="1:9" x14ac:dyDescent="0.15">
      <c r="A883" s="6">
        <v>882</v>
      </c>
      <c r="B883" s="7" t="s">
        <v>10</v>
      </c>
      <c r="C883" s="8">
        <v>1888</v>
      </c>
      <c r="D883" s="9">
        <v>45432</v>
      </c>
      <c r="E883" s="13" t="str">
        <f>+HYPERLINK("http://trademark.i-assist.jp/data/china/image_1888th/76935311.pdf","76935311")</f>
        <v>76935311</v>
      </c>
      <c r="F883" s="7" t="s">
        <v>76</v>
      </c>
      <c r="G883" s="7" t="s">
        <v>2493</v>
      </c>
      <c r="H883" s="7" t="s">
        <v>2494</v>
      </c>
      <c r="I883" s="9">
        <v>45345</v>
      </c>
    </row>
    <row r="884" spans="1:9" ht="27" x14ac:dyDescent="0.15">
      <c r="A884" s="6">
        <v>883</v>
      </c>
      <c r="B884" s="7" t="s">
        <v>10</v>
      </c>
      <c r="C884" s="8">
        <v>1888</v>
      </c>
      <c r="D884" s="9">
        <v>45432</v>
      </c>
      <c r="E884" s="13" t="str">
        <f>+HYPERLINK("http://trademark.i-assist.jp/data/china/image_1888th/76935392.pdf","76935392")</f>
        <v>76935392</v>
      </c>
      <c r="F884" s="7" t="s">
        <v>2495</v>
      </c>
      <c r="G884" s="7" t="s">
        <v>2496</v>
      </c>
      <c r="H884" s="7" t="s">
        <v>2497</v>
      </c>
      <c r="I884" s="9">
        <v>45345</v>
      </c>
    </row>
    <row r="885" spans="1:9" ht="27" x14ac:dyDescent="0.15">
      <c r="A885" s="6">
        <v>884</v>
      </c>
      <c r="B885" s="7" t="s">
        <v>10</v>
      </c>
      <c r="C885" s="8">
        <v>1888</v>
      </c>
      <c r="D885" s="9">
        <v>45432</v>
      </c>
      <c r="E885" s="13" t="str">
        <f>+HYPERLINK("http://trademark.i-assist.jp/data/china/image_1888th/76935854.pdf","76935854")</f>
        <v>76935854</v>
      </c>
      <c r="F885" s="7" t="s">
        <v>2498</v>
      </c>
      <c r="G885" s="7" t="s">
        <v>2420</v>
      </c>
      <c r="H885" s="7" t="s">
        <v>2499</v>
      </c>
      <c r="I885" s="9">
        <v>45345</v>
      </c>
    </row>
    <row r="886" spans="1:9" x14ac:dyDescent="0.15">
      <c r="A886" s="6">
        <v>885</v>
      </c>
      <c r="B886" s="7" t="s">
        <v>10</v>
      </c>
      <c r="C886" s="8">
        <v>1888</v>
      </c>
      <c r="D886" s="9">
        <v>45432</v>
      </c>
      <c r="E886" s="13" t="str">
        <f>+HYPERLINK("http://trademark.i-assist.jp/data/china/image_1888th/76935974.pdf","76935974")</f>
        <v>76935974</v>
      </c>
      <c r="F886" s="7" t="s">
        <v>2500</v>
      </c>
      <c r="G886" s="7" t="s">
        <v>2501</v>
      </c>
      <c r="H886" s="7" t="s">
        <v>2502</v>
      </c>
      <c r="I886" s="9">
        <v>45345</v>
      </c>
    </row>
    <row r="887" spans="1:9" x14ac:dyDescent="0.15">
      <c r="A887" s="6">
        <v>886</v>
      </c>
      <c r="B887" s="7" t="s">
        <v>10</v>
      </c>
      <c r="C887" s="8">
        <v>1888</v>
      </c>
      <c r="D887" s="9">
        <v>45432</v>
      </c>
      <c r="E887" s="13" t="str">
        <f>+HYPERLINK("http://trademark.i-assist.jp/data/china/image_1888th/76936336.pdf","76936336")</f>
        <v>76936336</v>
      </c>
      <c r="F887" s="7" t="s">
        <v>2503</v>
      </c>
      <c r="G887" s="7" t="s">
        <v>2504</v>
      </c>
      <c r="H887" s="7" t="s">
        <v>2505</v>
      </c>
      <c r="I887" s="9">
        <v>45345</v>
      </c>
    </row>
    <row r="888" spans="1:9" x14ac:dyDescent="0.15">
      <c r="A888" s="6">
        <v>887</v>
      </c>
      <c r="B888" s="7" t="s">
        <v>10</v>
      </c>
      <c r="C888" s="8">
        <v>1888</v>
      </c>
      <c r="D888" s="9">
        <v>45432</v>
      </c>
      <c r="E888" s="13" t="str">
        <f>+HYPERLINK("http://trademark.i-assist.jp/data/china/image_1888th/76936462.pdf","76936462")</f>
        <v>76936462</v>
      </c>
      <c r="F888" s="7" t="s">
        <v>2506</v>
      </c>
      <c r="G888" s="7" t="s">
        <v>2507</v>
      </c>
      <c r="H888" s="7" t="s">
        <v>2508</v>
      </c>
      <c r="I888" s="9">
        <v>45345</v>
      </c>
    </row>
    <row r="889" spans="1:9" ht="27" x14ac:dyDescent="0.15">
      <c r="A889" s="6">
        <v>888</v>
      </c>
      <c r="B889" s="7" t="s">
        <v>10</v>
      </c>
      <c r="C889" s="8">
        <v>1888</v>
      </c>
      <c r="D889" s="9">
        <v>45432</v>
      </c>
      <c r="E889" s="13" t="str">
        <f>+HYPERLINK("http://trademark.i-assist.jp/data/china/image_1888th/76936871.pdf","76936871")</f>
        <v>76936871</v>
      </c>
      <c r="F889" s="7" t="s">
        <v>76</v>
      </c>
      <c r="G889" s="7" t="s">
        <v>2509</v>
      </c>
      <c r="H889" s="7" t="s">
        <v>2510</v>
      </c>
      <c r="I889" s="9">
        <v>45345</v>
      </c>
    </row>
    <row r="890" spans="1:9" x14ac:dyDescent="0.15">
      <c r="A890" s="6">
        <v>889</v>
      </c>
      <c r="B890" s="7" t="s">
        <v>10</v>
      </c>
      <c r="C890" s="8">
        <v>1888</v>
      </c>
      <c r="D890" s="9">
        <v>45432</v>
      </c>
      <c r="E890" s="13" t="str">
        <f>+HYPERLINK("http://trademark.i-assist.jp/data/china/image_1888th/76937038.pdf","76937038")</f>
        <v>76937038</v>
      </c>
      <c r="F890" s="7" t="s">
        <v>2511</v>
      </c>
      <c r="G890" s="7" t="s">
        <v>2512</v>
      </c>
      <c r="H890" s="7" t="s">
        <v>2513</v>
      </c>
      <c r="I890" s="9">
        <v>45345</v>
      </c>
    </row>
    <row r="891" spans="1:9" ht="27" x14ac:dyDescent="0.15">
      <c r="A891" s="6">
        <v>890</v>
      </c>
      <c r="B891" s="7" t="s">
        <v>10</v>
      </c>
      <c r="C891" s="8">
        <v>1888</v>
      </c>
      <c r="D891" s="9">
        <v>45432</v>
      </c>
      <c r="E891" s="13" t="str">
        <f>+HYPERLINK("http://trademark.i-assist.jp/data/china/image_1888th/76937135.pdf","76937135")</f>
        <v>76937135</v>
      </c>
      <c r="F891" s="7" t="s">
        <v>2514</v>
      </c>
      <c r="G891" s="7" t="s">
        <v>2496</v>
      </c>
      <c r="H891" s="7" t="s">
        <v>2515</v>
      </c>
      <c r="I891" s="9">
        <v>45345</v>
      </c>
    </row>
    <row r="892" spans="1:9" x14ac:dyDescent="0.15">
      <c r="A892" s="6">
        <v>891</v>
      </c>
      <c r="B892" s="7" t="s">
        <v>10</v>
      </c>
      <c r="C892" s="8">
        <v>1888</v>
      </c>
      <c r="D892" s="9">
        <v>45432</v>
      </c>
      <c r="E892" s="13" t="str">
        <f>+HYPERLINK("http://trademark.i-assist.jp/data/china/image_1888th/76937217.pdf","76937217")</f>
        <v>76937217</v>
      </c>
      <c r="F892" s="7" t="s">
        <v>2516</v>
      </c>
      <c r="G892" s="7" t="s">
        <v>2517</v>
      </c>
      <c r="H892" s="7" t="s">
        <v>2518</v>
      </c>
      <c r="I892" s="9">
        <v>45345</v>
      </c>
    </row>
    <row r="893" spans="1:9" ht="27" x14ac:dyDescent="0.15">
      <c r="A893" s="6">
        <v>892</v>
      </c>
      <c r="B893" s="7" t="s">
        <v>10</v>
      </c>
      <c r="C893" s="8">
        <v>1888</v>
      </c>
      <c r="D893" s="9">
        <v>45432</v>
      </c>
      <c r="E893" s="13" t="str">
        <f>+HYPERLINK("http://trademark.i-assist.jp/data/china/image_1888th/76937420.pdf","76937420")</f>
        <v>76937420</v>
      </c>
      <c r="F893" s="7" t="s">
        <v>2519</v>
      </c>
      <c r="G893" s="7" t="s">
        <v>2520</v>
      </c>
      <c r="H893" s="7" t="s">
        <v>2521</v>
      </c>
      <c r="I893" s="9">
        <v>45345</v>
      </c>
    </row>
    <row r="894" spans="1:9" ht="27" x14ac:dyDescent="0.15">
      <c r="A894" s="6">
        <v>893</v>
      </c>
      <c r="B894" s="7" t="s">
        <v>10</v>
      </c>
      <c r="C894" s="8">
        <v>1888</v>
      </c>
      <c r="D894" s="9">
        <v>45432</v>
      </c>
      <c r="E894" s="13" t="str">
        <f>+HYPERLINK("http://trademark.i-assist.jp/data/china/image_1888th/76938319.pdf","76938319")</f>
        <v>76938319</v>
      </c>
      <c r="F894" s="7" t="s">
        <v>2522</v>
      </c>
      <c r="G894" s="7" t="s">
        <v>2523</v>
      </c>
      <c r="H894" s="7" t="s">
        <v>2524</v>
      </c>
      <c r="I894" s="9">
        <v>45345</v>
      </c>
    </row>
    <row r="895" spans="1:9" x14ac:dyDescent="0.15">
      <c r="A895" s="6">
        <v>894</v>
      </c>
      <c r="B895" s="7" t="s">
        <v>10</v>
      </c>
      <c r="C895" s="8">
        <v>1888</v>
      </c>
      <c r="D895" s="9">
        <v>45432</v>
      </c>
      <c r="E895" s="13" t="str">
        <f>+HYPERLINK("http://trademark.i-assist.jp/data/china/image_1888th/76938938.pdf","76938938")</f>
        <v>76938938</v>
      </c>
      <c r="F895" s="7" t="s">
        <v>2525</v>
      </c>
      <c r="G895" s="7" t="s">
        <v>2526</v>
      </c>
      <c r="H895" s="7" t="s">
        <v>2527</v>
      </c>
      <c r="I895" s="9">
        <v>45345</v>
      </c>
    </row>
    <row r="896" spans="1:9" x14ac:dyDescent="0.15">
      <c r="A896" s="6">
        <v>895</v>
      </c>
      <c r="B896" s="7" t="s">
        <v>10</v>
      </c>
      <c r="C896" s="8">
        <v>1888</v>
      </c>
      <c r="D896" s="9">
        <v>45432</v>
      </c>
      <c r="E896" s="13" t="str">
        <f>+HYPERLINK("http://trademark.i-assist.jp/data/china/image_1888th/76939164.pdf","76939164")</f>
        <v>76939164</v>
      </c>
      <c r="F896" s="7" t="s">
        <v>2528</v>
      </c>
      <c r="G896" s="7" t="s">
        <v>2529</v>
      </c>
      <c r="H896" s="7" t="s">
        <v>2530</v>
      </c>
      <c r="I896" s="9">
        <v>45345</v>
      </c>
    </row>
    <row r="897" spans="1:9" x14ac:dyDescent="0.15">
      <c r="A897" s="6">
        <v>896</v>
      </c>
      <c r="B897" s="7" t="s">
        <v>10</v>
      </c>
      <c r="C897" s="8">
        <v>1888</v>
      </c>
      <c r="D897" s="9">
        <v>45432</v>
      </c>
      <c r="E897" s="13" t="str">
        <f>+HYPERLINK("http://trademark.i-assist.jp/data/china/image_1888th/76939182.pdf","76939182")</f>
        <v>76939182</v>
      </c>
      <c r="F897" s="7" t="s">
        <v>2531</v>
      </c>
      <c r="G897" s="7" t="s">
        <v>2532</v>
      </c>
      <c r="H897" s="7" t="s">
        <v>2533</v>
      </c>
      <c r="I897" s="9">
        <v>45345</v>
      </c>
    </row>
    <row r="898" spans="1:9" ht="27" x14ac:dyDescent="0.15">
      <c r="A898" s="6">
        <v>897</v>
      </c>
      <c r="B898" s="7" t="s">
        <v>10</v>
      </c>
      <c r="C898" s="8">
        <v>1888</v>
      </c>
      <c r="D898" s="9">
        <v>45432</v>
      </c>
      <c r="E898" s="13" t="str">
        <f>+HYPERLINK("http://trademark.i-assist.jp/data/china/image_1888th/76939872.pdf","76939872")</f>
        <v>76939872</v>
      </c>
      <c r="F898" s="7" t="s">
        <v>2534</v>
      </c>
      <c r="G898" s="7" t="s">
        <v>1283</v>
      </c>
      <c r="H898" s="7" t="s">
        <v>2535</v>
      </c>
      <c r="I898" s="9">
        <v>45345</v>
      </c>
    </row>
    <row r="899" spans="1:9" ht="27" x14ac:dyDescent="0.15">
      <c r="A899" s="6">
        <v>898</v>
      </c>
      <c r="B899" s="7" t="s">
        <v>10</v>
      </c>
      <c r="C899" s="8">
        <v>1888</v>
      </c>
      <c r="D899" s="9">
        <v>45432</v>
      </c>
      <c r="E899" s="13" t="str">
        <f>+HYPERLINK("http://trademark.i-assist.jp/data/china/image_1888th/76940263.pdf","76940263")</f>
        <v>76940263</v>
      </c>
      <c r="F899" s="7" t="s">
        <v>2536</v>
      </c>
      <c r="G899" s="7" t="s">
        <v>2537</v>
      </c>
      <c r="H899" s="7" t="s">
        <v>2538</v>
      </c>
      <c r="I899" s="9">
        <v>45345</v>
      </c>
    </row>
    <row r="900" spans="1:9" x14ac:dyDescent="0.15">
      <c r="A900" s="6">
        <v>899</v>
      </c>
      <c r="B900" s="7" t="s">
        <v>10</v>
      </c>
      <c r="C900" s="8">
        <v>1888</v>
      </c>
      <c r="D900" s="9">
        <v>45432</v>
      </c>
      <c r="E900" s="13" t="str">
        <f>+HYPERLINK("http://trademark.i-assist.jp/data/china/image_1888th/76940403.pdf","76940403")</f>
        <v>76940403</v>
      </c>
      <c r="F900" s="7" t="s">
        <v>2539</v>
      </c>
      <c r="G900" s="7" t="s">
        <v>2540</v>
      </c>
      <c r="H900" s="7" t="s">
        <v>2541</v>
      </c>
      <c r="I900" s="9">
        <v>45345</v>
      </c>
    </row>
    <row r="901" spans="1:9" x14ac:dyDescent="0.15">
      <c r="A901" s="6">
        <v>900</v>
      </c>
      <c r="B901" s="7" t="s">
        <v>10</v>
      </c>
      <c r="C901" s="8">
        <v>1888</v>
      </c>
      <c r="D901" s="9">
        <v>45432</v>
      </c>
      <c r="E901" s="13" t="str">
        <f>+HYPERLINK("http://trademark.i-assist.jp/data/china/image_1888th/76940469.pdf","76940469")</f>
        <v>76940469</v>
      </c>
      <c r="F901" s="7" t="s">
        <v>2542</v>
      </c>
      <c r="G901" s="7" t="s">
        <v>2543</v>
      </c>
      <c r="H901" s="7" t="s">
        <v>2544</v>
      </c>
      <c r="I901" s="9">
        <v>45345</v>
      </c>
    </row>
    <row r="902" spans="1:9" x14ac:dyDescent="0.15">
      <c r="A902" s="6">
        <v>901</v>
      </c>
      <c r="B902" s="7" t="s">
        <v>10</v>
      </c>
      <c r="C902" s="8">
        <v>1888</v>
      </c>
      <c r="D902" s="9">
        <v>45432</v>
      </c>
      <c r="E902" s="13" t="str">
        <f>+HYPERLINK("http://trademark.i-assist.jp/data/china/image_1888th/76941584.pdf","76941584")</f>
        <v>76941584</v>
      </c>
      <c r="F902" s="7" t="s">
        <v>2545</v>
      </c>
      <c r="G902" s="7" t="s">
        <v>2546</v>
      </c>
      <c r="H902" s="7" t="s">
        <v>2547</v>
      </c>
      <c r="I902" s="9">
        <v>45346</v>
      </c>
    </row>
    <row r="903" spans="1:9" x14ac:dyDescent="0.15">
      <c r="A903" s="6">
        <v>902</v>
      </c>
      <c r="B903" s="7" t="s">
        <v>10</v>
      </c>
      <c r="C903" s="8">
        <v>1888</v>
      </c>
      <c r="D903" s="9">
        <v>45432</v>
      </c>
      <c r="E903" s="13" t="str">
        <f>+HYPERLINK("http://trademark.i-assist.jp/data/china/image_1888th/76942366.pdf","76942366")</f>
        <v>76942366</v>
      </c>
      <c r="F903" s="7" t="s">
        <v>2548</v>
      </c>
      <c r="G903" s="7" t="s">
        <v>2549</v>
      </c>
      <c r="H903" s="7" t="s">
        <v>2550</v>
      </c>
      <c r="I903" s="9">
        <v>45346</v>
      </c>
    </row>
    <row r="904" spans="1:9" x14ac:dyDescent="0.15">
      <c r="A904" s="6">
        <v>903</v>
      </c>
      <c r="B904" s="7" t="s">
        <v>10</v>
      </c>
      <c r="C904" s="8">
        <v>1888</v>
      </c>
      <c r="D904" s="9">
        <v>45432</v>
      </c>
      <c r="E904" s="13" t="str">
        <f>+HYPERLINK("http://trademark.i-assist.jp/data/china/image_1888th/76943287.pdf","76943287")</f>
        <v>76943287</v>
      </c>
      <c r="F904" s="7" t="s">
        <v>2551</v>
      </c>
      <c r="G904" s="7" t="s">
        <v>2552</v>
      </c>
      <c r="H904" s="7" t="s">
        <v>2553</v>
      </c>
      <c r="I904" s="9">
        <v>45346</v>
      </c>
    </row>
    <row r="905" spans="1:9" x14ac:dyDescent="0.15">
      <c r="A905" s="6">
        <v>904</v>
      </c>
      <c r="B905" s="7" t="s">
        <v>10</v>
      </c>
      <c r="C905" s="8">
        <v>1888</v>
      </c>
      <c r="D905" s="9">
        <v>45432</v>
      </c>
      <c r="E905" s="13" t="str">
        <f>+HYPERLINK("http://trademark.i-assist.jp/data/china/image_1888th/76943611.pdf","76943611")</f>
        <v>76943611</v>
      </c>
      <c r="F905" s="7" t="s">
        <v>2554</v>
      </c>
      <c r="G905" s="7" t="s">
        <v>2555</v>
      </c>
      <c r="H905" s="7" t="s">
        <v>2556</v>
      </c>
      <c r="I905" s="9">
        <v>45346</v>
      </c>
    </row>
    <row r="906" spans="1:9" x14ac:dyDescent="0.15">
      <c r="A906" s="6">
        <v>905</v>
      </c>
      <c r="B906" s="7" t="s">
        <v>10</v>
      </c>
      <c r="C906" s="8">
        <v>1888</v>
      </c>
      <c r="D906" s="9">
        <v>45432</v>
      </c>
      <c r="E906" s="13" t="str">
        <f>+HYPERLINK("http://trademark.i-assist.jp/data/china/image_1888th/76943632.pdf","76943632")</f>
        <v>76943632</v>
      </c>
      <c r="F906" s="7" t="s">
        <v>2557</v>
      </c>
      <c r="G906" s="7" t="s">
        <v>2558</v>
      </c>
      <c r="H906" s="7" t="s">
        <v>2559</v>
      </c>
      <c r="I906" s="9">
        <v>45346</v>
      </c>
    </row>
    <row r="907" spans="1:9" x14ac:dyDescent="0.15">
      <c r="A907" s="6">
        <v>906</v>
      </c>
      <c r="B907" s="7" t="s">
        <v>10</v>
      </c>
      <c r="C907" s="8">
        <v>1888</v>
      </c>
      <c r="D907" s="9">
        <v>45432</v>
      </c>
      <c r="E907" s="13" t="str">
        <f>+HYPERLINK("http://trademark.i-assist.jp/data/china/image_1888th/76944180.pdf","76944180")</f>
        <v>76944180</v>
      </c>
      <c r="F907" s="7" t="s">
        <v>2560</v>
      </c>
      <c r="G907" s="7" t="s">
        <v>2561</v>
      </c>
      <c r="H907" s="7" t="s">
        <v>2562</v>
      </c>
      <c r="I907" s="9">
        <v>45346</v>
      </c>
    </row>
    <row r="908" spans="1:9" x14ac:dyDescent="0.15">
      <c r="A908" s="6">
        <v>907</v>
      </c>
      <c r="B908" s="7" t="s">
        <v>10</v>
      </c>
      <c r="C908" s="8">
        <v>1888</v>
      </c>
      <c r="D908" s="9">
        <v>45432</v>
      </c>
      <c r="E908" s="13" t="str">
        <f>+HYPERLINK("http://trademark.i-assist.jp/data/china/image_1888th/76944295.pdf","76944295")</f>
        <v>76944295</v>
      </c>
      <c r="F908" s="7" t="s">
        <v>2563</v>
      </c>
      <c r="G908" s="7" t="s">
        <v>2564</v>
      </c>
      <c r="H908" s="7" t="s">
        <v>2565</v>
      </c>
      <c r="I908" s="9">
        <v>45346</v>
      </c>
    </row>
    <row r="909" spans="1:9" x14ac:dyDescent="0.15">
      <c r="A909" s="6">
        <v>908</v>
      </c>
      <c r="B909" s="7" t="s">
        <v>10</v>
      </c>
      <c r="C909" s="8">
        <v>1888</v>
      </c>
      <c r="D909" s="9">
        <v>45432</v>
      </c>
      <c r="E909" s="13" t="str">
        <f>+HYPERLINK("http://trademark.i-assist.jp/data/china/image_1888th/76945040.pdf","76945040")</f>
        <v>76945040</v>
      </c>
      <c r="F909" s="7" t="s">
        <v>2566</v>
      </c>
      <c r="G909" s="7" t="s">
        <v>2567</v>
      </c>
      <c r="H909" s="7" t="s">
        <v>2568</v>
      </c>
      <c r="I909" s="9">
        <v>45347</v>
      </c>
    </row>
    <row r="910" spans="1:9" x14ac:dyDescent="0.15">
      <c r="A910" s="6">
        <v>909</v>
      </c>
      <c r="B910" s="7" t="s">
        <v>10</v>
      </c>
      <c r="C910" s="8">
        <v>1888</v>
      </c>
      <c r="D910" s="9">
        <v>45432</v>
      </c>
      <c r="E910" s="13" t="str">
        <f>+HYPERLINK("http://trademark.i-assist.jp/data/china/image_1888th/76945486.pdf","76945486")</f>
        <v>76945486</v>
      </c>
      <c r="F910" s="7" t="s">
        <v>2569</v>
      </c>
      <c r="G910" s="7" t="s">
        <v>2570</v>
      </c>
      <c r="H910" s="7" t="s">
        <v>2571</v>
      </c>
      <c r="I910" s="9">
        <v>45347</v>
      </c>
    </row>
    <row r="911" spans="1:9" x14ac:dyDescent="0.15">
      <c r="A911" s="6">
        <v>910</v>
      </c>
      <c r="B911" s="7" t="s">
        <v>10</v>
      </c>
      <c r="C911" s="8">
        <v>1888</v>
      </c>
      <c r="D911" s="9">
        <v>45432</v>
      </c>
      <c r="E911" s="13" t="str">
        <f>+HYPERLINK("http://trademark.i-assist.jp/data/china/image_1888th/76945532.pdf","76945532")</f>
        <v>76945532</v>
      </c>
      <c r="F911" s="7" t="s">
        <v>2572</v>
      </c>
      <c r="G911" s="7" t="s">
        <v>2573</v>
      </c>
      <c r="H911" s="7" t="s">
        <v>2574</v>
      </c>
      <c r="I911" s="9">
        <v>45347</v>
      </c>
    </row>
    <row r="912" spans="1:9" x14ac:dyDescent="0.15">
      <c r="A912" s="6">
        <v>911</v>
      </c>
      <c r="B912" s="7" t="s">
        <v>10</v>
      </c>
      <c r="C912" s="8">
        <v>1888</v>
      </c>
      <c r="D912" s="9">
        <v>45432</v>
      </c>
      <c r="E912" s="13" t="str">
        <f>+HYPERLINK("http://trademark.i-assist.jp/data/china/image_1888th/76945677.pdf","76945677")</f>
        <v>76945677</v>
      </c>
      <c r="F912" s="7" t="s">
        <v>2575</v>
      </c>
      <c r="G912" s="7" t="s">
        <v>2576</v>
      </c>
      <c r="H912" s="7" t="s">
        <v>2577</v>
      </c>
      <c r="I912" s="9">
        <v>45347</v>
      </c>
    </row>
    <row r="913" spans="1:9" x14ac:dyDescent="0.15">
      <c r="A913" s="6">
        <v>912</v>
      </c>
      <c r="B913" s="7" t="s">
        <v>10</v>
      </c>
      <c r="C913" s="8">
        <v>1888</v>
      </c>
      <c r="D913" s="9">
        <v>45432</v>
      </c>
      <c r="E913" s="13" t="str">
        <f>+HYPERLINK("http://trademark.i-assist.jp/data/china/image_1888th/76945736.pdf","76945736")</f>
        <v>76945736</v>
      </c>
      <c r="F913" s="7" t="s">
        <v>2578</v>
      </c>
      <c r="G913" s="7" t="s">
        <v>2579</v>
      </c>
      <c r="H913" s="7" t="s">
        <v>2580</v>
      </c>
      <c r="I913" s="9">
        <v>45347</v>
      </c>
    </row>
    <row r="914" spans="1:9" x14ac:dyDescent="0.15">
      <c r="A914" s="6">
        <v>913</v>
      </c>
      <c r="B914" s="7" t="s">
        <v>10</v>
      </c>
      <c r="C914" s="8">
        <v>1888</v>
      </c>
      <c r="D914" s="9">
        <v>45432</v>
      </c>
      <c r="E914" s="13" t="str">
        <f>+HYPERLINK("http://trademark.i-assist.jp/data/china/image_1888th/76946217.pdf","76946217")</f>
        <v>76946217</v>
      </c>
      <c r="F914" s="7" t="s">
        <v>2581</v>
      </c>
      <c r="G914" s="7" t="s">
        <v>2582</v>
      </c>
      <c r="H914" s="7" t="s">
        <v>2583</v>
      </c>
      <c r="I914" s="9">
        <v>45347</v>
      </c>
    </row>
    <row r="915" spans="1:9" x14ac:dyDescent="0.15">
      <c r="A915" s="6">
        <v>914</v>
      </c>
      <c r="B915" s="7" t="s">
        <v>10</v>
      </c>
      <c r="C915" s="8">
        <v>1888</v>
      </c>
      <c r="D915" s="9">
        <v>45432</v>
      </c>
      <c r="E915" s="13" t="str">
        <f>+HYPERLINK("http://trademark.i-assist.jp/data/china/image_1888th/76947043.pdf","76947043")</f>
        <v>76947043</v>
      </c>
      <c r="F915" s="7" t="s">
        <v>2584</v>
      </c>
      <c r="G915" s="7" t="s">
        <v>2585</v>
      </c>
      <c r="H915" s="7" t="s">
        <v>2586</v>
      </c>
      <c r="I915" s="9">
        <v>45347</v>
      </c>
    </row>
    <row r="916" spans="1:9" x14ac:dyDescent="0.15">
      <c r="A916" s="6">
        <v>915</v>
      </c>
      <c r="B916" s="7" t="s">
        <v>10</v>
      </c>
      <c r="C916" s="8">
        <v>1888</v>
      </c>
      <c r="D916" s="9">
        <v>45432</v>
      </c>
      <c r="E916" s="13" t="str">
        <f>+HYPERLINK("http://trademark.i-assist.jp/data/china/image_1888th/76947760.pdf","76947760")</f>
        <v>76947760</v>
      </c>
      <c r="F916" s="7" t="s">
        <v>2587</v>
      </c>
      <c r="G916" s="7" t="s">
        <v>2588</v>
      </c>
      <c r="H916" s="7" t="s">
        <v>2589</v>
      </c>
      <c r="I916" s="9">
        <v>45348</v>
      </c>
    </row>
    <row r="917" spans="1:9" x14ac:dyDescent="0.15">
      <c r="A917" s="6">
        <v>916</v>
      </c>
      <c r="B917" s="7" t="s">
        <v>10</v>
      </c>
      <c r="C917" s="8">
        <v>1888</v>
      </c>
      <c r="D917" s="9">
        <v>45432</v>
      </c>
      <c r="E917" s="13" t="str">
        <f>+HYPERLINK("http://trademark.i-assist.jp/data/china/image_1888th/76948196.pdf","76948196")</f>
        <v>76948196</v>
      </c>
      <c r="F917" s="7" t="s">
        <v>2590</v>
      </c>
      <c r="G917" s="7" t="s">
        <v>2591</v>
      </c>
      <c r="H917" s="7" t="s">
        <v>2592</v>
      </c>
      <c r="I917" s="9">
        <v>45348</v>
      </c>
    </row>
    <row r="918" spans="1:9" x14ac:dyDescent="0.15">
      <c r="A918" s="6">
        <v>917</v>
      </c>
      <c r="B918" s="7" t="s">
        <v>10</v>
      </c>
      <c r="C918" s="8">
        <v>1888</v>
      </c>
      <c r="D918" s="9">
        <v>45432</v>
      </c>
      <c r="E918" s="13" t="str">
        <f>+HYPERLINK("http://trademark.i-assist.jp/data/china/image_1888th/76948219.pdf","76948219")</f>
        <v>76948219</v>
      </c>
      <c r="F918" s="7" t="s">
        <v>2593</v>
      </c>
      <c r="G918" s="7" t="s">
        <v>2594</v>
      </c>
      <c r="H918" s="7" t="s">
        <v>2595</v>
      </c>
      <c r="I918" s="9">
        <v>45348</v>
      </c>
    </row>
    <row r="919" spans="1:9" x14ac:dyDescent="0.15">
      <c r="A919" s="6">
        <v>918</v>
      </c>
      <c r="B919" s="7" t="s">
        <v>10</v>
      </c>
      <c r="C919" s="8">
        <v>1888</v>
      </c>
      <c r="D919" s="9">
        <v>45432</v>
      </c>
      <c r="E919" s="13" t="str">
        <f>+HYPERLINK("http://trademark.i-assist.jp/data/china/image_1888th/76948224.pdf","76948224")</f>
        <v>76948224</v>
      </c>
      <c r="F919" s="7" t="s">
        <v>2596</v>
      </c>
      <c r="G919" s="7" t="s">
        <v>2594</v>
      </c>
      <c r="H919" s="7" t="s">
        <v>2597</v>
      </c>
      <c r="I919" s="9">
        <v>45348</v>
      </c>
    </row>
    <row r="920" spans="1:9" x14ac:dyDescent="0.15">
      <c r="A920" s="6">
        <v>919</v>
      </c>
      <c r="B920" s="7" t="s">
        <v>10</v>
      </c>
      <c r="C920" s="8">
        <v>1888</v>
      </c>
      <c r="D920" s="9">
        <v>45432</v>
      </c>
      <c r="E920" s="13" t="str">
        <f>+HYPERLINK("http://trademark.i-assist.jp/data/china/image_1888th/76948626.pdf","76948626")</f>
        <v>76948626</v>
      </c>
      <c r="F920" s="7" t="s">
        <v>2598</v>
      </c>
      <c r="G920" s="7" t="s">
        <v>2599</v>
      </c>
      <c r="H920" s="7" t="s">
        <v>2600</v>
      </c>
      <c r="I920" s="9">
        <v>45348</v>
      </c>
    </row>
    <row r="921" spans="1:9" x14ac:dyDescent="0.15">
      <c r="A921" s="6">
        <v>920</v>
      </c>
      <c r="B921" s="7" t="s">
        <v>10</v>
      </c>
      <c r="C921" s="8">
        <v>1888</v>
      </c>
      <c r="D921" s="9">
        <v>45432</v>
      </c>
      <c r="E921" s="13" t="str">
        <f>+HYPERLINK("http://trademark.i-assist.jp/data/china/image_1888th/76948698.pdf","76948698")</f>
        <v>76948698</v>
      </c>
      <c r="F921" s="7" t="s">
        <v>2601</v>
      </c>
      <c r="G921" s="7" t="s">
        <v>2602</v>
      </c>
      <c r="H921" s="7" t="s">
        <v>2603</v>
      </c>
      <c r="I921" s="9">
        <v>45348</v>
      </c>
    </row>
    <row r="922" spans="1:9" x14ac:dyDescent="0.15">
      <c r="A922" s="6">
        <v>921</v>
      </c>
      <c r="B922" s="7" t="s">
        <v>10</v>
      </c>
      <c r="C922" s="8">
        <v>1888</v>
      </c>
      <c r="D922" s="9">
        <v>45432</v>
      </c>
      <c r="E922" s="13" t="str">
        <f>+HYPERLINK("http://trademark.i-assist.jp/data/china/image_1888th/76948841.pdf","76948841")</f>
        <v>76948841</v>
      </c>
      <c r="F922" s="7" t="s">
        <v>2604</v>
      </c>
      <c r="G922" s="7" t="s">
        <v>2605</v>
      </c>
      <c r="H922" s="7" t="s">
        <v>2606</v>
      </c>
      <c r="I922" s="9">
        <v>45348</v>
      </c>
    </row>
    <row r="923" spans="1:9" x14ac:dyDescent="0.15">
      <c r="A923" s="6">
        <v>922</v>
      </c>
      <c r="B923" s="7" t="s">
        <v>10</v>
      </c>
      <c r="C923" s="8">
        <v>1888</v>
      </c>
      <c r="D923" s="9">
        <v>45432</v>
      </c>
      <c r="E923" s="13" t="str">
        <f>+HYPERLINK("http://trademark.i-assist.jp/data/china/image_1888th/76948991.pdf","76948991")</f>
        <v>76948991</v>
      </c>
      <c r="F923" s="7" t="s">
        <v>2607</v>
      </c>
      <c r="G923" s="7" t="s">
        <v>2608</v>
      </c>
      <c r="H923" s="7" t="s">
        <v>2609</v>
      </c>
      <c r="I923" s="9">
        <v>45348</v>
      </c>
    </row>
    <row r="924" spans="1:9" x14ac:dyDescent="0.15">
      <c r="A924" s="6">
        <v>923</v>
      </c>
      <c r="B924" s="7" t="s">
        <v>10</v>
      </c>
      <c r="C924" s="8">
        <v>1888</v>
      </c>
      <c r="D924" s="9">
        <v>45432</v>
      </c>
      <c r="E924" s="13" t="str">
        <f>+HYPERLINK("http://trademark.i-assist.jp/data/china/image_1888th/76949247.pdf","76949247")</f>
        <v>76949247</v>
      </c>
      <c r="F924" s="7" t="s">
        <v>2610</v>
      </c>
      <c r="G924" s="7" t="s">
        <v>2611</v>
      </c>
      <c r="H924" s="7" t="s">
        <v>2612</v>
      </c>
      <c r="I924" s="9">
        <v>45348</v>
      </c>
    </row>
    <row r="925" spans="1:9" x14ac:dyDescent="0.15">
      <c r="A925" s="6">
        <v>924</v>
      </c>
      <c r="B925" s="7" t="s">
        <v>10</v>
      </c>
      <c r="C925" s="8">
        <v>1888</v>
      </c>
      <c r="D925" s="9">
        <v>45432</v>
      </c>
      <c r="E925" s="13" t="str">
        <f>+HYPERLINK("http://trademark.i-assist.jp/data/china/image_1888th/76949266.pdf","76949266")</f>
        <v>76949266</v>
      </c>
      <c r="F925" s="7" t="s">
        <v>2613</v>
      </c>
      <c r="G925" s="7" t="s">
        <v>2614</v>
      </c>
      <c r="H925" s="7" t="s">
        <v>2615</v>
      </c>
      <c r="I925" s="9">
        <v>45348</v>
      </c>
    </row>
    <row r="926" spans="1:9" ht="27" x14ac:dyDescent="0.15">
      <c r="A926" s="6">
        <v>925</v>
      </c>
      <c r="B926" s="7" t="s">
        <v>10</v>
      </c>
      <c r="C926" s="8">
        <v>1888</v>
      </c>
      <c r="D926" s="9">
        <v>45432</v>
      </c>
      <c r="E926" s="13" t="str">
        <f>+HYPERLINK("http://trademark.i-assist.jp/data/china/image_1888th/76949298.pdf","76949298")</f>
        <v>76949298</v>
      </c>
      <c r="F926" s="7" t="s">
        <v>76</v>
      </c>
      <c r="G926" s="7" t="s">
        <v>2616</v>
      </c>
      <c r="H926" s="7" t="s">
        <v>2617</v>
      </c>
      <c r="I926" s="9">
        <v>45348</v>
      </c>
    </row>
    <row r="927" spans="1:9" ht="27" x14ac:dyDescent="0.15">
      <c r="A927" s="6">
        <v>926</v>
      </c>
      <c r="B927" s="7" t="s">
        <v>10</v>
      </c>
      <c r="C927" s="8">
        <v>1888</v>
      </c>
      <c r="D927" s="9">
        <v>45432</v>
      </c>
      <c r="E927" s="13" t="str">
        <f>+HYPERLINK("http://trademark.i-assist.jp/data/china/image_1888th/76950225.pdf","76950225")</f>
        <v>76950225</v>
      </c>
      <c r="F927" s="7" t="s">
        <v>2618</v>
      </c>
      <c r="G927" s="7" t="s">
        <v>2619</v>
      </c>
      <c r="H927" s="7" t="s">
        <v>2620</v>
      </c>
      <c r="I927" s="9">
        <v>45348</v>
      </c>
    </row>
    <row r="928" spans="1:9" x14ac:dyDescent="0.15">
      <c r="A928" s="6">
        <v>927</v>
      </c>
      <c r="B928" s="7" t="s">
        <v>10</v>
      </c>
      <c r="C928" s="8">
        <v>1888</v>
      </c>
      <c r="D928" s="9">
        <v>45432</v>
      </c>
      <c r="E928" s="13" t="str">
        <f>+HYPERLINK("http://trademark.i-assist.jp/data/china/image_1888th/76951108.pdf","76951108")</f>
        <v>76951108</v>
      </c>
      <c r="F928" s="7" t="s">
        <v>2621</v>
      </c>
      <c r="G928" s="7" t="s">
        <v>2622</v>
      </c>
      <c r="H928" s="7" t="s">
        <v>2623</v>
      </c>
      <c r="I928" s="9">
        <v>45348</v>
      </c>
    </row>
    <row r="929" spans="1:9" x14ac:dyDescent="0.15">
      <c r="A929" s="6">
        <v>928</v>
      </c>
      <c r="B929" s="7" t="s">
        <v>10</v>
      </c>
      <c r="C929" s="8">
        <v>1888</v>
      </c>
      <c r="D929" s="9">
        <v>45432</v>
      </c>
      <c r="E929" s="13" t="str">
        <f>+HYPERLINK("http://trademark.i-assist.jp/data/china/image_1888th/76951783.pdf","76951783")</f>
        <v>76951783</v>
      </c>
      <c r="F929" s="7" t="s">
        <v>2624</v>
      </c>
      <c r="G929" s="7" t="s">
        <v>2625</v>
      </c>
      <c r="H929" s="7" t="s">
        <v>2626</v>
      </c>
      <c r="I929" s="9">
        <v>45348</v>
      </c>
    </row>
    <row r="930" spans="1:9" x14ac:dyDescent="0.15">
      <c r="A930" s="6">
        <v>929</v>
      </c>
      <c r="B930" s="7" t="s">
        <v>10</v>
      </c>
      <c r="C930" s="8">
        <v>1888</v>
      </c>
      <c r="D930" s="9">
        <v>45432</v>
      </c>
      <c r="E930" s="13" t="str">
        <f>+HYPERLINK("http://trademark.i-assist.jp/data/china/image_1888th/76952264.pdf","76952264")</f>
        <v>76952264</v>
      </c>
      <c r="F930" s="7" t="s">
        <v>2627</v>
      </c>
      <c r="G930" s="7" t="s">
        <v>2628</v>
      </c>
      <c r="H930" s="7" t="s">
        <v>2629</v>
      </c>
      <c r="I930" s="9">
        <v>45348</v>
      </c>
    </row>
    <row r="931" spans="1:9" x14ac:dyDescent="0.15">
      <c r="A931" s="6">
        <v>930</v>
      </c>
      <c r="B931" s="7" t="s">
        <v>10</v>
      </c>
      <c r="C931" s="8">
        <v>1888</v>
      </c>
      <c r="D931" s="9">
        <v>45432</v>
      </c>
      <c r="E931" s="13" t="str">
        <f>+HYPERLINK("http://trademark.i-assist.jp/data/china/image_1888th/76952432.pdf","76952432")</f>
        <v>76952432</v>
      </c>
      <c r="F931" s="7" t="s">
        <v>2630</v>
      </c>
      <c r="G931" s="7" t="s">
        <v>2631</v>
      </c>
      <c r="H931" s="7" t="s">
        <v>2632</v>
      </c>
      <c r="I931" s="9">
        <v>45348</v>
      </c>
    </row>
    <row r="932" spans="1:9" x14ac:dyDescent="0.15">
      <c r="A932" s="6">
        <v>931</v>
      </c>
      <c r="B932" s="7" t="s">
        <v>10</v>
      </c>
      <c r="C932" s="8">
        <v>1888</v>
      </c>
      <c r="D932" s="9">
        <v>45432</v>
      </c>
      <c r="E932" s="13" t="str">
        <f>+HYPERLINK("http://trademark.i-assist.jp/data/china/image_1888th/76954604.pdf","76954604")</f>
        <v>76954604</v>
      </c>
      <c r="F932" s="7" t="s">
        <v>2633</v>
      </c>
      <c r="G932" s="7" t="s">
        <v>2634</v>
      </c>
      <c r="H932" s="7" t="s">
        <v>2635</v>
      </c>
      <c r="I932" s="9">
        <v>45348</v>
      </c>
    </row>
    <row r="933" spans="1:9" x14ac:dyDescent="0.15">
      <c r="A933" s="6">
        <v>932</v>
      </c>
      <c r="B933" s="7" t="s">
        <v>10</v>
      </c>
      <c r="C933" s="8">
        <v>1888</v>
      </c>
      <c r="D933" s="9">
        <v>45432</v>
      </c>
      <c r="E933" s="13" t="str">
        <f>+HYPERLINK("http://trademark.i-assist.jp/data/china/image_1888th/76954661.pdf","76954661")</f>
        <v>76954661</v>
      </c>
      <c r="F933" s="7" t="s">
        <v>2636</v>
      </c>
      <c r="G933" s="7" t="s">
        <v>2637</v>
      </c>
      <c r="H933" s="7" t="s">
        <v>2638</v>
      </c>
      <c r="I933" s="9">
        <v>45348</v>
      </c>
    </row>
    <row r="934" spans="1:9" ht="27" x14ac:dyDescent="0.15">
      <c r="A934" s="6">
        <v>933</v>
      </c>
      <c r="B934" s="7" t="s">
        <v>10</v>
      </c>
      <c r="C934" s="8">
        <v>1888</v>
      </c>
      <c r="D934" s="9">
        <v>45432</v>
      </c>
      <c r="E934" s="13" t="str">
        <f>+HYPERLINK("http://trademark.i-assist.jp/data/china/image_1888th/76954691.pdf","76954691")</f>
        <v>76954691</v>
      </c>
      <c r="F934" s="7" t="s">
        <v>2639</v>
      </c>
      <c r="G934" s="7" t="s">
        <v>2640</v>
      </c>
      <c r="H934" s="7" t="s">
        <v>2641</v>
      </c>
      <c r="I934" s="9">
        <v>45348</v>
      </c>
    </row>
    <row r="935" spans="1:9" x14ac:dyDescent="0.15">
      <c r="A935" s="6">
        <v>934</v>
      </c>
      <c r="B935" s="7" t="s">
        <v>10</v>
      </c>
      <c r="C935" s="8">
        <v>1888</v>
      </c>
      <c r="D935" s="9">
        <v>45432</v>
      </c>
      <c r="E935" s="13" t="str">
        <f>+HYPERLINK("http://trademark.i-assist.jp/data/china/image_1888th/76955183.pdf","76955183")</f>
        <v>76955183</v>
      </c>
      <c r="F935" s="7" t="s">
        <v>2642</v>
      </c>
      <c r="G935" s="7" t="s">
        <v>2643</v>
      </c>
      <c r="H935" s="7" t="s">
        <v>2644</v>
      </c>
      <c r="I935" s="9">
        <v>45348</v>
      </c>
    </row>
    <row r="936" spans="1:9" x14ac:dyDescent="0.15">
      <c r="A936" s="6">
        <v>935</v>
      </c>
      <c r="B936" s="7" t="s">
        <v>10</v>
      </c>
      <c r="C936" s="8">
        <v>1888</v>
      </c>
      <c r="D936" s="9">
        <v>45432</v>
      </c>
      <c r="E936" s="13" t="str">
        <f>+HYPERLINK("http://trademark.i-assist.jp/data/china/image_1888th/76955263.pdf","76955263")</f>
        <v>76955263</v>
      </c>
      <c r="F936" s="7" t="s">
        <v>2645</v>
      </c>
      <c r="G936" s="7" t="s">
        <v>2646</v>
      </c>
      <c r="H936" s="7" t="s">
        <v>2647</v>
      </c>
      <c r="I936" s="9">
        <v>45348</v>
      </c>
    </row>
    <row r="937" spans="1:9" ht="27" x14ac:dyDescent="0.15">
      <c r="A937" s="6">
        <v>936</v>
      </c>
      <c r="B937" s="7" t="s">
        <v>10</v>
      </c>
      <c r="C937" s="8">
        <v>1888</v>
      </c>
      <c r="D937" s="9">
        <v>45432</v>
      </c>
      <c r="E937" s="13" t="str">
        <f>+HYPERLINK("http://trademark.i-assist.jp/data/china/image_1888th/76955378.pdf","76955378")</f>
        <v>76955378</v>
      </c>
      <c r="F937" s="7" t="s">
        <v>2648</v>
      </c>
      <c r="G937" s="7" t="s">
        <v>2649</v>
      </c>
      <c r="H937" s="7" t="s">
        <v>2650</v>
      </c>
      <c r="I937" s="9">
        <v>45348</v>
      </c>
    </row>
    <row r="938" spans="1:9" x14ac:dyDescent="0.15">
      <c r="A938" s="6">
        <v>937</v>
      </c>
      <c r="B938" s="7" t="s">
        <v>10</v>
      </c>
      <c r="C938" s="8">
        <v>1888</v>
      </c>
      <c r="D938" s="9">
        <v>45432</v>
      </c>
      <c r="E938" s="13" t="str">
        <f>+HYPERLINK("http://trademark.i-assist.jp/data/china/image_1888th/76955969.pdf","76955969")</f>
        <v>76955969</v>
      </c>
      <c r="F938" s="7" t="s">
        <v>2651</v>
      </c>
      <c r="G938" s="7" t="s">
        <v>2652</v>
      </c>
      <c r="H938" s="7" t="s">
        <v>2653</v>
      </c>
      <c r="I938" s="9">
        <v>45348</v>
      </c>
    </row>
    <row r="939" spans="1:9" x14ac:dyDescent="0.15">
      <c r="A939" s="6">
        <v>938</v>
      </c>
      <c r="B939" s="7" t="s">
        <v>10</v>
      </c>
      <c r="C939" s="8">
        <v>1888</v>
      </c>
      <c r="D939" s="9">
        <v>45432</v>
      </c>
      <c r="E939" s="13" t="str">
        <f>+HYPERLINK("http://trademark.i-assist.jp/data/china/image_1888th/76956503.pdf","76956503")</f>
        <v>76956503</v>
      </c>
      <c r="F939" s="7" t="s">
        <v>2654</v>
      </c>
      <c r="G939" s="7" t="s">
        <v>2655</v>
      </c>
      <c r="H939" s="7" t="s">
        <v>2656</v>
      </c>
      <c r="I939" s="9">
        <v>45348</v>
      </c>
    </row>
    <row r="940" spans="1:9" x14ac:dyDescent="0.15">
      <c r="A940" s="6">
        <v>939</v>
      </c>
      <c r="B940" s="7" t="s">
        <v>10</v>
      </c>
      <c r="C940" s="8">
        <v>1888</v>
      </c>
      <c r="D940" s="9">
        <v>45432</v>
      </c>
      <c r="E940" s="13" t="str">
        <f>+HYPERLINK("http://trademark.i-assist.jp/data/china/image_1888th/76956840.pdf","76956840")</f>
        <v>76956840</v>
      </c>
      <c r="F940" s="7" t="s">
        <v>2657</v>
      </c>
      <c r="G940" s="7" t="s">
        <v>2611</v>
      </c>
      <c r="H940" s="7" t="s">
        <v>2658</v>
      </c>
      <c r="I940" s="9">
        <v>45348</v>
      </c>
    </row>
    <row r="941" spans="1:9" ht="27" x14ac:dyDescent="0.15">
      <c r="A941" s="6">
        <v>940</v>
      </c>
      <c r="B941" s="7" t="s">
        <v>10</v>
      </c>
      <c r="C941" s="8">
        <v>1888</v>
      </c>
      <c r="D941" s="9">
        <v>45432</v>
      </c>
      <c r="E941" s="13" t="str">
        <f>+HYPERLINK("http://trademark.i-assist.jp/data/china/image_1888th/76956975.pdf","76956975")</f>
        <v>76956975</v>
      </c>
      <c r="F941" s="7" t="s">
        <v>2659</v>
      </c>
      <c r="G941" s="7" t="s">
        <v>2649</v>
      </c>
      <c r="H941" s="7" t="s">
        <v>2660</v>
      </c>
      <c r="I941" s="9">
        <v>45348</v>
      </c>
    </row>
    <row r="942" spans="1:9" x14ac:dyDescent="0.15">
      <c r="A942" s="6">
        <v>941</v>
      </c>
      <c r="B942" s="7" t="s">
        <v>10</v>
      </c>
      <c r="C942" s="8">
        <v>1888</v>
      </c>
      <c r="D942" s="9">
        <v>45432</v>
      </c>
      <c r="E942" s="13" t="str">
        <f>+HYPERLINK("http://trademark.i-assist.jp/data/china/image_1888th/76957137.pdf","76957137")</f>
        <v>76957137</v>
      </c>
      <c r="F942" s="7" t="s">
        <v>2661</v>
      </c>
      <c r="G942" s="7" t="s">
        <v>2662</v>
      </c>
      <c r="H942" s="7" t="s">
        <v>2663</v>
      </c>
      <c r="I942" s="9">
        <v>45348</v>
      </c>
    </row>
    <row r="943" spans="1:9" ht="27" x14ac:dyDescent="0.15">
      <c r="A943" s="6">
        <v>942</v>
      </c>
      <c r="B943" s="7" t="s">
        <v>10</v>
      </c>
      <c r="C943" s="8">
        <v>1888</v>
      </c>
      <c r="D943" s="9">
        <v>45432</v>
      </c>
      <c r="E943" s="13" t="str">
        <f>+HYPERLINK("http://trademark.i-assist.jp/data/china/image_1888th/76957586.pdf","76957586")</f>
        <v>76957586</v>
      </c>
      <c r="F943" s="7" t="s">
        <v>2664</v>
      </c>
      <c r="G943" s="7" t="s">
        <v>2665</v>
      </c>
      <c r="H943" s="7" t="s">
        <v>2666</v>
      </c>
      <c r="I943" s="9">
        <v>45348</v>
      </c>
    </row>
    <row r="944" spans="1:9" x14ac:dyDescent="0.15">
      <c r="A944" s="6">
        <v>943</v>
      </c>
      <c r="B944" s="7" t="s">
        <v>10</v>
      </c>
      <c r="C944" s="8">
        <v>1888</v>
      </c>
      <c r="D944" s="9">
        <v>45432</v>
      </c>
      <c r="E944" s="13" t="str">
        <f>+HYPERLINK("http://trademark.i-assist.jp/data/china/image_1888th/76957703.pdf","76957703")</f>
        <v>76957703</v>
      </c>
      <c r="F944" s="7" t="s">
        <v>2667</v>
      </c>
      <c r="G944" s="7" t="s">
        <v>2668</v>
      </c>
      <c r="H944" s="7" t="s">
        <v>2669</v>
      </c>
      <c r="I944" s="9">
        <v>45348</v>
      </c>
    </row>
    <row r="945" spans="1:9" x14ac:dyDescent="0.15">
      <c r="A945" s="6">
        <v>944</v>
      </c>
      <c r="B945" s="7" t="s">
        <v>10</v>
      </c>
      <c r="C945" s="8">
        <v>1888</v>
      </c>
      <c r="D945" s="9">
        <v>45432</v>
      </c>
      <c r="E945" s="13" t="str">
        <f>+HYPERLINK("http://trademark.i-assist.jp/data/china/image_1888th/76957921.pdf","76957921")</f>
        <v>76957921</v>
      </c>
      <c r="F945" s="7" t="s">
        <v>2670</v>
      </c>
      <c r="G945" s="7" t="s">
        <v>2671</v>
      </c>
      <c r="H945" s="7" t="s">
        <v>2672</v>
      </c>
      <c r="I945" s="9">
        <v>45348</v>
      </c>
    </row>
    <row r="946" spans="1:9" x14ac:dyDescent="0.15">
      <c r="A946" s="6">
        <v>945</v>
      </c>
      <c r="B946" s="7" t="s">
        <v>10</v>
      </c>
      <c r="C946" s="8">
        <v>1888</v>
      </c>
      <c r="D946" s="9">
        <v>45432</v>
      </c>
      <c r="E946" s="13" t="str">
        <f>+HYPERLINK("http://trademark.i-assist.jp/data/china/image_1888th/76958264.pdf","76958264")</f>
        <v>76958264</v>
      </c>
      <c r="F946" s="7" t="s">
        <v>2673</v>
      </c>
      <c r="G946" s="7" t="s">
        <v>2674</v>
      </c>
      <c r="H946" s="7" t="s">
        <v>2675</v>
      </c>
      <c r="I946" s="9">
        <v>45348</v>
      </c>
    </row>
    <row r="947" spans="1:9" x14ac:dyDescent="0.15">
      <c r="A947" s="6">
        <v>946</v>
      </c>
      <c r="B947" s="7" t="s">
        <v>10</v>
      </c>
      <c r="C947" s="8">
        <v>1888</v>
      </c>
      <c r="D947" s="9">
        <v>45432</v>
      </c>
      <c r="E947" s="13" t="str">
        <f>+HYPERLINK("http://trademark.i-assist.jp/data/china/image_1888th/76958323.pdf","76958323")</f>
        <v>76958323</v>
      </c>
      <c r="F947" s="7" t="s">
        <v>2676</v>
      </c>
      <c r="G947" s="7" t="s">
        <v>2677</v>
      </c>
      <c r="H947" s="7" t="s">
        <v>2678</v>
      </c>
      <c r="I947" s="9">
        <v>45348</v>
      </c>
    </row>
    <row r="948" spans="1:9" ht="27" x14ac:dyDescent="0.15">
      <c r="A948" s="6">
        <v>947</v>
      </c>
      <c r="B948" s="7" t="s">
        <v>10</v>
      </c>
      <c r="C948" s="8">
        <v>1888</v>
      </c>
      <c r="D948" s="9">
        <v>45432</v>
      </c>
      <c r="E948" s="13" t="str">
        <f>+HYPERLINK("http://trademark.i-assist.jp/data/china/image_1888th/76958381.pdf","76958381")</f>
        <v>76958381</v>
      </c>
      <c r="F948" s="7" t="s">
        <v>2679</v>
      </c>
      <c r="G948" s="7" t="s">
        <v>2680</v>
      </c>
      <c r="H948" s="7" t="s">
        <v>2681</v>
      </c>
      <c r="I948" s="9">
        <v>45348</v>
      </c>
    </row>
    <row r="949" spans="1:9" x14ac:dyDescent="0.15">
      <c r="A949" s="6">
        <v>948</v>
      </c>
      <c r="B949" s="7" t="s">
        <v>10</v>
      </c>
      <c r="C949" s="8">
        <v>1888</v>
      </c>
      <c r="D949" s="9">
        <v>45432</v>
      </c>
      <c r="E949" s="13" t="str">
        <f>+HYPERLINK("http://trademark.i-assist.jp/data/china/image_1888th/76958788.pdf","76958788")</f>
        <v>76958788</v>
      </c>
      <c r="F949" s="7" t="s">
        <v>2682</v>
      </c>
      <c r="G949" s="7" t="s">
        <v>2683</v>
      </c>
      <c r="H949" s="7" t="s">
        <v>2684</v>
      </c>
      <c r="I949" s="9">
        <v>45348</v>
      </c>
    </row>
    <row r="950" spans="1:9" ht="27" x14ac:dyDescent="0.15">
      <c r="A950" s="6">
        <v>949</v>
      </c>
      <c r="B950" s="7" t="s">
        <v>10</v>
      </c>
      <c r="C950" s="8">
        <v>1888</v>
      </c>
      <c r="D950" s="9">
        <v>45432</v>
      </c>
      <c r="E950" s="13" t="str">
        <f>+HYPERLINK("http://trademark.i-assist.jp/data/china/image_1888th/76959281.pdf","76959281")</f>
        <v>76959281</v>
      </c>
      <c r="F950" s="7" t="s">
        <v>2685</v>
      </c>
      <c r="G950" s="7" t="s">
        <v>2686</v>
      </c>
      <c r="H950" s="7" t="s">
        <v>2687</v>
      </c>
      <c r="I950" s="9">
        <v>45348</v>
      </c>
    </row>
    <row r="951" spans="1:9" x14ac:dyDescent="0.15">
      <c r="A951" s="6">
        <v>950</v>
      </c>
      <c r="B951" s="7" t="s">
        <v>10</v>
      </c>
      <c r="C951" s="8">
        <v>1888</v>
      </c>
      <c r="D951" s="9">
        <v>45432</v>
      </c>
      <c r="E951" s="13" t="str">
        <f>+HYPERLINK("http://trademark.i-assist.jp/data/china/image_1888th/76959756.pdf","76959756")</f>
        <v>76959756</v>
      </c>
      <c r="F951" s="7" t="s">
        <v>76</v>
      </c>
      <c r="G951" s="7" t="s">
        <v>2688</v>
      </c>
      <c r="H951" s="7" t="s">
        <v>2689</v>
      </c>
      <c r="I951" s="9">
        <v>45348</v>
      </c>
    </row>
    <row r="952" spans="1:9" x14ac:dyDescent="0.15">
      <c r="A952" s="6">
        <v>951</v>
      </c>
      <c r="B952" s="7" t="s">
        <v>10</v>
      </c>
      <c r="C952" s="8">
        <v>1888</v>
      </c>
      <c r="D952" s="9">
        <v>45432</v>
      </c>
      <c r="E952" s="13" t="str">
        <f>+HYPERLINK("http://trademark.i-assist.jp/data/china/image_1888th/76959927.pdf","76959927")</f>
        <v>76959927</v>
      </c>
      <c r="F952" s="7" t="s">
        <v>2690</v>
      </c>
      <c r="G952" s="7" t="s">
        <v>2691</v>
      </c>
      <c r="H952" s="7" t="s">
        <v>2692</v>
      </c>
      <c r="I952" s="9">
        <v>45348</v>
      </c>
    </row>
    <row r="953" spans="1:9" x14ac:dyDescent="0.15">
      <c r="A953" s="6">
        <v>952</v>
      </c>
      <c r="B953" s="7" t="s">
        <v>10</v>
      </c>
      <c r="C953" s="8">
        <v>1888</v>
      </c>
      <c r="D953" s="9">
        <v>45432</v>
      </c>
      <c r="E953" s="13" t="str">
        <f>+HYPERLINK("http://trademark.i-assist.jp/data/china/image_1888th/76959966.pdf","76959966")</f>
        <v>76959966</v>
      </c>
      <c r="F953" s="7" t="s">
        <v>2693</v>
      </c>
      <c r="G953" s="7" t="s">
        <v>2694</v>
      </c>
      <c r="H953" s="7" t="s">
        <v>2695</v>
      </c>
      <c r="I953" s="9">
        <v>45348</v>
      </c>
    </row>
    <row r="954" spans="1:9" x14ac:dyDescent="0.15">
      <c r="A954" s="6">
        <v>953</v>
      </c>
      <c r="B954" s="7" t="s">
        <v>10</v>
      </c>
      <c r="C954" s="8">
        <v>1888</v>
      </c>
      <c r="D954" s="9">
        <v>45432</v>
      </c>
      <c r="E954" s="13" t="str">
        <f>+HYPERLINK("http://trademark.i-assist.jp/data/china/image_1888th/76959999.pdf","76959999")</f>
        <v>76959999</v>
      </c>
      <c r="F954" s="7" t="s">
        <v>2696</v>
      </c>
      <c r="G954" s="7" t="s">
        <v>2697</v>
      </c>
      <c r="H954" s="7" t="s">
        <v>2698</v>
      </c>
      <c r="I954" s="9">
        <v>45348</v>
      </c>
    </row>
    <row r="955" spans="1:9" x14ac:dyDescent="0.15">
      <c r="A955" s="6">
        <v>954</v>
      </c>
      <c r="B955" s="7" t="s">
        <v>10</v>
      </c>
      <c r="C955" s="8">
        <v>1888</v>
      </c>
      <c r="D955" s="9">
        <v>45432</v>
      </c>
      <c r="E955" s="13" t="str">
        <f>+HYPERLINK("http://trademark.i-assist.jp/data/china/image_1888th/76960032.pdf","76960032")</f>
        <v>76960032</v>
      </c>
      <c r="F955" s="7" t="s">
        <v>2699</v>
      </c>
      <c r="G955" s="7" t="s">
        <v>2591</v>
      </c>
      <c r="H955" s="7" t="s">
        <v>2700</v>
      </c>
      <c r="I955" s="9">
        <v>45348</v>
      </c>
    </row>
    <row r="956" spans="1:9" x14ac:dyDescent="0.15">
      <c r="A956" s="6">
        <v>955</v>
      </c>
      <c r="B956" s="7" t="s">
        <v>10</v>
      </c>
      <c r="C956" s="8">
        <v>1888</v>
      </c>
      <c r="D956" s="9">
        <v>45432</v>
      </c>
      <c r="E956" s="13" t="str">
        <f>+HYPERLINK("http://trademark.i-assist.jp/data/china/image_1888th/76960042.pdf","76960042")</f>
        <v>76960042</v>
      </c>
      <c r="F956" s="7" t="s">
        <v>2701</v>
      </c>
      <c r="G956" s="7" t="s">
        <v>2702</v>
      </c>
      <c r="H956" s="7" t="s">
        <v>2703</v>
      </c>
      <c r="I956" s="9">
        <v>45348</v>
      </c>
    </row>
    <row r="957" spans="1:9" x14ac:dyDescent="0.15">
      <c r="A957" s="6">
        <v>956</v>
      </c>
      <c r="B957" s="7" t="s">
        <v>10</v>
      </c>
      <c r="C957" s="8">
        <v>1888</v>
      </c>
      <c r="D957" s="9">
        <v>45432</v>
      </c>
      <c r="E957" s="13" t="str">
        <f>+HYPERLINK("http://trademark.i-assist.jp/data/china/image_1888th/76960170.pdf","76960170")</f>
        <v>76960170</v>
      </c>
      <c r="F957" s="7" t="s">
        <v>2704</v>
      </c>
      <c r="G957" s="7" t="s">
        <v>2705</v>
      </c>
      <c r="H957" s="7" t="s">
        <v>2706</v>
      </c>
      <c r="I957" s="9">
        <v>45348</v>
      </c>
    </row>
    <row r="958" spans="1:9" x14ac:dyDescent="0.15">
      <c r="A958" s="6">
        <v>957</v>
      </c>
      <c r="B958" s="7" t="s">
        <v>10</v>
      </c>
      <c r="C958" s="8">
        <v>1888</v>
      </c>
      <c r="D958" s="9">
        <v>45432</v>
      </c>
      <c r="E958" s="13" t="str">
        <f>+HYPERLINK("http://trademark.i-assist.jp/data/china/image_1888th/76960444.pdf","76960444")</f>
        <v>76960444</v>
      </c>
      <c r="F958" s="7" t="s">
        <v>2707</v>
      </c>
      <c r="G958" s="7" t="s">
        <v>2708</v>
      </c>
      <c r="H958" s="7" t="s">
        <v>2709</v>
      </c>
      <c r="I958" s="9">
        <v>45348</v>
      </c>
    </row>
    <row r="959" spans="1:9" x14ac:dyDescent="0.15">
      <c r="A959" s="6">
        <v>958</v>
      </c>
      <c r="B959" s="7" t="s">
        <v>10</v>
      </c>
      <c r="C959" s="8">
        <v>1888</v>
      </c>
      <c r="D959" s="9">
        <v>45432</v>
      </c>
      <c r="E959" s="13" t="str">
        <f>+HYPERLINK("http://trademark.i-assist.jp/data/china/image_1888th/76960494.pdf","76960494")</f>
        <v>76960494</v>
      </c>
      <c r="F959" s="7" t="s">
        <v>2710</v>
      </c>
      <c r="G959" s="7" t="s">
        <v>2711</v>
      </c>
      <c r="H959" s="7" t="s">
        <v>2712</v>
      </c>
      <c r="I959" s="9">
        <v>45348</v>
      </c>
    </row>
    <row r="960" spans="1:9" ht="27" x14ac:dyDescent="0.15">
      <c r="A960" s="6">
        <v>959</v>
      </c>
      <c r="B960" s="7" t="s">
        <v>10</v>
      </c>
      <c r="C960" s="8">
        <v>1888</v>
      </c>
      <c r="D960" s="9">
        <v>45432</v>
      </c>
      <c r="E960" s="13" t="str">
        <f>+HYPERLINK("http://trademark.i-assist.jp/data/china/image_1888th/76960942.pdf","76960942")</f>
        <v>76960942</v>
      </c>
      <c r="F960" s="7" t="s">
        <v>2713</v>
      </c>
      <c r="G960" s="7" t="s">
        <v>2680</v>
      </c>
      <c r="H960" s="7" t="s">
        <v>2714</v>
      </c>
      <c r="I960" s="9">
        <v>45348</v>
      </c>
    </row>
    <row r="961" spans="1:9" x14ac:dyDescent="0.15">
      <c r="A961" s="6">
        <v>960</v>
      </c>
      <c r="B961" s="7" t="s">
        <v>10</v>
      </c>
      <c r="C961" s="8">
        <v>1888</v>
      </c>
      <c r="D961" s="9">
        <v>45432</v>
      </c>
      <c r="E961" s="13" t="str">
        <f>+HYPERLINK("http://trademark.i-assist.jp/data/china/image_1888th/76961149.pdf","76961149")</f>
        <v>76961149</v>
      </c>
      <c r="F961" s="7" t="s">
        <v>2715</v>
      </c>
      <c r="G961" s="7" t="s">
        <v>2716</v>
      </c>
      <c r="H961" s="7" t="s">
        <v>2717</v>
      </c>
      <c r="I961" s="9">
        <v>45348</v>
      </c>
    </row>
    <row r="962" spans="1:9" x14ac:dyDescent="0.15">
      <c r="A962" s="6">
        <v>961</v>
      </c>
      <c r="B962" s="7" t="s">
        <v>10</v>
      </c>
      <c r="C962" s="8">
        <v>1888</v>
      </c>
      <c r="D962" s="9">
        <v>45432</v>
      </c>
      <c r="E962" s="13" t="str">
        <f>+HYPERLINK("http://trademark.i-assist.jp/data/china/image_1888th/76961212.pdf","76961212")</f>
        <v>76961212</v>
      </c>
      <c r="F962" s="7" t="s">
        <v>2718</v>
      </c>
      <c r="G962" s="7" t="s">
        <v>1715</v>
      </c>
      <c r="H962" s="7" t="s">
        <v>2719</v>
      </c>
      <c r="I962" s="9">
        <v>45348</v>
      </c>
    </row>
    <row r="963" spans="1:9" x14ac:dyDescent="0.15">
      <c r="A963" s="6">
        <v>962</v>
      </c>
      <c r="B963" s="7" t="s">
        <v>10</v>
      </c>
      <c r="C963" s="8">
        <v>1888</v>
      </c>
      <c r="D963" s="9">
        <v>45432</v>
      </c>
      <c r="E963" s="13" t="str">
        <f>+HYPERLINK("http://trademark.i-assist.jp/data/china/image_1888th/76961454.pdf","76961454")</f>
        <v>76961454</v>
      </c>
      <c r="F963" s="7" t="s">
        <v>2720</v>
      </c>
      <c r="G963" s="7" t="s">
        <v>2608</v>
      </c>
      <c r="H963" s="7" t="s">
        <v>2721</v>
      </c>
      <c r="I963" s="9">
        <v>45348</v>
      </c>
    </row>
    <row r="964" spans="1:9" x14ac:dyDescent="0.15">
      <c r="A964" s="6">
        <v>963</v>
      </c>
      <c r="B964" s="7" t="s">
        <v>10</v>
      </c>
      <c r="C964" s="8">
        <v>1888</v>
      </c>
      <c r="D964" s="9">
        <v>45432</v>
      </c>
      <c r="E964" s="13" t="str">
        <f>+HYPERLINK("http://trademark.i-assist.jp/data/china/image_1888th/76961913.pdf","76961913")</f>
        <v>76961913</v>
      </c>
      <c r="F964" s="7" t="s">
        <v>2722</v>
      </c>
      <c r="G964" s="7" t="s">
        <v>2723</v>
      </c>
      <c r="H964" s="7" t="s">
        <v>2724</v>
      </c>
      <c r="I964" s="9">
        <v>45348</v>
      </c>
    </row>
    <row r="965" spans="1:9" x14ac:dyDescent="0.15">
      <c r="A965" s="6">
        <v>964</v>
      </c>
      <c r="B965" s="7" t="s">
        <v>10</v>
      </c>
      <c r="C965" s="8">
        <v>1888</v>
      </c>
      <c r="D965" s="9">
        <v>45432</v>
      </c>
      <c r="E965" s="13" t="str">
        <f>+HYPERLINK("http://trademark.i-assist.jp/data/china/image_1888th/76961976.pdf","76961976")</f>
        <v>76961976</v>
      </c>
      <c r="F965" s="7" t="s">
        <v>2725</v>
      </c>
      <c r="G965" s="7" t="s">
        <v>2726</v>
      </c>
      <c r="H965" s="7" t="s">
        <v>2727</v>
      </c>
      <c r="I965" s="9">
        <v>45348</v>
      </c>
    </row>
    <row r="966" spans="1:9" x14ac:dyDescent="0.15">
      <c r="A966" s="6">
        <v>965</v>
      </c>
      <c r="B966" s="7" t="s">
        <v>10</v>
      </c>
      <c r="C966" s="8">
        <v>1888</v>
      </c>
      <c r="D966" s="9">
        <v>45432</v>
      </c>
      <c r="E966" s="13" t="str">
        <f>+HYPERLINK("http://trademark.i-assist.jp/data/china/image_1888th/76962088.pdf","76962088")</f>
        <v>76962088</v>
      </c>
      <c r="F966" s="7" t="s">
        <v>2728</v>
      </c>
      <c r="G966" s="7" t="s">
        <v>2729</v>
      </c>
      <c r="H966" s="7" t="s">
        <v>2730</v>
      </c>
      <c r="I966" s="9">
        <v>45348</v>
      </c>
    </row>
    <row r="967" spans="1:9" x14ac:dyDescent="0.15">
      <c r="A967" s="6">
        <v>966</v>
      </c>
      <c r="B967" s="7" t="s">
        <v>10</v>
      </c>
      <c r="C967" s="8">
        <v>1888</v>
      </c>
      <c r="D967" s="9">
        <v>45432</v>
      </c>
      <c r="E967" s="13" t="str">
        <f>+HYPERLINK("http://trademark.i-assist.jp/data/china/image_1888th/76962229.pdf","76962229")</f>
        <v>76962229</v>
      </c>
      <c r="F967" s="7" t="s">
        <v>2731</v>
      </c>
      <c r="G967" s="7" t="s">
        <v>2732</v>
      </c>
      <c r="H967" s="7" t="s">
        <v>2733</v>
      </c>
      <c r="I967" s="9">
        <v>45348</v>
      </c>
    </row>
    <row r="968" spans="1:9" x14ac:dyDescent="0.15">
      <c r="A968" s="6">
        <v>967</v>
      </c>
      <c r="B968" s="7" t="s">
        <v>10</v>
      </c>
      <c r="C968" s="8">
        <v>1888</v>
      </c>
      <c r="D968" s="9">
        <v>45432</v>
      </c>
      <c r="E968" s="13" t="str">
        <f>+HYPERLINK("http://trademark.i-assist.jp/data/china/image_1888th/76962241.pdf","76962241")</f>
        <v>76962241</v>
      </c>
      <c r="F968" s="7" t="s">
        <v>2734</v>
      </c>
      <c r="G968" s="7" t="s">
        <v>2732</v>
      </c>
      <c r="H968" s="7" t="s">
        <v>2735</v>
      </c>
      <c r="I968" s="9">
        <v>45348</v>
      </c>
    </row>
    <row r="969" spans="1:9" x14ac:dyDescent="0.15">
      <c r="A969" s="6">
        <v>968</v>
      </c>
      <c r="B969" s="7" t="s">
        <v>10</v>
      </c>
      <c r="C969" s="8">
        <v>1888</v>
      </c>
      <c r="D969" s="9">
        <v>45432</v>
      </c>
      <c r="E969" s="13" t="str">
        <f>+HYPERLINK("http://trademark.i-assist.jp/data/china/image_1888th/76962562.pdf","76962562")</f>
        <v>76962562</v>
      </c>
      <c r="F969" s="7" t="s">
        <v>76</v>
      </c>
      <c r="G969" s="7" t="s">
        <v>2688</v>
      </c>
      <c r="H969" s="7" t="s">
        <v>2736</v>
      </c>
      <c r="I969" s="9">
        <v>45348</v>
      </c>
    </row>
    <row r="970" spans="1:9" x14ac:dyDescent="0.15">
      <c r="A970" s="6">
        <v>969</v>
      </c>
      <c r="B970" s="7" t="s">
        <v>10</v>
      </c>
      <c r="C970" s="8">
        <v>1888</v>
      </c>
      <c r="D970" s="9">
        <v>45432</v>
      </c>
      <c r="E970" s="13" t="str">
        <f>+HYPERLINK("http://trademark.i-assist.jp/data/china/image_1888th/76962951.pdf","76962951")</f>
        <v>76962951</v>
      </c>
      <c r="F970" s="7" t="s">
        <v>2737</v>
      </c>
      <c r="G970" s="7" t="s">
        <v>2738</v>
      </c>
      <c r="H970" s="7" t="s">
        <v>2739</v>
      </c>
      <c r="I970" s="9">
        <v>45348</v>
      </c>
    </row>
    <row r="971" spans="1:9" ht="27" x14ac:dyDescent="0.15">
      <c r="A971" s="6">
        <v>970</v>
      </c>
      <c r="B971" s="7" t="s">
        <v>10</v>
      </c>
      <c r="C971" s="8">
        <v>1888</v>
      </c>
      <c r="D971" s="9">
        <v>45432</v>
      </c>
      <c r="E971" s="13" t="str">
        <f>+HYPERLINK("http://trademark.i-assist.jp/data/china/image_1888th/76963300.pdf","76963300")</f>
        <v>76963300</v>
      </c>
      <c r="F971" s="7" t="s">
        <v>2740</v>
      </c>
      <c r="G971" s="7" t="s">
        <v>2741</v>
      </c>
      <c r="H971" s="7" t="s">
        <v>2742</v>
      </c>
      <c r="I971" s="9">
        <v>45348</v>
      </c>
    </row>
    <row r="972" spans="1:9" x14ac:dyDescent="0.15">
      <c r="A972" s="6">
        <v>971</v>
      </c>
      <c r="B972" s="7" t="s">
        <v>10</v>
      </c>
      <c r="C972" s="8">
        <v>1888</v>
      </c>
      <c r="D972" s="9">
        <v>45432</v>
      </c>
      <c r="E972" s="13" t="str">
        <f>+HYPERLINK("http://trademark.i-assist.jp/data/china/image_1888th/76963403.pdf","76963403")</f>
        <v>76963403</v>
      </c>
      <c r="F972" s="7" t="s">
        <v>2743</v>
      </c>
      <c r="G972" s="7" t="s">
        <v>2744</v>
      </c>
      <c r="H972" s="7" t="s">
        <v>2745</v>
      </c>
      <c r="I972" s="9">
        <v>45348</v>
      </c>
    </row>
    <row r="973" spans="1:9" x14ac:dyDescent="0.15">
      <c r="A973" s="6">
        <v>972</v>
      </c>
      <c r="B973" s="7" t="s">
        <v>10</v>
      </c>
      <c r="C973" s="8">
        <v>1888</v>
      </c>
      <c r="D973" s="9">
        <v>45432</v>
      </c>
      <c r="E973" s="13" t="str">
        <f>+HYPERLINK("http://trademark.i-assist.jp/data/china/image_1888th/76963415.pdf","76963415")</f>
        <v>76963415</v>
      </c>
      <c r="F973" s="7" t="s">
        <v>2746</v>
      </c>
      <c r="G973" s="7" t="s">
        <v>1194</v>
      </c>
      <c r="H973" s="7" t="s">
        <v>2747</v>
      </c>
      <c r="I973" s="9">
        <v>45348</v>
      </c>
    </row>
    <row r="974" spans="1:9" x14ac:dyDescent="0.15">
      <c r="A974" s="6">
        <v>973</v>
      </c>
      <c r="B974" s="7" t="s">
        <v>10</v>
      </c>
      <c r="C974" s="8">
        <v>1888</v>
      </c>
      <c r="D974" s="9">
        <v>45432</v>
      </c>
      <c r="E974" s="13" t="str">
        <f>+HYPERLINK("http://trademark.i-assist.jp/data/china/image_1888th/76963505.pdf","76963505")</f>
        <v>76963505</v>
      </c>
      <c r="F974" s="7" t="s">
        <v>2748</v>
      </c>
      <c r="G974" s="7" t="s">
        <v>2749</v>
      </c>
      <c r="H974" s="7" t="s">
        <v>2750</v>
      </c>
      <c r="I974" s="9">
        <v>45348</v>
      </c>
    </row>
    <row r="975" spans="1:9" x14ac:dyDescent="0.15">
      <c r="A975" s="6">
        <v>974</v>
      </c>
      <c r="B975" s="7" t="s">
        <v>10</v>
      </c>
      <c r="C975" s="8">
        <v>1888</v>
      </c>
      <c r="D975" s="9">
        <v>45432</v>
      </c>
      <c r="E975" s="13" t="str">
        <f>+HYPERLINK("http://trademark.i-assist.jp/data/china/image_1888th/76963552.pdf","76963552")</f>
        <v>76963552</v>
      </c>
      <c r="F975" s="7" t="s">
        <v>2751</v>
      </c>
      <c r="G975" s="7" t="s">
        <v>2752</v>
      </c>
      <c r="H975" s="7" t="s">
        <v>2753</v>
      </c>
      <c r="I975" s="9">
        <v>45348</v>
      </c>
    </row>
    <row r="976" spans="1:9" x14ac:dyDescent="0.15">
      <c r="A976" s="6">
        <v>975</v>
      </c>
      <c r="B976" s="7" t="s">
        <v>10</v>
      </c>
      <c r="C976" s="8">
        <v>1888</v>
      </c>
      <c r="D976" s="9">
        <v>45432</v>
      </c>
      <c r="E976" s="13" t="str">
        <f>+HYPERLINK("http://trademark.i-assist.jp/data/china/image_1888th/76963668.pdf","76963668")</f>
        <v>76963668</v>
      </c>
      <c r="F976" s="7" t="s">
        <v>2754</v>
      </c>
      <c r="G976" s="7" t="s">
        <v>159</v>
      </c>
      <c r="H976" s="7" t="s">
        <v>2755</v>
      </c>
      <c r="I976" s="9">
        <v>45348</v>
      </c>
    </row>
    <row r="977" spans="1:9" ht="27" x14ac:dyDescent="0.15">
      <c r="A977" s="6">
        <v>976</v>
      </c>
      <c r="B977" s="7" t="s">
        <v>10</v>
      </c>
      <c r="C977" s="8">
        <v>1888</v>
      </c>
      <c r="D977" s="9">
        <v>45432</v>
      </c>
      <c r="E977" s="13" t="str">
        <f>+HYPERLINK("http://trademark.i-assist.jp/data/china/image_1888th/76964016.pdf","76964016")</f>
        <v>76964016</v>
      </c>
      <c r="F977" s="7" t="s">
        <v>2756</v>
      </c>
      <c r="G977" s="7" t="s">
        <v>2757</v>
      </c>
      <c r="H977" s="7" t="s">
        <v>2758</v>
      </c>
      <c r="I977" s="9">
        <v>45348</v>
      </c>
    </row>
    <row r="978" spans="1:9" x14ac:dyDescent="0.15">
      <c r="A978" s="6">
        <v>977</v>
      </c>
      <c r="B978" s="7" t="s">
        <v>10</v>
      </c>
      <c r="C978" s="8">
        <v>1888</v>
      </c>
      <c r="D978" s="9">
        <v>45432</v>
      </c>
      <c r="E978" s="13" t="str">
        <f>+HYPERLINK("http://trademark.i-assist.jp/data/china/image_1888th/76964146.pdf","76964146")</f>
        <v>76964146</v>
      </c>
      <c r="F978" s="7" t="s">
        <v>2759</v>
      </c>
      <c r="G978" s="7" t="s">
        <v>2760</v>
      </c>
      <c r="H978" s="7" t="s">
        <v>2761</v>
      </c>
      <c r="I978" s="9">
        <v>45348</v>
      </c>
    </row>
    <row r="979" spans="1:9" x14ac:dyDescent="0.15">
      <c r="A979" s="6">
        <v>978</v>
      </c>
      <c r="B979" s="7" t="s">
        <v>10</v>
      </c>
      <c r="C979" s="8">
        <v>1888</v>
      </c>
      <c r="D979" s="9">
        <v>45432</v>
      </c>
      <c r="E979" s="13" t="str">
        <f>+HYPERLINK("http://trademark.i-assist.jp/data/china/image_1888th/76964253.pdf","76964253")</f>
        <v>76964253</v>
      </c>
      <c r="F979" s="7" t="s">
        <v>2762</v>
      </c>
      <c r="G979" s="7" t="s">
        <v>2763</v>
      </c>
      <c r="H979" s="7" t="s">
        <v>2764</v>
      </c>
      <c r="I979" s="9">
        <v>45348</v>
      </c>
    </row>
    <row r="980" spans="1:9" ht="27" x14ac:dyDescent="0.15">
      <c r="A980" s="6">
        <v>979</v>
      </c>
      <c r="B980" s="7" t="s">
        <v>10</v>
      </c>
      <c r="C980" s="8">
        <v>1888</v>
      </c>
      <c r="D980" s="9">
        <v>45432</v>
      </c>
      <c r="E980" s="13" t="str">
        <f>+HYPERLINK("http://trademark.i-assist.jp/data/china/image_1888th/76964766.pdf","76964766")</f>
        <v>76964766</v>
      </c>
      <c r="F980" s="7" t="s">
        <v>2765</v>
      </c>
      <c r="G980" s="7" t="s">
        <v>2766</v>
      </c>
      <c r="H980" s="7" t="s">
        <v>2767</v>
      </c>
      <c r="I980" s="9">
        <v>45348</v>
      </c>
    </row>
    <row r="981" spans="1:9" x14ac:dyDescent="0.15">
      <c r="A981" s="6">
        <v>980</v>
      </c>
      <c r="B981" s="7" t="s">
        <v>10</v>
      </c>
      <c r="C981" s="8">
        <v>1888</v>
      </c>
      <c r="D981" s="9">
        <v>45432</v>
      </c>
      <c r="E981" s="13" t="str">
        <f>+HYPERLINK("http://trademark.i-assist.jp/data/china/image_1888th/76964967.pdf","76964967")</f>
        <v>76964967</v>
      </c>
      <c r="F981" s="7" t="s">
        <v>2768</v>
      </c>
      <c r="G981" s="7" t="s">
        <v>2591</v>
      </c>
      <c r="H981" s="7" t="s">
        <v>2769</v>
      </c>
      <c r="I981" s="9">
        <v>45348</v>
      </c>
    </row>
    <row r="982" spans="1:9" x14ac:dyDescent="0.15">
      <c r="A982" s="6">
        <v>981</v>
      </c>
      <c r="B982" s="7" t="s">
        <v>10</v>
      </c>
      <c r="C982" s="8">
        <v>1888</v>
      </c>
      <c r="D982" s="9">
        <v>45432</v>
      </c>
      <c r="E982" s="13" t="str">
        <f>+HYPERLINK("http://trademark.i-assist.jp/data/china/image_1888th/76965239.pdf","76965239")</f>
        <v>76965239</v>
      </c>
      <c r="F982" s="7" t="s">
        <v>2770</v>
      </c>
      <c r="G982" s="7" t="s">
        <v>2599</v>
      </c>
      <c r="H982" s="7" t="s">
        <v>2771</v>
      </c>
      <c r="I982" s="9">
        <v>45348</v>
      </c>
    </row>
    <row r="983" spans="1:9" x14ac:dyDescent="0.15">
      <c r="A983" s="6">
        <v>982</v>
      </c>
      <c r="B983" s="7" t="s">
        <v>10</v>
      </c>
      <c r="C983" s="8">
        <v>1888</v>
      </c>
      <c r="D983" s="9">
        <v>45432</v>
      </c>
      <c r="E983" s="13" t="str">
        <f>+HYPERLINK("http://trademark.i-assist.jp/data/china/image_1888th/76965735.pdf","76965735")</f>
        <v>76965735</v>
      </c>
      <c r="F983" s="7" t="s">
        <v>2772</v>
      </c>
      <c r="G983" s="7" t="s">
        <v>2773</v>
      </c>
      <c r="H983" s="7" t="s">
        <v>2774</v>
      </c>
      <c r="I983" s="9">
        <v>45348</v>
      </c>
    </row>
    <row r="984" spans="1:9" x14ac:dyDescent="0.15">
      <c r="A984" s="6">
        <v>983</v>
      </c>
      <c r="B984" s="7" t="s">
        <v>10</v>
      </c>
      <c r="C984" s="8">
        <v>1888</v>
      </c>
      <c r="D984" s="9">
        <v>45432</v>
      </c>
      <c r="E984" s="13" t="str">
        <f>+HYPERLINK("http://trademark.i-assist.jp/data/china/image_1888th/76965826.pdf","76965826")</f>
        <v>76965826</v>
      </c>
      <c r="F984" s="7" t="s">
        <v>2775</v>
      </c>
      <c r="G984" s="7" t="s">
        <v>2776</v>
      </c>
      <c r="H984" s="7" t="s">
        <v>2777</v>
      </c>
      <c r="I984" s="9">
        <v>45348</v>
      </c>
    </row>
    <row r="985" spans="1:9" x14ac:dyDescent="0.15">
      <c r="A985" s="6">
        <v>984</v>
      </c>
      <c r="B985" s="7" t="s">
        <v>10</v>
      </c>
      <c r="C985" s="8">
        <v>1888</v>
      </c>
      <c r="D985" s="9">
        <v>45432</v>
      </c>
      <c r="E985" s="13" t="str">
        <f>+HYPERLINK("http://trademark.i-assist.jp/data/china/image_1888th/76966044.pdf","76966044")</f>
        <v>76966044</v>
      </c>
      <c r="F985" s="7" t="s">
        <v>2778</v>
      </c>
      <c r="G985" s="7" t="s">
        <v>2779</v>
      </c>
      <c r="H985" s="7" t="s">
        <v>2780</v>
      </c>
      <c r="I985" s="9">
        <v>45348</v>
      </c>
    </row>
    <row r="986" spans="1:9" ht="27" x14ac:dyDescent="0.15">
      <c r="A986" s="6">
        <v>985</v>
      </c>
      <c r="B986" s="7" t="s">
        <v>10</v>
      </c>
      <c r="C986" s="8">
        <v>1888</v>
      </c>
      <c r="D986" s="9">
        <v>45432</v>
      </c>
      <c r="E986" s="13" t="str">
        <f>+HYPERLINK("http://trademark.i-assist.jp/data/china/image_1888th/76966108.pdf","76966108")</f>
        <v>76966108</v>
      </c>
      <c r="F986" s="7" t="s">
        <v>2781</v>
      </c>
      <c r="G986" s="7" t="s">
        <v>2782</v>
      </c>
      <c r="H986" s="7" t="s">
        <v>2783</v>
      </c>
      <c r="I986" s="9">
        <v>45348</v>
      </c>
    </row>
    <row r="987" spans="1:9" x14ac:dyDescent="0.15">
      <c r="A987" s="6">
        <v>986</v>
      </c>
      <c r="B987" s="7" t="s">
        <v>10</v>
      </c>
      <c r="C987" s="8">
        <v>1888</v>
      </c>
      <c r="D987" s="9">
        <v>45432</v>
      </c>
      <c r="E987" s="13" t="str">
        <f>+HYPERLINK("http://trademark.i-assist.jp/data/china/image_1888th/76966250.pdf","76966250")</f>
        <v>76966250</v>
      </c>
      <c r="F987" s="7" t="s">
        <v>2784</v>
      </c>
      <c r="G987" s="7" t="s">
        <v>2785</v>
      </c>
      <c r="H987" s="7" t="s">
        <v>2786</v>
      </c>
      <c r="I987" s="9">
        <v>45348</v>
      </c>
    </row>
    <row r="988" spans="1:9" x14ac:dyDescent="0.15">
      <c r="A988" s="6">
        <v>987</v>
      </c>
      <c r="B988" s="7" t="s">
        <v>10</v>
      </c>
      <c r="C988" s="8">
        <v>1888</v>
      </c>
      <c r="D988" s="9">
        <v>45432</v>
      </c>
      <c r="E988" s="13" t="str">
        <f>+HYPERLINK("http://trademark.i-assist.jp/data/china/image_1888th/76966304.pdf","76966304")</f>
        <v>76966304</v>
      </c>
      <c r="F988" s="7" t="s">
        <v>2787</v>
      </c>
      <c r="G988" s="7" t="s">
        <v>2788</v>
      </c>
      <c r="H988" s="7" t="s">
        <v>2789</v>
      </c>
      <c r="I988" s="9">
        <v>45348</v>
      </c>
    </row>
    <row r="989" spans="1:9" ht="27" x14ac:dyDescent="0.15">
      <c r="A989" s="6">
        <v>988</v>
      </c>
      <c r="B989" s="7" t="s">
        <v>10</v>
      </c>
      <c r="C989" s="8">
        <v>1888</v>
      </c>
      <c r="D989" s="9">
        <v>45432</v>
      </c>
      <c r="E989" s="13" t="str">
        <f>+HYPERLINK("http://trademark.i-assist.jp/data/china/image_1888th/76966467.pdf","76966467")</f>
        <v>76966467</v>
      </c>
      <c r="F989" s="7" t="s">
        <v>2790</v>
      </c>
      <c r="G989" s="7" t="s">
        <v>2791</v>
      </c>
      <c r="H989" s="7" t="s">
        <v>2792</v>
      </c>
      <c r="I989" s="9">
        <v>45348</v>
      </c>
    </row>
    <row r="990" spans="1:9" x14ac:dyDescent="0.15">
      <c r="A990" s="6">
        <v>989</v>
      </c>
      <c r="B990" s="7" t="s">
        <v>10</v>
      </c>
      <c r="C990" s="8">
        <v>1888</v>
      </c>
      <c r="D990" s="9">
        <v>45432</v>
      </c>
      <c r="E990" s="13" t="str">
        <f>+HYPERLINK("http://trademark.i-assist.jp/data/china/image_1888th/76966895.pdf","76966895")</f>
        <v>76966895</v>
      </c>
      <c r="F990" s="7" t="s">
        <v>2793</v>
      </c>
      <c r="G990" s="7" t="s">
        <v>2794</v>
      </c>
      <c r="H990" s="7" t="s">
        <v>2795</v>
      </c>
      <c r="I990" s="9">
        <v>45348</v>
      </c>
    </row>
    <row r="991" spans="1:9" x14ac:dyDescent="0.15">
      <c r="A991" s="6">
        <v>990</v>
      </c>
      <c r="B991" s="7" t="s">
        <v>10</v>
      </c>
      <c r="C991" s="8">
        <v>1888</v>
      </c>
      <c r="D991" s="9">
        <v>45432</v>
      </c>
      <c r="E991" s="13" t="str">
        <f>+HYPERLINK("http://trademark.i-assist.jp/data/china/image_1888th/76966950.pdf","76966950")</f>
        <v>76966950</v>
      </c>
      <c r="F991" s="7" t="s">
        <v>2796</v>
      </c>
      <c r="G991" s="7" t="s">
        <v>2797</v>
      </c>
      <c r="H991" s="7" t="s">
        <v>2798</v>
      </c>
      <c r="I991" s="9">
        <v>45348</v>
      </c>
    </row>
    <row r="992" spans="1:9" x14ac:dyDescent="0.15">
      <c r="A992" s="6">
        <v>991</v>
      </c>
      <c r="B992" s="7" t="s">
        <v>10</v>
      </c>
      <c r="C992" s="8">
        <v>1888</v>
      </c>
      <c r="D992" s="9">
        <v>45432</v>
      </c>
      <c r="E992" s="13" t="str">
        <f>+HYPERLINK("http://trademark.i-assist.jp/data/china/image_1888th/76966988.pdf","76966988")</f>
        <v>76966988</v>
      </c>
      <c r="F992" s="7" t="s">
        <v>2799</v>
      </c>
      <c r="G992" s="7" t="s">
        <v>2800</v>
      </c>
      <c r="H992" s="7" t="s">
        <v>2801</v>
      </c>
      <c r="I992" s="9">
        <v>45348</v>
      </c>
    </row>
    <row r="993" spans="1:9" x14ac:dyDescent="0.15">
      <c r="A993" s="6">
        <v>992</v>
      </c>
      <c r="B993" s="7" t="s">
        <v>10</v>
      </c>
      <c r="C993" s="8">
        <v>1888</v>
      </c>
      <c r="D993" s="9">
        <v>45432</v>
      </c>
      <c r="E993" s="13" t="str">
        <f>+HYPERLINK("http://trademark.i-assist.jp/data/china/image_1888th/76967047.pdf","76967047")</f>
        <v>76967047</v>
      </c>
      <c r="F993" s="7" t="s">
        <v>2802</v>
      </c>
      <c r="G993" s="7" t="s">
        <v>2803</v>
      </c>
      <c r="H993" s="7" t="s">
        <v>2804</v>
      </c>
      <c r="I993" s="9">
        <v>45348</v>
      </c>
    </row>
    <row r="994" spans="1:9" ht="27" x14ac:dyDescent="0.15">
      <c r="A994" s="6">
        <v>993</v>
      </c>
      <c r="B994" s="7" t="s">
        <v>10</v>
      </c>
      <c r="C994" s="8">
        <v>1888</v>
      </c>
      <c r="D994" s="9">
        <v>45432</v>
      </c>
      <c r="E994" s="13" t="str">
        <f>+HYPERLINK("http://trademark.i-assist.jp/data/china/image_1888th/76967163.pdf","76967163")</f>
        <v>76967163</v>
      </c>
      <c r="F994" s="7" t="s">
        <v>2805</v>
      </c>
      <c r="G994" s="7" t="s">
        <v>750</v>
      </c>
      <c r="H994" s="7" t="s">
        <v>2806</v>
      </c>
      <c r="I994" s="9">
        <v>45348</v>
      </c>
    </row>
    <row r="995" spans="1:9" x14ac:dyDescent="0.15">
      <c r="A995" s="6">
        <v>994</v>
      </c>
      <c r="B995" s="7" t="s">
        <v>10</v>
      </c>
      <c r="C995" s="8">
        <v>1888</v>
      </c>
      <c r="D995" s="9">
        <v>45432</v>
      </c>
      <c r="E995" s="13" t="str">
        <f>+HYPERLINK("http://trademark.i-assist.jp/data/china/image_1888th/76967292.pdf","76967292")</f>
        <v>76967292</v>
      </c>
      <c r="F995" s="7" t="s">
        <v>2807</v>
      </c>
      <c r="G995" s="7" t="s">
        <v>2808</v>
      </c>
      <c r="H995" s="7" t="s">
        <v>2809</v>
      </c>
      <c r="I995" s="9">
        <v>45348</v>
      </c>
    </row>
    <row r="996" spans="1:9" x14ac:dyDescent="0.15">
      <c r="A996" s="6">
        <v>995</v>
      </c>
      <c r="B996" s="7" t="s">
        <v>10</v>
      </c>
      <c r="C996" s="8">
        <v>1888</v>
      </c>
      <c r="D996" s="9">
        <v>45432</v>
      </c>
      <c r="E996" s="13" t="str">
        <f>+HYPERLINK("http://trademark.i-assist.jp/data/china/image_1888th/76968086.pdf","76968086")</f>
        <v>76968086</v>
      </c>
      <c r="F996" s="7" t="s">
        <v>2810</v>
      </c>
      <c r="G996" s="7" t="s">
        <v>2599</v>
      </c>
      <c r="H996" s="7" t="s">
        <v>2811</v>
      </c>
      <c r="I996" s="9">
        <v>45348</v>
      </c>
    </row>
    <row r="997" spans="1:9" x14ac:dyDescent="0.15">
      <c r="A997" s="6">
        <v>996</v>
      </c>
      <c r="B997" s="7" t="s">
        <v>10</v>
      </c>
      <c r="C997" s="8">
        <v>1888</v>
      </c>
      <c r="D997" s="9">
        <v>45432</v>
      </c>
      <c r="E997" s="13" t="str">
        <f>+HYPERLINK("http://trademark.i-assist.jp/data/china/image_1888th/76968267.pdf","76968267")</f>
        <v>76968267</v>
      </c>
      <c r="F997" s="7" t="s">
        <v>2812</v>
      </c>
      <c r="G997" s="7" t="s">
        <v>2646</v>
      </c>
      <c r="H997" s="7" t="s">
        <v>2813</v>
      </c>
      <c r="I997" s="9">
        <v>45348</v>
      </c>
    </row>
    <row r="998" spans="1:9" x14ac:dyDescent="0.15">
      <c r="A998" s="6">
        <v>997</v>
      </c>
      <c r="B998" s="7" t="s">
        <v>10</v>
      </c>
      <c r="C998" s="8">
        <v>1888</v>
      </c>
      <c r="D998" s="9">
        <v>45432</v>
      </c>
      <c r="E998" s="13" t="str">
        <f>+HYPERLINK("http://trademark.i-assist.jp/data/china/image_1888th/76968546.pdf","76968546")</f>
        <v>76968546</v>
      </c>
      <c r="F998" s="7" t="s">
        <v>2814</v>
      </c>
      <c r="G998" s="7" t="s">
        <v>2611</v>
      </c>
      <c r="H998" s="7" t="s">
        <v>2815</v>
      </c>
      <c r="I998" s="9">
        <v>45348</v>
      </c>
    </row>
    <row r="999" spans="1:9" x14ac:dyDescent="0.15">
      <c r="A999" s="6">
        <v>998</v>
      </c>
      <c r="B999" s="7" t="s">
        <v>10</v>
      </c>
      <c r="C999" s="8">
        <v>1888</v>
      </c>
      <c r="D999" s="9">
        <v>45432</v>
      </c>
      <c r="E999" s="13" t="str">
        <f>+HYPERLINK("http://trademark.i-assist.jp/data/china/image_1888th/76968716.pdf","76968716")</f>
        <v>76968716</v>
      </c>
      <c r="F999" s="7" t="s">
        <v>2816</v>
      </c>
      <c r="G999" s="7" t="s">
        <v>2711</v>
      </c>
      <c r="H999" s="7" t="s">
        <v>2817</v>
      </c>
      <c r="I999" s="9">
        <v>45348</v>
      </c>
    </row>
    <row r="1000" spans="1:9" x14ac:dyDescent="0.15">
      <c r="A1000" s="6">
        <v>999</v>
      </c>
      <c r="B1000" s="7" t="s">
        <v>10</v>
      </c>
      <c r="C1000" s="8">
        <v>1888</v>
      </c>
      <c r="D1000" s="9">
        <v>45432</v>
      </c>
      <c r="E1000" s="13" t="str">
        <f>+HYPERLINK("http://trademark.i-assist.jp/data/china/image_1888th/76968845.pdf","76968845")</f>
        <v>76968845</v>
      </c>
      <c r="F1000" s="7" t="s">
        <v>2818</v>
      </c>
      <c r="G1000" s="7" t="s">
        <v>2819</v>
      </c>
      <c r="H1000" s="7" t="s">
        <v>2820</v>
      </c>
      <c r="I1000" s="9">
        <v>45348</v>
      </c>
    </row>
    <row r="1001" spans="1:9" x14ac:dyDescent="0.15">
      <c r="A1001" s="6">
        <v>1000</v>
      </c>
      <c r="B1001" s="7" t="s">
        <v>10</v>
      </c>
      <c r="C1001" s="8">
        <v>1888</v>
      </c>
      <c r="D1001" s="9">
        <v>45432</v>
      </c>
      <c r="E1001" s="13" t="str">
        <f>+HYPERLINK("http://trademark.i-assist.jp/data/china/image_1888th/76969310.pdf","76969310")</f>
        <v>76969310</v>
      </c>
      <c r="F1001" s="7" t="s">
        <v>2821</v>
      </c>
      <c r="G1001" s="7" t="s">
        <v>2822</v>
      </c>
      <c r="H1001" s="7" t="s">
        <v>2823</v>
      </c>
      <c r="I1001" s="9">
        <v>45348</v>
      </c>
    </row>
    <row r="1002" spans="1:9" ht="27" x14ac:dyDescent="0.15">
      <c r="A1002" s="6">
        <v>1001</v>
      </c>
      <c r="B1002" s="7" t="s">
        <v>10</v>
      </c>
      <c r="C1002" s="8">
        <v>1888</v>
      </c>
      <c r="D1002" s="9">
        <v>45432</v>
      </c>
      <c r="E1002" s="13" t="str">
        <f>+HYPERLINK("http://trademark.i-assist.jp/data/china/image_1888th/76969595.pdf","76969595")</f>
        <v>76969595</v>
      </c>
      <c r="F1002" s="7" t="s">
        <v>2824</v>
      </c>
      <c r="G1002" s="7" t="s">
        <v>2825</v>
      </c>
      <c r="H1002" s="7" t="s">
        <v>2826</v>
      </c>
      <c r="I1002" s="9">
        <v>45348</v>
      </c>
    </row>
    <row r="1003" spans="1:9" x14ac:dyDescent="0.15">
      <c r="A1003" s="6">
        <v>1002</v>
      </c>
      <c r="B1003" s="7" t="s">
        <v>10</v>
      </c>
      <c r="C1003" s="8">
        <v>1888</v>
      </c>
      <c r="D1003" s="9">
        <v>45432</v>
      </c>
      <c r="E1003" s="13" t="str">
        <f>+HYPERLINK("http://trademark.i-assist.jp/data/china/image_1888th/76969675.pdf","76969675")</f>
        <v>76969675</v>
      </c>
      <c r="F1003" s="7" t="s">
        <v>2827</v>
      </c>
      <c r="G1003" s="7" t="s">
        <v>2828</v>
      </c>
      <c r="H1003" s="7" t="s">
        <v>2829</v>
      </c>
      <c r="I1003" s="9">
        <v>45348</v>
      </c>
    </row>
    <row r="1004" spans="1:9" x14ac:dyDescent="0.15">
      <c r="A1004" s="6">
        <v>1003</v>
      </c>
      <c r="B1004" s="7" t="s">
        <v>10</v>
      </c>
      <c r="C1004" s="8">
        <v>1888</v>
      </c>
      <c r="D1004" s="9">
        <v>45432</v>
      </c>
      <c r="E1004" s="13" t="str">
        <f>+HYPERLINK("http://trademark.i-assist.jp/data/china/image_1888th/76969894.pdf","76969894")</f>
        <v>76969894</v>
      </c>
      <c r="F1004" s="7" t="s">
        <v>2830</v>
      </c>
      <c r="G1004" s="7" t="s">
        <v>2831</v>
      </c>
      <c r="H1004" s="7" t="s">
        <v>2832</v>
      </c>
      <c r="I1004" s="9">
        <v>45348</v>
      </c>
    </row>
    <row r="1005" spans="1:9" x14ac:dyDescent="0.15">
      <c r="A1005" s="6">
        <v>1004</v>
      </c>
      <c r="B1005" s="7" t="s">
        <v>10</v>
      </c>
      <c r="C1005" s="8">
        <v>1888</v>
      </c>
      <c r="D1005" s="9">
        <v>45432</v>
      </c>
      <c r="E1005" s="13" t="str">
        <f>+HYPERLINK("http://trademark.i-assist.jp/data/china/image_1888th/76970102.pdf","76970102")</f>
        <v>76970102</v>
      </c>
      <c r="F1005" s="7" t="s">
        <v>2833</v>
      </c>
      <c r="G1005" s="7" t="s">
        <v>1194</v>
      </c>
      <c r="H1005" s="7" t="s">
        <v>2834</v>
      </c>
      <c r="I1005" s="9">
        <v>45348</v>
      </c>
    </row>
    <row r="1006" spans="1:9" ht="27" x14ac:dyDescent="0.15">
      <c r="A1006" s="6">
        <v>1005</v>
      </c>
      <c r="B1006" s="7" t="s">
        <v>10</v>
      </c>
      <c r="C1006" s="8">
        <v>1888</v>
      </c>
      <c r="D1006" s="9">
        <v>45432</v>
      </c>
      <c r="E1006" s="13" t="str">
        <f>+HYPERLINK("http://trademark.i-assist.jp/data/china/image_1888th/76970121.pdf","76970121")</f>
        <v>76970121</v>
      </c>
      <c r="F1006" s="7" t="s">
        <v>2835</v>
      </c>
      <c r="G1006" s="7" t="s">
        <v>2766</v>
      </c>
      <c r="H1006" s="7" t="s">
        <v>2836</v>
      </c>
      <c r="I1006" s="9">
        <v>45348</v>
      </c>
    </row>
    <row r="1007" spans="1:9" ht="27" x14ac:dyDescent="0.15">
      <c r="A1007" s="6">
        <v>1006</v>
      </c>
      <c r="B1007" s="7" t="s">
        <v>10</v>
      </c>
      <c r="C1007" s="8">
        <v>1888</v>
      </c>
      <c r="D1007" s="9">
        <v>45432</v>
      </c>
      <c r="E1007" s="13" t="str">
        <f>+HYPERLINK("http://trademark.i-assist.jp/data/china/image_1888th/76970650.pdf","76970650")</f>
        <v>76970650</v>
      </c>
      <c r="F1007" s="7" t="s">
        <v>2837</v>
      </c>
      <c r="G1007" s="7" t="s">
        <v>2838</v>
      </c>
      <c r="H1007" s="7" t="s">
        <v>2839</v>
      </c>
      <c r="I1007" s="9">
        <v>45349</v>
      </c>
    </row>
    <row r="1008" spans="1:9" x14ac:dyDescent="0.15">
      <c r="A1008" s="6">
        <v>1007</v>
      </c>
      <c r="B1008" s="7" t="s">
        <v>10</v>
      </c>
      <c r="C1008" s="8">
        <v>1888</v>
      </c>
      <c r="D1008" s="9">
        <v>45432</v>
      </c>
      <c r="E1008" s="13" t="str">
        <f>+HYPERLINK("http://trademark.i-assist.jp/data/china/image_1888th/76971285.pdf","76971285")</f>
        <v>76971285</v>
      </c>
      <c r="F1008" s="7" t="s">
        <v>2840</v>
      </c>
      <c r="G1008" s="7" t="s">
        <v>2841</v>
      </c>
      <c r="H1008" s="7" t="s">
        <v>2842</v>
      </c>
      <c r="I1008" s="9">
        <v>45349</v>
      </c>
    </row>
    <row r="1009" spans="1:9" x14ac:dyDescent="0.15">
      <c r="A1009" s="6">
        <v>1008</v>
      </c>
      <c r="B1009" s="7" t="s">
        <v>10</v>
      </c>
      <c r="C1009" s="8">
        <v>1888</v>
      </c>
      <c r="D1009" s="9">
        <v>45432</v>
      </c>
      <c r="E1009" s="13" t="str">
        <f>+HYPERLINK("http://trademark.i-assist.jp/data/china/image_1888th/76971440.pdf","76971440")</f>
        <v>76971440</v>
      </c>
      <c r="F1009" s="7" t="s">
        <v>2843</v>
      </c>
      <c r="G1009" s="7" t="s">
        <v>1981</v>
      </c>
      <c r="H1009" s="7" t="s">
        <v>2844</v>
      </c>
      <c r="I1009" s="9">
        <v>45349</v>
      </c>
    </row>
    <row r="1010" spans="1:9" x14ac:dyDescent="0.15">
      <c r="A1010" s="6">
        <v>1009</v>
      </c>
      <c r="B1010" s="7" t="s">
        <v>10</v>
      </c>
      <c r="C1010" s="8">
        <v>1888</v>
      </c>
      <c r="D1010" s="9">
        <v>45432</v>
      </c>
      <c r="E1010" s="13" t="str">
        <f>+HYPERLINK("http://trademark.i-assist.jp/data/china/image_1888th/76971490.pdf","76971490")</f>
        <v>76971490</v>
      </c>
      <c r="F1010" s="7" t="s">
        <v>2845</v>
      </c>
      <c r="G1010" s="7" t="s">
        <v>2846</v>
      </c>
      <c r="H1010" s="7" t="s">
        <v>2847</v>
      </c>
      <c r="I1010" s="9">
        <v>45349</v>
      </c>
    </row>
    <row r="1011" spans="1:9" ht="27" x14ac:dyDescent="0.15">
      <c r="A1011" s="6">
        <v>1010</v>
      </c>
      <c r="B1011" s="7" t="s">
        <v>10</v>
      </c>
      <c r="C1011" s="8">
        <v>1888</v>
      </c>
      <c r="D1011" s="9">
        <v>45432</v>
      </c>
      <c r="E1011" s="13" t="str">
        <f>+HYPERLINK("http://trademark.i-assist.jp/data/china/image_1888th/76971551.pdf","76971551")</f>
        <v>76971551</v>
      </c>
      <c r="F1011" s="7" t="s">
        <v>2848</v>
      </c>
      <c r="G1011" s="7" t="s">
        <v>2849</v>
      </c>
      <c r="H1011" s="7" t="s">
        <v>2850</v>
      </c>
      <c r="I1011" s="9">
        <v>45349</v>
      </c>
    </row>
    <row r="1012" spans="1:9" ht="27" x14ac:dyDescent="0.15">
      <c r="A1012" s="6">
        <v>1011</v>
      </c>
      <c r="B1012" s="7" t="s">
        <v>10</v>
      </c>
      <c r="C1012" s="8">
        <v>1888</v>
      </c>
      <c r="D1012" s="9">
        <v>45432</v>
      </c>
      <c r="E1012" s="13" t="str">
        <f>+HYPERLINK("http://trademark.i-assist.jp/data/china/image_1888th/76971850.pdf","76971850")</f>
        <v>76971850</v>
      </c>
      <c r="F1012" s="7" t="s">
        <v>2851</v>
      </c>
      <c r="G1012" s="7" t="s">
        <v>2852</v>
      </c>
      <c r="H1012" s="7" t="s">
        <v>2853</v>
      </c>
      <c r="I1012" s="9">
        <v>45349</v>
      </c>
    </row>
    <row r="1013" spans="1:9" ht="27" x14ac:dyDescent="0.15">
      <c r="A1013" s="6">
        <v>1012</v>
      </c>
      <c r="B1013" s="7" t="s">
        <v>10</v>
      </c>
      <c r="C1013" s="8">
        <v>1888</v>
      </c>
      <c r="D1013" s="9">
        <v>45432</v>
      </c>
      <c r="E1013" s="13" t="str">
        <f>+HYPERLINK("http://trademark.i-assist.jp/data/china/image_1888th/76971855.pdf","76971855")</f>
        <v>76971855</v>
      </c>
      <c r="F1013" s="7" t="s">
        <v>2854</v>
      </c>
      <c r="G1013" s="7" t="s">
        <v>2852</v>
      </c>
      <c r="H1013" s="7" t="s">
        <v>2855</v>
      </c>
      <c r="I1013" s="9">
        <v>45349</v>
      </c>
    </row>
    <row r="1014" spans="1:9" ht="27" x14ac:dyDescent="0.15">
      <c r="A1014" s="6">
        <v>1013</v>
      </c>
      <c r="B1014" s="7" t="s">
        <v>10</v>
      </c>
      <c r="C1014" s="8">
        <v>1888</v>
      </c>
      <c r="D1014" s="9">
        <v>45432</v>
      </c>
      <c r="E1014" s="13" t="str">
        <f>+HYPERLINK("http://trademark.i-assist.jp/data/china/image_1888th/76972450.pdf","76972450")</f>
        <v>76972450</v>
      </c>
      <c r="F1014" s="7" t="s">
        <v>2856</v>
      </c>
      <c r="G1014" s="7" t="s">
        <v>2857</v>
      </c>
      <c r="H1014" s="7" t="s">
        <v>2858</v>
      </c>
      <c r="I1014" s="9">
        <v>45349</v>
      </c>
    </row>
    <row r="1015" spans="1:9" x14ac:dyDescent="0.15">
      <c r="A1015" s="6">
        <v>1014</v>
      </c>
      <c r="B1015" s="7" t="s">
        <v>10</v>
      </c>
      <c r="C1015" s="8">
        <v>1888</v>
      </c>
      <c r="D1015" s="9">
        <v>45432</v>
      </c>
      <c r="E1015" s="13" t="str">
        <f>+HYPERLINK("http://trademark.i-assist.jp/data/china/image_1888th/76972733.pdf","76972733")</f>
        <v>76972733</v>
      </c>
      <c r="F1015" s="7" t="s">
        <v>2859</v>
      </c>
      <c r="G1015" s="7" t="s">
        <v>2860</v>
      </c>
      <c r="H1015" s="7" t="s">
        <v>2861</v>
      </c>
      <c r="I1015" s="9">
        <v>45349</v>
      </c>
    </row>
    <row r="1016" spans="1:9" x14ac:dyDescent="0.15">
      <c r="A1016" s="6">
        <v>1015</v>
      </c>
      <c r="B1016" s="7" t="s">
        <v>10</v>
      </c>
      <c r="C1016" s="8">
        <v>1888</v>
      </c>
      <c r="D1016" s="9">
        <v>45432</v>
      </c>
      <c r="E1016" s="13" t="str">
        <f>+HYPERLINK("http://trademark.i-assist.jp/data/china/image_1888th/76972844.pdf","76972844")</f>
        <v>76972844</v>
      </c>
      <c r="F1016" s="7" t="s">
        <v>2862</v>
      </c>
      <c r="G1016" s="7" t="s">
        <v>2655</v>
      </c>
      <c r="H1016" s="7" t="s">
        <v>2863</v>
      </c>
      <c r="I1016" s="9">
        <v>45349</v>
      </c>
    </row>
    <row r="1017" spans="1:9" x14ac:dyDescent="0.15">
      <c r="A1017" s="6">
        <v>1016</v>
      </c>
      <c r="B1017" s="7" t="s">
        <v>10</v>
      </c>
      <c r="C1017" s="8">
        <v>1888</v>
      </c>
      <c r="D1017" s="9">
        <v>45432</v>
      </c>
      <c r="E1017" s="13" t="str">
        <f>+HYPERLINK("http://trademark.i-assist.jp/data/china/image_1888th/76973003.pdf","76973003")</f>
        <v>76973003</v>
      </c>
      <c r="F1017" s="7" t="s">
        <v>2864</v>
      </c>
      <c r="G1017" s="7" t="s">
        <v>2865</v>
      </c>
      <c r="H1017" s="7" t="s">
        <v>2866</v>
      </c>
      <c r="I1017" s="9">
        <v>45349</v>
      </c>
    </row>
    <row r="1018" spans="1:9" x14ac:dyDescent="0.15">
      <c r="A1018" s="6">
        <v>1017</v>
      </c>
      <c r="B1018" s="7" t="s">
        <v>10</v>
      </c>
      <c r="C1018" s="8">
        <v>1888</v>
      </c>
      <c r="D1018" s="9">
        <v>45432</v>
      </c>
      <c r="E1018" s="13" t="str">
        <f>+HYPERLINK("http://trademark.i-assist.jp/data/china/image_1888th/76973008.pdf","76973008")</f>
        <v>76973008</v>
      </c>
      <c r="F1018" s="7" t="s">
        <v>2867</v>
      </c>
      <c r="G1018" s="7" t="s">
        <v>2868</v>
      </c>
      <c r="H1018" s="7" t="s">
        <v>2869</v>
      </c>
      <c r="I1018" s="9">
        <v>45349</v>
      </c>
    </row>
    <row r="1019" spans="1:9" x14ac:dyDescent="0.15">
      <c r="A1019" s="6">
        <v>1018</v>
      </c>
      <c r="B1019" s="7" t="s">
        <v>10</v>
      </c>
      <c r="C1019" s="8">
        <v>1888</v>
      </c>
      <c r="D1019" s="9">
        <v>45432</v>
      </c>
      <c r="E1019" s="13" t="str">
        <f>+HYPERLINK("http://trademark.i-assist.jp/data/china/image_1888th/76973131.pdf","76973131")</f>
        <v>76973131</v>
      </c>
      <c r="F1019" s="7" t="s">
        <v>2870</v>
      </c>
      <c r="G1019" s="7" t="s">
        <v>1981</v>
      </c>
      <c r="H1019" s="7" t="s">
        <v>2871</v>
      </c>
      <c r="I1019" s="9">
        <v>45349</v>
      </c>
    </row>
    <row r="1020" spans="1:9" x14ac:dyDescent="0.15">
      <c r="A1020" s="6">
        <v>1019</v>
      </c>
      <c r="B1020" s="7" t="s">
        <v>10</v>
      </c>
      <c r="C1020" s="8">
        <v>1888</v>
      </c>
      <c r="D1020" s="9">
        <v>45432</v>
      </c>
      <c r="E1020" s="13" t="str">
        <f>+HYPERLINK("http://trademark.i-assist.jp/data/china/image_1888th/76973227.pdf","76973227")</f>
        <v>76973227</v>
      </c>
      <c r="F1020" s="7" t="s">
        <v>2872</v>
      </c>
      <c r="G1020" s="7" t="s">
        <v>2873</v>
      </c>
      <c r="H1020" s="7" t="s">
        <v>2874</v>
      </c>
      <c r="I1020" s="9">
        <v>45349</v>
      </c>
    </row>
    <row r="1021" spans="1:9" x14ac:dyDescent="0.15">
      <c r="A1021" s="6">
        <v>1020</v>
      </c>
      <c r="B1021" s="7" t="s">
        <v>10</v>
      </c>
      <c r="C1021" s="8">
        <v>1888</v>
      </c>
      <c r="D1021" s="9">
        <v>45432</v>
      </c>
      <c r="E1021" s="13" t="str">
        <f>+HYPERLINK("http://trademark.i-assist.jp/data/china/image_1888th/76973560.pdf","76973560")</f>
        <v>76973560</v>
      </c>
      <c r="F1021" s="7" t="s">
        <v>2875</v>
      </c>
      <c r="G1021" s="7" t="s">
        <v>2876</v>
      </c>
      <c r="H1021" s="7" t="s">
        <v>2877</v>
      </c>
      <c r="I1021" s="9">
        <v>45349</v>
      </c>
    </row>
    <row r="1022" spans="1:9" ht="27" x14ac:dyDescent="0.15">
      <c r="A1022" s="6">
        <v>1021</v>
      </c>
      <c r="B1022" s="7" t="s">
        <v>10</v>
      </c>
      <c r="C1022" s="8">
        <v>1888</v>
      </c>
      <c r="D1022" s="9">
        <v>45432</v>
      </c>
      <c r="E1022" s="13" t="str">
        <f>+HYPERLINK("http://trademark.i-assist.jp/data/china/image_1888th/76975162.pdf","76975162")</f>
        <v>76975162</v>
      </c>
      <c r="F1022" s="7" t="s">
        <v>2878</v>
      </c>
      <c r="G1022" s="7" t="s">
        <v>2879</v>
      </c>
      <c r="H1022" s="7" t="s">
        <v>2880</v>
      </c>
      <c r="I1022" s="9">
        <v>45349</v>
      </c>
    </row>
    <row r="1023" spans="1:9" x14ac:dyDescent="0.15">
      <c r="A1023" s="6">
        <v>1022</v>
      </c>
      <c r="B1023" s="7" t="s">
        <v>10</v>
      </c>
      <c r="C1023" s="8">
        <v>1888</v>
      </c>
      <c r="D1023" s="9">
        <v>45432</v>
      </c>
      <c r="E1023" s="13" t="str">
        <f>+HYPERLINK("http://trademark.i-assist.jp/data/china/image_1888th/76975177.pdf","76975177")</f>
        <v>76975177</v>
      </c>
      <c r="F1023" s="7" t="s">
        <v>76</v>
      </c>
      <c r="G1023" s="7" t="s">
        <v>2881</v>
      </c>
      <c r="H1023" s="7" t="s">
        <v>2882</v>
      </c>
      <c r="I1023" s="9">
        <v>45349</v>
      </c>
    </row>
    <row r="1024" spans="1:9" x14ac:dyDescent="0.15">
      <c r="A1024" s="6">
        <v>1023</v>
      </c>
      <c r="B1024" s="7" t="s">
        <v>10</v>
      </c>
      <c r="C1024" s="8">
        <v>1888</v>
      </c>
      <c r="D1024" s="9">
        <v>45432</v>
      </c>
      <c r="E1024" s="13" t="str">
        <f>+HYPERLINK("http://trademark.i-assist.jp/data/china/image_1888th/76975332.pdf","76975332")</f>
        <v>76975332</v>
      </c>
      <c r="F1024" s="7" t="s">
        <v>2883</v>
      </c>
      <c r="G1024" s="7" t="s">
        <v>2884</v>
      </c>
      <c r="H1024" s="7" t="s">
        <v>2885</v>
      </c>
      <c r="I1024" s="9">
        <v>45349</v>
      </c>
    </row>
    <row r="1025" spans="1:9" x14ac:dyDescent="0.15">
      <c r="A1025" s="6">
        <v>1024</v>
      </c>
      <c r="B1025" s="7" t="s">
        <v>10</v>
      </c>
      <c r="C1025" s="8">
        <v>1888</v>
      </c>
      <c r="D1025" s="9">
        <v>45432</v>
      </c>
      <c r="E1025" s="13" t="str">
        <f>+HYPERLINK("http://trademark.i-assist.jp/data/china/image_1888th/76975636.pdf","76975636")</f>
        <v>76975636</v>
      </c>
      <c r="F1025" s="7" t="s">
        <v>2886</v>
      </c>
      <c r="G1025" s="7" t="s">
        <v>2887</v>
      </c>
      <c r="H1025" s="7" t="s">
        <v>2888</v>
      </c>
      <c r="I1025" s="9">
        <v>45349</v>
      </c>
    </row>
    <row r="1026" spans="1:9" ht="27" x14ac:dyDescent="0.15">
      <c r="A1026" s="6">
        <v>1025</v>
      </c>
      <c r="B1026" s="7" t="s">
        <v>10</v>
      </c>
      <c r="C1026" s="8">
        <v>1888</v>
      </c>
      <c r="D1026" s="9">
        <v>45432</v>
      </c>
      <c r="E1026" s="13" t="str">
        <f>+HYPERLINK("http://trademark.i-assist.jp/data/china/image_1888th/76976078.pdf","76976078")</f>
        <v>76976078</v>
      </c>
      <c r="F1026" s="7" t="s">
        <v>2889</v>
      </c>
      <c r="G1026" s="7" t="s">
        <v>2890</v>
      </c>
      <c r="H1026" s="7" t="s">
        <v>2891</v>
      </c>
      <c r="I1026" s="9">
        <v>45349</v>
      </c>
    </row>
    <row r="1027" spans="1:9" x14ac:dyDescent="0.15">
      <c r="A1027" s="6">
        <v>1026</v>
      </c>
      <c r="B1027" s="7" t="s">
        <v>10</v>
      </c>
      <c r="C1027" s="8">
        <v>1888</v>
      </c>
      <c r="D1027" s="9">
        <v>45432</v>
      </c>
      <c r="E1027" s="13" t="str">
        <f>+HYPERLINK("http://trademark.i-assist.jp/data/china/image_1888th/76976113.pdf","76976113")</f>
        <v>76976113</v>
      </c>
      <c r="F1027" s="7" t="s">
        <v>76</v>
      </c>
      <c r="G1027" s="7" t="s">
        <v>2892</v>
      </c>
      <c r="H1027" s="7" t="s">
        <v>2893</v>
      </c>
      <c r="I1027" s="9">
        <v>45349</v>
      </c>
    </row>
    <row r="1028" spans="1:9" x14ac:dyDescent="0.15">
      <c r="A1028" s="6">
        <v>1027</v>
      </c>
      <c r="B1028" s="7" t="s">
        <v>10</v>
      </c>
      <c r="C1028" s="8">
        <v>1888</v>
      </c>
      <c r="D1028" s="9">
        <v>45432</v>
      </c>
      <c r="E1028" s="13" t="str">
        <f>+HYPERLINK("http://trademark.i-assist.jp/data/china/image_1888th/76976690.pdf","76976690")</f>
        <v>76976690</v>
      </c>
      <c r="F1028" s="7" t="s">
        <v>2894</v>
      </c>
      <c r="G1028" s="7" t="s">
        <v>2895</v>
      </c>
      <c r="H1028" s="7" t="s">
        <v>2896</v>
      </c>
      <c r="I1028" s="9">
        <v>45349</v>
      </c>
    </row>
    <row r="1029" spans="1:9" x14ac:dyDescent="0.15">
      <c r="A1029" s="6">
        <v>1028</v>
      </c>
      <c r="B1029" s="7" t="s">
        <v>10</v>
      </c>
      <c r="C1029" s="8">
        <v>1888</v>
      </c>
      <c r="D1029" s="9">
        <v>45432</v>
      </c>
      <c r="E1029" s="13" t="str">
        <f>+HYPERLINK("http://trademark.i-assist.jp/data/china/image_1888th/76976698.pdf","76976698")</f>
        <v>76976698</v>
      </c>
      <c r="F1029" s="7" t="s">
        <v>2897</v>
      </c>
      <c r="G1029" s="7" t="s">
        <v>2895</v>
      </c>
      <c r="H1029" s="7" t="s">
        <v>2898</v>
      </c>
      <c r="I1029" s="9">
        <v>45349</v>
      </c>
    </row>
    <row r="1030" spans="1:9" x14ac:dyDescent="0.15">
      <c r="A1030" s="6">
        <v>1029</v>
      </c>
      <c r="B1030" s="7" t="s">
        <v>10</v>
      </c>
      <c r="C1030" s="8">
        <v>1888</v>
      </c>
      <c r="D1030" s="9">
        <v>45432</v>
      </c>
      <c r="E1030" s="13" t="str">
        <f>+HYPERLINK("http://trademark.i-assist.jp/data/china/image_1888th/76976735.pdf","76976735")</f>
        <v>76976735</v>
      </c>
      <c r="F1030" s="7" t="s">
        <v>2899</v>
      </c>
      <c r="G1030" s="7" t="s">
        <v>2900</v>
      </c>
      <c r="H1030" s="7" t="s">
        <v>2901</v>
      </c>
      <c r="I1030" s="9">
        <v>45349</v>
      </c>
    </row>
    <row r="1031" spans="1:9" x14ac:dyDescent="0.15">
      <c r="A1031" s="6">
        <v>1030</v>
      </c>
      <c r="B1031" s="7" t="s">
        <v>10</v>
      </c>
      <c r="C1031" s="8">
        <v>1888</v>
      </c>
      <c r="D1031" s="9">
        <v>45432</v>
      </c>
      <c r="E1031" s="13" t="str">
        <f>+HYPERLINK("http://trademark.i-assist.jp/data/china/image_1888th/76976883.pdf","76976883")</f>
        <v>76976883</v>
      </c>
      <c r="F1031" s="7" t="s">
        <v>2902</v>
      </c>
      <c r="G1031" s="7" t="s">
        <v>2903</v>
      </c>
      <c r="H1031" s="7" t="s">
        <v>2904</v>
      </c>
      <c r="I1031" s="9">
        <v>45349</v>
      </c>
    </row>
    <row r="1032" spans="1:9" ht="27" x14ac:dyDescent="0.15">
      <c r="A1032" s="6">
        <v>1031</v>
      </c>
      <c r="B1032" s="7" t="s">
        <v>10</v>
      </c>
      <c r="C1032" s="8">
        <v>1888</v>
      </c>
      <c r="D1032" s="9">
        <v>45432</v>
      </c>
      <c r="E1032" s="13" t="str">
        <f>+HYPERLINK("http://trademark.i-assist.jp/data/china/image_1888th/76976907.pdf","76976907")</f>
        <v>76976907</v>
      </c>
      <c r="F1032" s="7" t="s">
        <v>2905</v>
      </c>
      <c r="G1032" s="7" t="s">
        <v>2838</v>
      </c>
      <c r="H1032" s="7" t="s">
        <v>2906</v>
      </c>
      <c r="I1032" s="9">
        <v>45349</v>
      </c>
    </row>
    <row r="1033" spans="1:9" x14ac:dyDescent="0.15">
      <c r="A1033" s="6">
        <v>1032</v>
      </c>
      <c r="B1033" s="7" t="s">
        <v>10</v>
      </c>
      <c r="C1033" s="8">
        <v>1888</v>
      </c>
      <c r="D1033" s="9">
        <v>45432</v>
      </c>
      <c r="E1033" s="13" t="str">
        <f>+HYPERLINK("http://trademark.i-assist.jp/data/china/image_1888th/76976920.pdf","76976920")</f>
        <v>76976920</v>
      </c>
      <c r="F1033" s="7" t="s">
        <v>2907</v>
      </c>
      <c r="G1033" s="7" t="s">
        <v>2908</v>
      </c>
      <c r="H1033" s="7" t="s">
        <v>2909</v>
      </c>
      <c r="I1033" s="9">
        <v>45349</v>
      </c>
    </row>
    <row r="1034" spans="1:9" ht="27" x14ac:dyDescent="0.15">
      <c r="A1034" s="6">
        <v>1033</v>
      </c>
      <c r="B1034" s="7" t="s">
        <v>10</v>
      </c>
      <c r="C1034" s="8">
        <v>1888</v>
      </c>
      <c r="D1034" s="9">
        <v>45432</v>
      </c>
      <c r="E1034" s="13" t="str">
        <f>+HYPERLINK("http://trademark.i-assist.jp/data/china/image_1888th/76977607.pdf","76977607")</f>
        <v>76977607</v>
      </c>
      <c r="F1034" s="7" t="s">
        <v>2910</v>
      </c>
      <c r="G1034" s="7" t="s">
        <v>2911</v>
      </c>
      <c r="H1034" s="7" t="s">
        <v>2912</v>
      </c>
      <c r="I1034" s="9">
        <v>45349</v>
      </c>
    </row>
    <row r="1035" spans="1:9" ht="27" x14ac:dyDescent="0.15">
      <c r="A1035" s="6">
        <v>1034</v>
      </c>
      <c r="B1035" s="7" t="s">
        <v>10</v>
      </c>
      <c r="C1035" s="8">
        <v>1888</v>
      </c>
      <c r="D1035" s="9">
        <v>45432</v>
      </c>
      <c r="E1035" s="13" t="str">
        <f>+HYPERLINK("http://trademark.i-assist.jp/data/china/image_1888th/76977634.pdf","76977634")</f>
        <v>76977634</v>
      </c>
      <c r="F1035" s="7" t="s">
        <v>2913</v>
      </c>
      <c r="G1035" s="7" t="s">
        <v>2914</v>
      </c>
      <c r="H1035" s="7" t="s">
        <v>2915</v>
      </c>
      <c r="I1035" s="9">
        <v>45349</v>
      </c>
    </row>
    <row r="1036" spans="1:9" x14ac:dyDescent="0.15">
      <c r="A1036" s="6">
        <v>1035</v>
      </c>
      <c r="B1036" s="7" t="s">
        <v>10</v>
      </c>
      <c r="C1036" s="8">
        <v>1888</v>
      </c>
      <c r="D1036" s="9">
        <v>45432</v>
      </c>
      <c r="E1036" s="13" t="str">
        <f>+HYPERLINK("http://trademark.i-assist.jp/data/china/image_1888th/76977717.pdf","76977717")</f>
        <v>76977717</v>
      </c>
      <c r="F1036" s="7" t="s">
        <v>2916</v>
      </c>
      <c r="G1036" s="7" t="s">
        <v>2917</v>
      </c>
      <c r="H1036" s="7" t="s">
        <v>2918</v>
      </c>
      <c r="I1036" s="9">
        <v>45349</v>
      </c>
    </row>
    <row r="1037" spans="1:9" ht="27" x14ac:dyDescent="0.15">
      <c r="A1037" s="6">
        <v>1036</v>
      </c>
      <c r="B1037" s="7" t="s">
        <v>10</v>
      </c>
      <c r="C1037" s="8">
        <v>1888</v>
      </c>
      <c r="D1037" s="9">
        <v>45432</v>
      </c>
      <c r="E1037" s="13" t="str">
        <f>+HYPERLINK("http://trademark.i-assist.jp/data/china/image_1888th/76977773.pdf","76977773")</f>
        <v>76977773</v>
      </c>
      <c r="F1037" s="7" t="s">
        <v>2919</v>
      </c>
      <c r="G1037" s="7" t="s">
        <v>2920</v>
      </c>
      <c r="H1037" s="7" t="s">
        <v>2921</v>
      </c>
      <c r="I1037" s="9">
        <v>45349</v>
      </c>
    </row>
    <row r="1038" spans="1:9" x14ac:dyDescent="0.15">
      <c r="A1038" s="6">
        <v>1037</v>
      </c>
      <c r="B1038" s="7" t="s">
        <v>10</v>
      </c>
      <c r="C1038" s="8">
        <v>1888</v>
      </c>
      <c r="D1038" s="9">
        <v>45432</v>
      </c>
      <c r="E1038" s="13" t="str">
        <f>+HYPERLINK("http://trademark.i-assist.jp/data/china/image_1888th/76977889.pdf","76977889")</f>
        <v>76977889</v>
      </c>
      <c r="F1038" s="7" t="s">
        <v>2922</v>
      </c>
      <c r="G1038" s="7" t="s">
        <v>2923</v>
      </c>
      <c r="H1038" s="7" t="s">
        <v>2924</v>
      </c>
      <c r="I1038" s="9">
        <v>45349</v>
      </c>
    </row>
    <row r="1039" spans="1:9" x14ac:dyDescent="0.15">
      <c r="A1039" s="6">
        <v>1038</v>
      </c>
      <c r="B1039" s="7" t="s">
        <v>10</v>
      </c>
      <c r="C1039" s="8">
        <v>1888</v>
      </c>
      <c r="D1039" s="9">
        <v>45432</v>
      </c>
      <c r="E1039" s="13" t="str">
        <f>+HYPERLINK("http://trademark.i-assist.jp/data/china/image_1888th/76978474.pdf","76978474")</f>
        <v>76978474</v>
      </c>
      <c r="F1039" s="7" t="s">
        <v>2925</v>
      </c>
      <c r="G1039" s="7" t="s">
        <v>1981</v>
      </c>
      <c r="H1039" s="7" t="s">
        <v>2926</v>
      </c>
      <c r="I1039" s="9">
        <v>45349</v>
      </c>
    </row>
    <row r="1040" spans="1:9" x14ac:dyDescent="0.15">
      <c r="A1040" s="6">
        <v>1039</v>
      </c>
      <c r="B1040" s="7" t="s">
        <v>10</v>
      </c>
      <c r="C1040" s="8">
        <v>1888</v>
      </c>
      <c r="D1040" s="9">
        <v>45432</v>
      </c>
      <c r="E1040" s="13" t="str">
        <f>+HYPERLINK("http://trademark.i-assist.jp/data/china/image_1888th/76978532.pdf","76978532")</f>
        <v>76978532</v>
      </c>
      <c r="F1040" s="7" t="s">
        <v>2927</v>
      </c>
      <c r="G1040" s="7" t="s">
        <v>2846</v>
      </c>
      <c r="H1040" s="7" t="s">
        <v>2928</v>
      </c>
      <c r="I1040" s="9">
        <v>45349</v>
      </c>
    </row>
    <row r="1041" spans="1:9" x14ac:dyDescent="0.15">
      <c r="A1041" s="6">
        <v>1040</v>
      </c>
      <c r="B1041" s="7" t="s">
        <v>10</v>
      </c>
      <c r="C1041" s="8">
        <v>1888</v>
      </c>
      <c r="D1041" s="9">
        <v>45432</v>
      </c>
      <c r="E1041" s="13" t="str">
        <f>+HYPERLINK("http://trademark.i-assist.jp/data/china/image_1888th/76978534.pdf","76978534")</f>
        <v>76978534</v>
      </c>
      <c r="F1041" s="7" t="s">
        <v>2929</v>
      </c>
      <c r="G1041" s="7" t="s">
        <v>1468</v>
      </c>
      <c r="H1041" s="7" t="s">
        <v>2930</v>
      </c>
      <c r="I1041" s="9">
        <v>45349</v>
      </c>
    </row>
    <row r="1042" spans="1:9" x14ac:dyDescent="0.15">
      <c r="A1042" s="6">
        <v>1041</v>
      </c>
      <c r="B1042" s="7" t="s">
        <v>10</v>
      </c>
      <c r="C1042" s="8">
        <v>1888</v>
      </c>
      <c r="D1042" s="9">
        <v>45432</v>
      </c>
      <c r="E1042" s="13" t="str">
        <f>+HYPERLINK("http://trademark.i-assist.jp/data/china/image_1888th/76979146.pdf","76979146")</f>
        <v>76979146</v>
      </c>
      <c r="F1042" s="7" t="s">
        <v>2931</v>
      </c>
      <c r="G1042" s="7" t="s">
        <v>2932</v>
      </c>
      <c r="H1042" s="7" t="s">
        <v>2933</v>
      </c>
      <c r="I1042" s="9">
        <v>45349</v>
      </c>
    </row>
    <row r="1043" spans="1:9" x14ac:dyDescent="0.15">
      <c r="A1043" s="6">
        <v>1042</v>
      </c>
      <c r="B1043" s="7" t="s">
        <v>10</v>
      </c>
      <c r="C1043" s="8">
        <v>1888</v>
      </c>
      <c r="D1043" s="9">
        <v>45432</v>
      </c>
      <c r="E1043" s="13" t="str">
        <f>+HYPERLINK("http://trademark.i-assist.jp/data/china/image_1888th/76979209.pdf","76979209")</f>
        <v>76979209</v>
      </c>
      <c r="F1043" s="7" t="s">
        <v>2934</v>
      </c>
      <c r="G1043" s="7" t="s">
        <v>2935</v>
      </c>
      <c r="H1043" s="7" t="s">
        <v>2936</v>
      </c>
      <c r="I1043" s="9">
        <v>45349</v>
      </c>
    </row>
    <row r="1044" spans="1:9" x14ac:dyDescent="0.15">
      <c r="A1044" s="6">
        <v>1043</v>
      </c>
      <c r="B1044" s="7" t="s">
        <v>10</v>
      </c>
      <c r="C1044" s="8">
        <v>1888</v>
      </c>
      <c r="D1044" s="9">
        <v>45432</v>
      </c>
      <c r="E1044" s="13" t="str">
        <f>+HYPERLINK("http://trademark.i-assist.jp/data/china/image_1888th/76979580.pdf","76979580")</f>
        <v>76979580</v>
      </c>
      <c r="F1044" s="7" t="s">
        <v>76</v>
      </c>
      <c r="G1044" s="7" t="s">
        <v>2892</v>
      </c>
      <c r="H1044" s="7" t="s">
        <v>2937</v>
      </c>
      <c r="I1044" s="9">
        <v>45349</v>
      </c>
    </row>
    <row r="1045" spans="1:9" x14ac:dyDescent="0.15">
      <c r="A1045" s="6">
        <v>1044</v>
      </c>
      <c r="B1045" s="7" t="s">
        <v>10</v>
      </c>
      <c r="C1045" s="8">
        <v>1888</v>
      </c>
      <c r="D1045" s="9">
        <v>45432</v>
      </c>
      <c r="E1045" s="13" t="str">
        <f>+HYPERLINK("http://trademark.i-assist.jp/data/china/image_1888th/76979671.pdf","76979671")</f>
        <v>76979671</v>
      </c>
      <c r="F1045" s="7" t="s">
        <v>2938</v>
      </c>
      <c r="G1045" s="7" t="s">
        <v>2939</v>
      </c>
      <c r="H1045" s="7" t="s">
        <v>2940</v>
      </c>
      <c r="I1045" s="9">
        <v>45349</v>
      </c>
    </row>
    <row r="1046" spans="1:9" x14ac:dyDescent="0.15">
      <c r="A1046" s="6">
        <v>1045</v>
      </c>
      <c r="B1046" s="7" t="s">
        <v>10</v>
      </c>
      <c r="C1046" s="8">
        <v>1888</v>
      </c>
      <c r="D1046" s="9">
        <v>45432</v>
      </c>
      <c r="E1046" s="13" t="str">
        <f>+HYPERLINK("http://trademark.i-assist.jp/data/china/image_1888th/76979855.pdf","76979855")</f>
        <v>76979855</v>
      </c>
      <c r="F1046" s="7" t="s">
        <v>2941</v>
      </c>
      <c r="G1046" s="7" t="s">
        <v>2942</v>
      </c>
      <c r="H1046" s="7" t="s">
        <v>2943</v>
      </c>
      <c r="I1046" s="9">
        <v>45349</v>
      </c>
    </row>
    <row r="1047" spans="1:9" x14ac:dyDescent="0.15">
      <c r="A1047" s="6">
        <v>1046</v>
      </c>
      <c r="B1047" s="7" t="s">
        <v>10</v>
      </c>
      <c r="C1047" s="8">
        <v>1888</v>
      </c>
      <c r="D1047" s="9">
        <v>45432</v>
      </c>
      <c r="E1047" s="13" t="str">
        <f>+HYPERLINK("http://trademark.i-assist.jp/data/china/image_1888th/76979896.pdf","76979896")</f>
        <v>76979896</v>
      </c>
      <c r="F1047" s="7" t="s">
        <v>2944</v>
      </c>
      <c r="G1047" s="7" t="s">
        <v>2945</v>
      </c>
      <c r="H1047" s="7" t="s">
        <v>2946</v>
      </c>
      <c r="I1047" s="9">
        <v>45349</v>
      </c>
    </row>
    <row r="1048" spans="1:9" x14ac:dyDescent="0.15">
      <c r="A1048" s="6">
        <v>1047</v>
      </c>
      <c r="B1048" s="7" t="s">
        <v>10</v>
      </c>
      <c r="C1048" s="8">
        <v>1888</v>
      </c>
      <c r="D1048" s="9">
        <v>45432</v>
      </c>
      <c r="E1048" s="13" t="str">
        <f>+HYPERLINK("http://trademark.i-assist.jp/data/china/image_1888th/76979915.pdf","76979915")</f>
        <v>76979915</v>
      </c>
      <c r="F1048" s="7" t="s">
        <v>2947</v>
      </c>
      <c r="G1048" s="7" t="s">
        <v>2948</v>
      </c>
      <c r="H1048" s="7" t="s">
        <v>2949</v>
      </c>
      <c r="I1048" s="9">
        <v>45349</v>
      </c>
    </row>
    <row r="1049" spans="1:9" x14ac:dyDescent="0.15">
      <c r="A1049" s="6">
        <v>1048</v>
      </c>
      <c r="B1049" s="7" t="s">
        <v>10</v>
      </c>
      <c r="C1049" s="8">
        <v>1888</v>
      </c>
      <c r="D1049" s="9">
        <v>45432</v>
      </c>
      <c r="E1049" s="13" t="str">
        <f>+HYPERLINK("http://trademark.i-assist.jp/data/china/image_1888th/76980239.pdf","76980239")</f>
        <v>76980239</v>
      </c>
      <c r="F1049" s="7" t="s">
        <v>2950</v>
      </c>
      <c r="G1049" s="7" t="s">
        <v>2951</v>
      </c>
      <c r="H1049" s="7" t="s">
        <v>2952</v>
      </c>
      <c r="I1049" s="9">
        <v>45349</v>
      </c>
    </row>
    <row r="1050" spans="1:9" x14ac:dyDescent="0.15">
      <c r="A1050" s="6">
        <v>1049</v>
      </c>
      <c r="B1050" s="7" t="s">
        <v>10</v>
      </c>
      <c r="C1050" s="8">
        <v>1888</v>
      </c>
      <c r="D1050" s="9">
        <v>45432</v>
      </c>
      <c r="E1050" s="13" t="str">
        <f>+HYPERLINK("http://trademark.i-assist.jp/data/china/image_1888th/76980391.pdf","76980391")</f>
        <v>76980391</v>
      </c>
      <c r="F1050" s="7" t="s">
        <v>2953</v>
      </c>
      <c r="G1050" s="7" t="s">
        <v>2954</v>
      </c>
      <c r="H1050" s="7" t="s">
        <v>2955</v>
      </c>
      <c r="I1050" s="9">
        <v>45349</v>
      </c>
    </row>
    <row r="1051" spans="1:9" x14ac:dyDescent="0.15">
      <c r="A1051" s="6">
        <v>1050</v>
      </c>
      <c r="B1051" s="7" t="s">
        <v>10</v>
      </c>
      <c r="C1051" s="8">
        <v>1888</v>
      </c>
      <c r="D1051" s="9">
        <v>45432</v>
      </c>
      <c r="E1051" s="13" t="str">
        <f>+HYPERLINK("http://trademark.i-assist.jp/data/china/image_1888th/76980821.pdf","76980821")</f>
        <v>76980821</v>
      </c>
      <c r="F1051" s="7" t="s">
        <v>2956</v>
      </c>
      <c r="G1051" s="7" t="s">
        <v>2957</v>
      </c>
      <c r="H1051" s="7" t="s">
        <v>2958</v>
      </c>
      <c r="I1051" s="9">
        <v>45349</v>
      </c>
    </row>
    <row r="1052" spans="1:9" x14ac:dyDescent="0.15">
      <c r="A1052" s="6">
        <v>1051</v>
      </c>
      <c r="B1052" s="7" t="s">
        <v>10</v>
      </c>
      <c r="C1052" s="8">
        <v>1888</v>
      </c>
      <c r="D1052" s="9">
        <v>45432</v>
      </c>
      <c r="E1052" s="13" t="str">
        <f>+HYPERLINK("http://trademark.i-assist.jp/data/china/image_1888th/76980970.pdf","76980970")</f>
        <v>76980970</v>
      </c>
      <c r="F1052" s="7" t="s">
        <v>2959</v>
      </c>
      <c r="G1052" s="7" t="s">
        <v>2923</v>
      </c>
      <c r="H1052" s="7" t="s">
        <v>2960</v>
      </c>
      <c r="I1052" s="9">
        <v>45349</v>
      </c>
    </row>
    <row r="1053" spans="1:9" x14ac:dyDescent="0.15">
      <c r="A1053" s="6">
        <v>1052</v>
      </c>
      <c r="B1053" s="7" t="s">
        <v>10</v>
      </c>
      <c r="C1053" s="8">
        <v>1888</v>
      </c>
      <c r="D1053" s="9">
        <v>45432</v>
      </c>
      <c r="E1053" s="13" t="str">
        <f>+HYPERLINK("http://trademark.i-assist.jp/data/china/image_1888th/76981002.pdf","76981002")</f>
        <v>76981002</v>
      </c>
      <c r="F1053" s="7" t="s">
        <v>2961</v>
      </c>
      <c r="G1053" s="7" t="s">
        <v>2962</v>
      </c>
      <c r="H1053" s="7" t="s">
        <v>2963</v>
      </c>
      <c r="I1053" s="9">
        <v>45349</v>
      </c>
    </row>
    <row r="1054" spans="1:9" ht="27" x14ac:dyDescent="0.15">
      <c r="A1054" s="6">
        <v>1053</v>
      </c>
      <c r="B1054" s="7" t="s">
        <v>10</v>
      </c>
      <c r="C1054" s="8">
        <v>1888</v>
      </c>
      <c r="D1054" s="9">
        <v>45432</v>
      </c>
      <c r="E1054" s="13" t="str">
        <f>+HYPERLINK("http://trademark.i-assist.jp/data/china/image_1888th/76981010.pdf","76981010")</f>
        <v>76981010</v>
      </c>
      <c r="F1054" s="7" t="s">
        <v>2964</v>
      </c>
      <c r="G1054" s="7" t="s">
        <v>2965</v>
      </c>
      <c r="H1054" s="7" t="s">
        <v>2966</v>
      </c>
      <c r="I1054" s="9">
        <v>45349</v>
      </c>
    </row>
    <row r="1055" spans="1:9" x14ac:dyDescent="0.15">
      <c r="A1055" s="6">
        <v>1054</v>
      </c>
      <c r="B1055" s="7" t="s">
        <v>10</v>
      </c>
      <c r="C1055" s="8">
        <v>1888</v>
      </c>
      <c r="D1055" s="9">
        <v>45432</v>
      </c>
      <c r="E1055" s="13" t="str">
        <f>+HYPERLINK("http://trademark.i-assist.jp/data/china/image_1888th/76981052.pdf","76981052")</f>
        <v>76981052</v>
      </c>
      <c r="F1055" s="7" t="s">
        <v>2967</v>
      </c>
      <c r="G1055" s="7" t="s">
        <v>2917</v>
      </c>
      <c r="H1055" s="7" t="s">
        <v>2968</v>
      </c>
      <c r="I1055" s="9">
        <v>45349</v>
      </c>
    </row>
    <row r="1056" spans="1:9" ht="27" x14ac:dyDescent="0.15">
      <c r="A1056" s="6">
        <v>1055</v>
      </c>
      <c r="B1056" s="7" t="s">
        <v>10</v>
      </c>
      <c r="C1056" s="8">
        <v>1888</v>
      </c>
      <c r="D1056" s="9">
        <v>45432</v>
      </c>
      <c r="E1056" s="13" t="str">
        <f>+HYPERLINK("http://trademark.i-assist.jp/data/china/image_1888th/76981096.pdf","76981096")</f>
        <v>76981096</v>
      </c>
      <c r="F1056" s="7" t="s">
        <v>2969</v>
      </c>
      <c r="G1056" s="7" t="s">
        <v>2849</v>
      </c>
      <c r="H1056" s="7" t="s">
        <v>2970</v>
      </c>
      <c r="I1056" s="9">
        <v>45349</v>
      </c>
    </row>
    <row r="1057" spans="1:9" x14ac:dyDescent="0.15">
      <c r="A1057" s="6">
        <v>1056</v>
      </c>
      <c r="B1057" s="7" t="s">
        <v>10</v>
      </c>
      <c r="C1057" s="8">
        <v>1888</v>
      </c>
      <c r="D1057" s="9">
        <v>45432</v>
      </c>
      <c r="E1057" s="13" t="str">
        <f>+HYPERLINK("http://trademark.i-assist.jp/data/china/image_1888th/76981205.pdf","76981205")</f>
        <v>76981205</v>
      </c>
      <c r="F1057" s="7" t="s">
        <v>2971</v>
      </c>
      <c r="G1057" s="7" t="s">
        <v>2972</v>
      </c>
      <c r="H1057" s="7" t="s">
        <v>2973</v>
      </c>
      <c r="I1057" s="9">
        <v>45349</v>
      </c>
    </row>
    <row r="1058" spans="1:9" ht="27" x14ac:dyDescent="0.15">
      <c r="A1058" s="6">
        <v>1057</v>
      </c>
      <c r="B1058" s="7" t="s">
        <v>10</v>
      </c>
      <c r="C1058" s="8">
        <v>1888</v>
      </c>
      <c r="D1058" s="9">
        <v>45432</v>
      </c>
      <c r="E1058" s="13" t="str">
        <f>+HYPERLINK("http://trademark.i-assist.jp/data/china/image_1888th/76981596.pdf","76981596")</f>
        <v>76981596</v>
      </c>
      <c r="F1058" s="7" t="s">
        <v>2974</v>
      </c>
      <c r="G1058" s="7" t="s">
        <v>2975</v>
      </c>
      <c r="H1058" s="7" t="s">
        <v>2976</v>
      </c>
      <c r="I1058" s="9">
        <v>45349</v>
      </c>
    </row>
    <row r="1059" spans="1:9" x14ac:dyDescent="0.15">
      <c r="A1059" s="6">
        <v>1058</v>
      </c>
      <c r="B1059" s="7" t="s">
        <v>10</v>
      </c>
      <c r="C1059" s="8">
        <v>1888</v>
      </c>
      <c r="D1059" s="9">
        <v>45432</v>
      </c>
      <c r="E1059" s="13" t="str">
        <f>+HYPERLINK("http://trademark.i-assist.jp/data/china/image_1888th/76981844.pdf","76981844")</f>
        <v>76981844</v>
      </c>
      <c r="F1059" s="7" t="s">
        <v>2977</v>
      </c>
      <c r="G1059" s="7" t="s">
        <v>2978</v>
      </c>
      <c r="H1059" s="7" t="s">
        <v>2979</v>
      </c>
      <c r="I1059" s="9">
        <v>45349</v>
      </c>
    </row>
    <row r="1060" spans="1:9" ht="27" x14ac:dyDescent="0.15">
      <c r="A1060" s="6">
        <v>1059</v>
      </c>
      <c r="B1060" s="7" t="s">
        <v>10</v>
      </c>
      <c r="C1060" s="8">
        <v>1888</v>
      </c>
      <c r="D1060" s="9">
        <v>45432</v>
      </c>
      <c r="E1060" s="13" t="str">
        <f>+HYPERLINK("http://trademark.i-assist.jp/data/china/image_1888th/76982275.pdf","76982275")</f>
        <v>76982275</v>
      </c>
      <c r="F1060" s="7" t="s">
        <v>2980</v>
      </c>
      <c r="G1060" s="7" t="s">
        <v>2981</v>
      </c>
      <c r="H1060" s="7" t="s">
        <v>2982</v>
      </c>
      <c r="I1060" s="9">
        <v>45349</v>
      </c>
    </row>
    <row r="1061" spans="1:9" x14ac:dyDescent="0.15">
      <c r="A1061" s="6">
        <v>1060</v>
      </c>
      <c r="B1061" s="7" t="s">
        <v>10</v>
      </c>
      <c r="C1061" s="8">
        <v>1888</v>
      </c>
      <c r="D1061" s="9">
        <v>45432</v>
      </c>
      <c r="E1061" s="13" t="str">
        <f>+HYPERLINK("http://trademark.i-assist.jp/data/china/image_1888th/76982711.pdf","76982711")</f>
        <v>76982711</v>
      </c>
      <c r="F1061" s="7" t="s">
        <v>2983</v>
      </c>
      <c r="G1061" s="7" t="s">
        <v>2984</v>
      </c>
      <c r="H1061" s="7" t="s">
        <v>2985</v>
      </c>
      <c r="I1061" s="9">
        <v>45349</v>
      </c>
    </row>
    <row r="1062" spans="1:9" x14ac:dyDescent="0.15">
      <c r="A1062" s="6">
        <v>1061</v>
      </c>
      <c r="B1062" s="7" t="s">
        <v>10</v>
      </c>
      <c r="C1062" s="8">
        <v>1888</v>
      </c>
      <c r="D1062" s="9">
        <v>45432</v>
      </c>
      <c r="E1062" s="13" t="str">
        <f>+HYPERLINK("http://trademark.i-assist.jp/data/china/image_1888th/76982854.pdf","76982854")</f>
        <v>76982854</v>
      </c>
      <c r="F1062" s="7" t="s">
        <v>2986</v>
      </c>
      <c r="G1062" s="7" t="s">
        <v>2957</v>
      </c>
      <c r="H1062" s="7" t="s">
        <v>2987</v>
      </c>
      <c r="I1062" s="9">
        <v>45349</v>
      </c>
    </row>
    <row r="1063" spans="1:9" x14ac:dyDescent="0.15">
      <c r="A1063" s="6">
        <v>1062</v>
      </c>
      <c r="B1063" s="7" t="s">
        <v>10</v>
      </c>
      <c r="C1063" s="8">
        <v>1888</v>
      </c>
      <c r="D1063" s="9">
        <v>45432</v>
      </c>
      <c r="E1063" s="13" t="str">
        <f>+HYPERLINK("http://trademark.i-assist.jp/data/china/image_1888th/76983961.pdf","76983961")</f>
        <v>76983961</v>
      </c>
      <c r="F1063" s="7" t="s">
        <v>2988</v>
      </c>
      <c r="G1063" s="7" t="s">
        <v>2989</v>
      </c>
      <c r="H1063" s="7" t="s">
        <v>2990</v>
      </c>
      <c r="I1063" s="9">
        <v>45349</v>
      </c>
    </row>
    <row r="1064" spans="1:9" ht="27" x14ac:dyDescent="0.15">
      <c r="A1064" s="6">
        <v>1063</v>
      </c>
      <c r="B1064" s="7" t="s">
        <v>10</v>
      </c>
      <c r="C1064" s="8">
        <v>1888</v>
      </c>
      <c r="D1064" s="9">
        <v>45432</v>
      </c>
      <c r="E1064" s="13" t="str">
        <f>+HYPERLINK("http://trademark.i-assist.jp/data/china/image_1888th/76984026.pdf","76984026")</f>
        <v>76984026</v>
      </c>
      <c r="F1064" s="7" t="s">
        <v>2991</v>
      </c>
      <c r="G1064" s="7" t="s">
        <v>2852</v>
      </c>
      <c r="H1064" s="7" t="s">
        <v>2992</v>
      </c>
      <c r="I1064" s="9">
        <v>45349</v>
      </c>
    </row>
    <row r="1065" spans="1:9" ht="27" x14ac:dyDescent="0.15">
      <c r="A1065" s="6">
        <v>1064</v>
      </c>
      <c r="B1065" s="7" t="s">
        <v>10</v>
      </c>
      <c r="C1065" s="8">
        <v>1888</v>
      </c>
      <c r="D1065" s="9">
        <v>45432</v>
      </c>
      <c r="E1065" s="13" t="str">
        <f>+HYPERLINK("http://trademark.i-assist.jp/data/china/image_1888th/76984055.pdf","76984055")</f>
        <v>76984055</v>
      </c>
      <c r="F1065" s="7" t="s">
        <v>2993</v>
      </c>
      <c r="G1065" s="7" t="s">
        <v>2981</v>
      </c>
      <c r="H1065" s="7" t="s">
        <v>2994</v>
      </c>
      <c r="I1065" s="9">
        <v>45349</v>
      </c>
    </row>
    <row r="1066" spans="1:9" ht="27" x14ac:dyDescent="0.15">
      <c r="A1066" s="6">
        <v>1065</v>
      </c>
      <c r="B1066" s="7" t="s">
        <v>10</v>
      </c>
      <c r="C1066" s="8">
        <v>1888</v>
      </c>
      <c r="D1066" s="9">
        <v>45432</v>
      </c>
      <c r="E1066" s="13" t="str">
        <f>+HYPERLINK("http://trademark.i-assist.jp/data/china/image_1888th/76984129.pdf","76984129")</f>
        <v>76984129</v>
      </c>
      <c r="F1066" s="7" t="s">
        <v>2995</v>
      </c>
      <c r="G1066" s="7" t="s">
        <v>2838</v>
      </c>
      <c r="H1066" s="7" t="s">
        <v>2996</v>
      </c>
      <c r="I1066" s="9">
        <v>45349</v>
      </c>
    </row>
    <row r="1067" spans="1:9" ht="27" x14ac:dyDescent="0.15">
      <c r="A1067" s="6">
        <v>1066</v>
      </c>
      <c r="B1067" s="7" t="s">
        <v>10</v>
      </c>
      <c r="C1067" s="8">
        <v>1888</v>
      </c>
      <c r="D1067" s="9">
        <v>45432</v>
      </c>
      <c r="E1067" s="13" t="str">
        <f>+HYPERLINK("http://trademark.i-assist.jp/data/china/image_1888th/76984205.pdf","76984205")</f>
        <v>76984205</v>
      </c>
      <c r="F1067" s="7" t="s">
        <v>2997</v>
      </c>
      <c r="G1067" s="7" t="s">
        <v>2998</v>
      </c>
      <c r="H1067" s="7" t="s">
        <v>2999</v>
      </c>
      <c r="I1067" s="9">
        <v>45349</v>
      </c>
    </row>
    <row r="1068" spans="1:9" x14ac:dyDescent="0.15">
      <c r="A1068" s="6">
        <v>1067</v>
      </c>
      <c r="B1068" s="7" t="s">
        <v>10</v>
      </c>
      <c r="C1068" s="8">
        <v>1888</v>
      </c>
      <c r="D1068" s="9">
        <v>45432</v>
      </c>
      <c r="E1068" s="13" t="str">
        <f>+HYPERLINK("http://trademark.i-assist.jp/data/china/image_1888th/76984381.pdf","76984381")</f>
        <v>76984381</v>
      </c>
      <c r="F1068" s="7" t="s">
        <v>3000</v>
      </c>
      <c r="G1068" s="7" t="s">
        <v>3001</v>
      </c>
      <c r="H1068" s="7" t="s">
        <v>3002</v>
      </c>
      <c r="I1068" s="9">
        <v>45349</v>
      </c>
    </row>
    <row r="1069" spans="1:9" x14ac:dyDescent="0.15">
      <c r="A1069" s="6">
        <v>1068</v>
      </c>
      <c r="B1069" s="7" t="s">
        <v>10</v>
      </c>
      <c r="C1069" s="8">
        <v>1888</v>
      </c>
      <c r="D1069" s="9">
        <v>45432</v>
      </c>
      <c r="E1069" s="13" t="str">
        <f>+HYPERLINK("http://trademark.i-assist.jp/data/china/image_1888th/76984459.pdf","76984459")</f>
        <v>76984459</v>
      </c>
      <c r="F1069" s="7" t="s">
        <v>3003</v>
      </c>
      <c r="G1069" s="7" t="s">
        <v>3004</v>
      </c>
      <c r="H1069" s="7" t="s">
        <v>3005</v>
      </c>
      <c r="I1069" s="9">
        <v>45349</v>
      </c>
    </row>
    <row r="1070" spans="1:9" x14ac:dyDescent="0.15">
      <c r="A1070" s="6">
        <v>1069</v>
      </c>
      <c r="B1070" s="7" t="s">
        <v>10</v>
      </c>
      <c r="C1070" s="8">
        <v>1888</v>
      </c>
      <c r="D1070" s="9">
        <v>45432</v>
      </c>
      <c r="E1070" s="13" t="str">
        <f>+HYPERLINK("http://trademark.i-assist.jp/data/china/image_1888th/76984462.pdf","76984462")</f>
        <v>76984462</v>
      </c>
      <c r="F1070" s="7" t="s">
        <v>3006</v>
      </c>
      <c r="G1070" s="7" t="s">
        <v>253</v>
      </c>
      <c r="H1070" s="7" t="s">
        <v>3007</v>
      </c>
      <c r="I1070" s="9">
        <v>45349</v>
      </c>
    </row>
    <row r="1071" spans="1:9" x14ac:dyDescent="0.15">
      <c r="A1071" s="6">
        <v>1070</v>
      </c>
      <c r="B1071" s="7" t="s">
        <v>10</v>
      </c>
      <c r="C1071" s="8">
        <v>1888</v>
      </c>
      <c r="D1071" s="9">
        <v>45432</v>
      </c>
      <c r="E1071" s="13" t="str">
        <f>+HYPERLINK("http://trademark.i-assist.jp/data/china/image_1888th/76984765.pdf","76984765")</f>
        <v>76984765</v>
      </c>
      <c r="F1071" s="7" t="s">
        <v>3008</v>
      </c>
      <c r="G1071" s="7" t="s">
        <v>3009</v>
      </c>
      <c r="H1071" s="7" t="s">
        <v>3010</v>
      </c>
      <c r="I1071" s="9">
        <v>45349</v>
      </c>
    </row>
    <row r="1072" spans="1:9" x14ac:dyDescent="0.15">
      <c r="A1072" s="6">
        <v>1071</v>
      </c>
      <c r="B1072" s="7" t="s">
        <v>10</v>
      </c>
      <c r="C1072" s="8">
        <v>1888</v>
      </c>
      <c r="D1072" s="9">
        <v>45432</v>
      </c>
      <c r="E1072" s="13" t="str">
        <f>+HYPERLINK("http://trademark.i-assist.jp/data/china/image_1888th/76984902.pdf","76984902")</f>
        <v>76984902</v>
      </c>
      <c r="F1072" s="7" t="s">
        <v>3011</v>
      </c>
      <c r="G1072" s="7" t="s">
        <v>3012</v>
      </c>
      <c r="H1072" s="7" t="s">
        <v>3013</v>
      </c>
      <c r="I1072" s="9">
        <v>45349</v>
      </c>
    </row>
    <row r="1073" spans="1:9" x14ac:dyDescent="0.15">
      <c r="A1073" s="6">
        <v>1072</v>
      </c>
      <c r="B1073" s="7" t="s">
        <v>10</v>
      </c>
      <c r="C1073" s="8">
        <v>1888</v>
      </c>
      <c r="D1073" s="9">
        <v>45432</v>
      </c>
      <c r="E1073" s="13" t="str">
        <f>+HYPERLINK("http://trademark.i-assist.jp/data/china/image_1888th/76985062.pdf","76985062")</f>
        <v>76985062</v>
      </c>
      <c r="F1073" s="7" t="s">
        <v>3014</v>
      </c>
      <c r="G1073" s="7" t="s">
        <v>3015</v>
      </c>
      <c r="H1073" s="7" t="s">
        <v>3016</v>
      </c>
      <c r="I1073" s="9">
        <v>45349</v>
      </c>
    </row>
    <row r="1074" spans="1:9" x14ac:dyDescent="0.15">
      <c r="A1074" s="6">
        <v>1073</v>
      </c>
      <c r="B1074" s="7" t="s">
        <v>10</v>
      </c>
      <c r="C1074" s="8">
        <v>1888</v>
      </c>
      <c r="D1074" s="9">
        <v>45432</v>
      </c>
      <c r="E1074" s="13" t="str">
        <f>+HYPERLINK("http://trademark.i-assist.jp/data/china/image_1888th/76985500.pdf","76985500")</f>
        <v>76985500</v>
      </c>
      <c r="F1074" s="7" t="s">
        <v>3017</v>
      </c>
      <c r="G1074" s="7" t="s">
        <v>3018</v>
      </c>
      <c r="H1074" s="7" t="s">
        <v>3019</v>
      </c>
      <c r="I1074" s="9">
        <v>45349</v>
      </c>
    </row>
    <row r="1075" spans="1:9" x14ac:dyDescent="0.15">
      <c r="A1075" s="6">
        <v>1074</v>
      </c>
      <c r="B1075" s="7" t="s">
        <v>10</v>
      </c>
      <c r="C1075" s="8">
        <v>1888</v>
      </c>
      <c r="D1075" s="9">
        <v>45432</v>
      </c>
      <c r="E1075" s="13" t="str">
        <f>+HYPERLINK("http://trademark.i-assist.jp/data/china/image_1888th/76985506.pdf","76985506")</f>
        <v>76985506</v>
      </c>
      <c r="F1075" s="7" t="s">
        <v>3020</v>
      </c>
      <c r="G1075" s="7" t="s">
        <v>3021</v>
      </c>
      <c r="H1075" s="7" t="s">
        <v>3022</v>
      </c>
      <c r="I1075" s="9">
        <v>45349</v>
      </c>
    </row>
    <row r="1076" spans="1:9" x14ac:dyDescent="0.15">
      <c r="A1076" s="6">
        <v>1075</v>
      </c>
      <c r="B1076" s="7" t="s">
        <v>10</v>
      </c>
      <c r="C1076" s="8">
        <v>1888</v>
      </c>
      <c r="D1076" s="9">
        <v>45432</v>
      </c>
      <c r="E1076" s="13" t="str">
        <f>+HYPERLINK("http://trademark.i-assist.jp/data/china/image_1888th/76985585.pdf","76985585")</f>
        <v>76985585</v>
      </c>
      <c r="F1076" s="7" t="s">
        <v>76</v>
      </c>
      <c r="G1076" s="7" t="s">
        <v>3023</v>
      </c>
      <c r="H1076" s="7" t="s">
        <v>3024</v>
      </c>
      <c r="I1076" s="9">
        <v>45349</v>
      </c>
    </row>
    <row r="1077" spans="1:9" ht="27" x14ac:dyDescent="0.15">
      <c r="A1077" s="6">
        <v>1076</v>
      </c>
      <c r="B1077" s="7" t="s">
        <v>10</v>
      </c>
      <c r="C1077" s="8">
        <v>1888</v>
      </c>
      <c r="D1077" s="9">
        <v>45432</v>
      </c>
      <c r="E1077" s="13" t="str">
        <f>+HYPERLINK("http://trademark.i-assist.jp/data/china/image_1888th/76985849.pdf","76985849")</f>
        <v>76985849</v>
      </c>
      <c r="F1077" s="7" t="s">
        <v>3025</v>
      </c>
      <c r="G1077" s="7" t="s">
        <v>2857</v>
      </c>
      <c r="H1077" s="7" t="s">
        <v>3026</v>
      </c>
      <c r="I1077" s="9">
        <v>45349</v>
      </c>
    </row>
    <row r="1078" spans="1:9" ht="27" x14ac:dyDescent="0.15">
      <c r="A1078" s="6">
        <v>1077</v>
      </c>
      <c r="B1078" s="7" t="s">
        <v>10</v>
      </c>
      <c r="C1078" s="8">
        <v>1888</v>
      </c>
      <c r="D1078" s="9">
        <v>45432</v>
      </c>
      <c r="E1078" s="13" t="str">
        <f>+HYPERLINK("http://trademark.i-assist.jp/data/china/image_1888th/76985975.pdf","76985975")</f>
        <v>76985975</v>
      </c>
      <c r="F1078" s="7" t="s">
        <v>3027</v>
      </c>
      <c r="G1078" s="7" t="s">
        <v>3028</v>
      </c>
      <c r="H1078" s="7" t="s">
        <v>3029</v>
      </c>
      <c r="I1078" s="9">
        <v>45349</v>
      </c>
    </row>
    <row r="1079" spans="1:9" x14ac:dyDescent="0.15">
      <c r="A1079" s="6">
        <v>1078</v>
      </c>
      <c r="B1079" s="7" t="s">
        <v>10</v>
      </c>
      <c r="C1079" s="8">
        <v>1888</v>
      </c>
      <c r="D1079" s="9">
        <v>45432</v>
      </c>
      <c r="E1079" s="13" t="str">
        <f>+HYPERLINK("http://trademark.i-assist.jp/data/china/image_1888th/76985988.pdf","76985988")</f>
        <v>76985988</v>
      </c>
      <c r="F1079" s="7" t="s">
        <v>3030</v>
      </c>
      <c r="G1079" s="7" t="s">
        <v>3031</v>
      </c>
      <c r="H1079" s="7" t="s">
        <v>3032</v>
      </c>
      <c r="I1079" s="9">
        <v>45349</v>
      </c>
    </row>
    <row r="1080" spans="1:9" x14ac:dyDescent="0.15">
      <c r="A1080" s="6">
        <v>1079</v>
      </c>
      <c r="B1080" s="7" t="s">
        <v>10</v>
      </c>
      <c r="C1080" s="8">
        <v>1888</v>
      </c>
      <c r="D1080" s="9">
        <v>45432</v>
      </c>
      <c r="E1080" s="13" t="str">
        <f>+HYPERLINK("http://trademark.i-assist.jp/data/china/image_1888th/76985996.pdf","76985996")</f>
        <v>76985996</v>
      </c>
      <c r="F1080" s="7" t="s">
        <v>3033</v>
      </c>
      <c r="G1080" s="7" t="s">
        <v>3034</v>
      </c>
      <c r="H1080" s="7" t="s">
        <v>3035</v>
      </c>
      <c r="I1080" s="9">
        <v>45349</v>
      </c>
    </row>
    <row r="1081" spans="1:9" x14ac:dyDescent="0.15">
      <c r="A1081" s="6">
        <v>1080</v>
      </c>
      <c r="B1081" s="7" t="s">
        <v>10</v>
      </c>
      <c r="C1081" s="8">
        <v>1888</v>
      </c>
      <c r="D1081" s="9">
        <v>45432</v>
      </c>
      <c r="E1081" s="13" t="str">
        <f>+HYPERLINK("http://trademark.i-assist.jp/data/china/image_1888th/76986043.pdf","76986043")</f>
        <v>76986043</v>
      </c>
      <c r="F1081" s="7" t="s">
        <v>3036</v>
      </c>
      <c r="G1081" s="7" t="s">
        <v>3037</v>
      </c>
      <c r="H1081" s="7" t="s">
        <v>3038</v>
      </c>
      <c r="I1081" s="9">
        <v>45349</v>
      </c>
    </row>
    <row r="1082" spans="1:9" ht="27" x14ac:dyDescent="0.15">
      <c r="A1082" s="6">
        <v>1081</v>
      </c>
      <c r="B1082" s="7" t="s">
        <v>10</v>
      </c>
      <c r="C1082" s="8">
        <v>1888</v>
      </c>
      <c r="D1082" s="9">
        <v>45432</v>
      </c>
      <c r="E1082" s="13" t="str">
        <f>+HYPERLINK("http://trademark.i-assist.jp/data/china/image_1888th/76986215.pdf","76986215")</f>
        <v>76986215</v>
      </c>
      <c r="F1082" s="7" t="s">
        <v>3039</v>
      </c>
      <c r="G1082" s="7" t="s">
        <v>3040</v>
      </c>
      <c r="H1082" s="7" t="s">
        <v>3041</v>
      </c>
      <c r="I1082" s="9">
        <v>45349</v>
      </c>
    </row>
    <row r="1083" spans="1:9" x14ac:dyDescent="0.15">
      <c r="A1083" s="6">
        <v>1082</v>
      </c>
      <c r="B1083" s="7" t="s">
        <v>10</v>
      </c>
      <c r="C1083" s="8">
        <v>1888</v>
      </c>
      <c r="D1083" s="9">
        <v>45432</v>
      </c>
      <c r="E1083" s="13" t="str">
        <f>+HYPERLINK("http://trademark.i-assist.jp/data/china/image_1888th/76986808.pdf","76986808")</f>
        <v>76986808</v>
      </c>
      <c r="F1083" s="7" t="s">
        <v>3042</v>
      </c>
      <c r="G1083" s="7" t="s">
        <v>2957</v>
      </c>
      <c r="H1083" s="7" t="s">
        <v>3043</v>
      </c>
      <c r="I1083" s="9">
        <v>45349</v>
      </c>
    </row>
    <row r="1084" spans="1:9" x14ac:dyDescent="0.15">
      <c r="A1084" s="6">
        <v>1083</v>
      </c>
      <c r="B1084" s="7" t="s">
        <v>10</v>
      </c>
      <c r="C1084" s="8">
        <v>1888</v>
      </c>
      <c r="D1084" s="9">
        <v>45432</v>
      </c>
      <c r="E1084" s="13" t="str">
        <f>+HYPERLINK("http://trademark.i-assist.jp/data/china/image_1888th/76986913.pdf","76986913")</f>
        <v>76986913</v>
      </c>
      <c r="F1084" s="7" t="s">
        <v>3044</v>
      </c>
      <c r="G1084" s="7" t="s">
        <v>3045</v>
      </c>
      <c r="H1084" s="7" t="s">
        <v>3046</v>
      </c>
      <c r="I1084" s="9">
        <v>45349</v>
      </c>
    </row>
    <row r="1085" spans="1:9" ht="27" x14ac:dyDescent="0.15">
      <c r="A1085" s="6">
        <v>1084</v>
      </c>
      <c r="B1085" s="7" t="s">
        <v>10</v>
      </c>
      <c r="C1085" s="8">
        <v>1888</v>
      </c>
      <c r="D1085" s="9">
        <v>45432</v>
      </c>
      <c r="E1085" s="13" t="str">
        <f>+HYPERLINK("http://trademark.i-assist.jp/data/china/image_1888th/76986922.pdf","76986922")</f>
        <v>76986922</v>
      </c>
      <c r="F1085" s="7" t="s">
        <v>3047</v>
      </c>
      <c r="G1085" s="7" t="s">
        <v>2034</v>
      </c>
      <c r="H1085" s="7" t="s">
        <v>3048</v>
      </c>
      <c r="I1085" s="9">
        <v>45349</v>
      </c>
    </row>
    <row r="1086" spans="1:9" ht="27" x14ac:dyDescent="0.15">
      <c r="A1086" s="6">
        <v>1085</v>
      </c>
      <c r="B1086" s="7" t="s">
        <v>10</v>
      </c>
      <c r="C1086" s="8">
        <v>1888</v>
      </c>
      <c r="D1086" s="9">
        <v>45432</v>
      </c>
      <c r="E1086" s="13" t="str">
        <f>+HYPERLINK("http://trademark.i-assist.jp/data/china/image_1888th/76987180.pdf","76987180")</f>
        <v>76987180</v>
      </c>
      <c r="F1086" s="7" t="s">
        <v>76</v>
      </c>
      <c r="G1086" s="7" t="s">
        <v>3049</v>
      </c>
      <c r="H1086" s="7" t="s">
        <v>3050</v>
      </c>
      <c r="I1086" s="9">
        <v>45349</v>
      </c>
    </row>
    <row r="1087" spans="1:9" x14ac:dyDescent="0.15">
      <c r="A1087" s="6">
        <v>1086</v>
      </c>
      <c r="B1087" s="7" t="s">
        <v>10</v>
      </c>
      <c r="C1087" s="8">
        <v>1888</v>
      </c>
      <c r="D1087" s="9">
        <v>45432</v>
      </c>
      <c r="E1087" s="13" t="str">
        <f>+HYPERLINK("http://trademark.i-assist.jp/data/china/image_1888th/76987437.pdf","76987437")</f>
        <v>76987437</v>
      </c>
      <c r="F1087" s="7" t="s">
        <v>3051</v>
      </c>
      <c r="G1087" s="7" t="s">
        <v>3052</v>
      </c>
      <c r="H1087" s="7" t="s">
        <v>3053</v>
      </c>
      <c r="I1087" s="9">
        <v>45349</v>
      </c>
    </row>
    <row r="1088" spans="1:9" x14ac:dyDescent="0.15">
      <c r="A1088" s="6">
        <v>1087</v>
      </c>
      <c r="B1088" s="7" t="s">
        <v>10</v>
      </c>
      <c r="C1088" s="8">
        <v>1888</v>
      </c>
      <c r="D1088" s="9">
        <v>45432</v>
      </c>
      <c r="E1088" s="13" t="str">
        <f>+HYPERLINK("http://trademark.i-assist.jp/data/china/image_1888th/76987880.pdf","76987880")</f>
        <v>76987880</v>
      </c>
      <c r="F1088" s="7" t="s">
        <v>3054</v>
      </c>
      <c r="G1088" s="7" t="s">
        <v>2939</v>
      </c>
      <c r="H1088" s="7" t="s">
        <v>3055</v>
      </c>
      <c r="I1088" s="9">
        <v>45349</v>
      </c>
    </row>
    <row r="1089" spans="1:9" ht="27" x14ac:dyDescent="0.15">
      <c r="A1089" s="6">
        <v>1088</v>
      </c>
      <c r="B1089" s="7" t="s">
        <v>10</v>
      </c>
      <c r="C1089" s="8">
        <v>1888</v>
      </c>
      <c r="D1089" s="9">
        <v>45432</v>
      </c>
      <c r="E1089" s="13" t="str">
        <f>+HYPERLINK("http://trademark.i-assist.jp/data/china/image_1888th/76988506.pdf","76988506")</f>
        <v>76988506</v>
      </c>
      <c r="F1089" s="7" t="s">
        <v>3056</v>
      </c>
      <c r="G1089" s="7" t="s">
        <v>3057</v>
      </c>
      <c r="H1089" s="7" t="s">
        <v>3058</v>
      </c>
      <c r="I1089" s="9">
        <v>45349</v>
      </c>
    </row>
    <row r="1090" spans="1:9" x14ac:dyDescent="0.15">
      <c r="A1090" s="6">
        <v>1089</v>
      </c>
      <c r="B1090" s="7" t="s">
        <v>10</v>
      </c>
      <c r="C1090" s="8">
        <v>1888</v>
      </c>
      <c r="D1090" s="9">
        <v>45432</v>
      </c>
      <c r="E1090" s="13" t="str">
        <f>+HYPERLINK("http://trademark.i-assist.jp/data/china/image_1888th/76988510.pdf","76988510")</f>
        <v>76988510</v>
      </c>
      <c r="F1090" s="7" t="s">
        <v>3059</v>
      </c>
      <c r="G1090" s="7" t="s">
        <v>3060</v>
      </c>
      <c r="H1090" s="7" t="s">
        <v>3061</v>
      </c>
      <c r="I1090" s="9">
        <v>45349</v>
      </c>
    </row>
    <row r="1091" spans="1:9" x14ac:dyDescent="0.15">
      <c r="A1091" s="6">
        <v>1090</v>
      </c>
      <c r="B1091" s="7" t="s">
        <v>10</v>
      </c>
      <c r="C1091" s="8">
        <v>1888</v>
      </c>
      <c r="D1091" s="9">
        <v>45432</v>
      </c>
      <c r="E1091" s="13" t="str">
        <f>+HYPERLINK("http://trademark.i-assist.jp/data/china/image_1888th/76988622.pdf","76988622")</f>
        <v>76988622</v>
      </c>
      <c r="F1091" s="7" t="s">
        <v>3062</v>
      </c>
      <c r="G1091" s="7" t="s">
        <v>3063</v>
      </c>
      <c r="H1091" s="7" t="s">
        <v>3064</v>
      </c>
      <c r="I1091" s="9">
        <v>45349</v>
      </c>
    </row>
    <row r="1092" spans="1:9" x14ac:dyDescent="0.15">
      <c r="A1092" s="6">
        <v>1091</v>
      </c>
      <c r="B1092" s="7" t="s">
        <v>10</v>
      </c>
      <c r="C1092" s="8">
        <v>1888</v>
      </c>
      <c r="D1092" s="9">
        <v>45432</v>
      </c>
      <c r="E1092" s="13" t="str">
        <f>+HYPERLINK("http://trademark.i-assist.jp/data/china/image_1888th/76988677.pdf","76988677")</f>
        <v>76988677</v>
      </c>
      <c r="F1092" s="7" t="s">
        <v>3065</v>
      </c>
      <c r="G1092" s="7" t="s">
        <v>3066</v>
      </c>
      <c r="H1092" s="7" t="s">
        <v>3067</v>
      </c>
      <c r="I1092" s="9">
        <v>45349</v>
      </c>
    </row>
    <row r="1093" spans="1:9" ht="27" x14ac:dyDescent="0.15">
      <c r="A1093" s="6">
        <v>1092</v>
      </c>
      <c r="B1093" s="7" t="s">
        <v>10</v>
      </c>
      <c r="C1093" s="8">
        <v>1888</v>
      </c>
      <c r="D1093" s="9">
        <v>45432</v>
      </c>
      <c r="E1093" s="13" t="str">
        <f>+HYPERLINK("http://trademark.i-assist.jp/data/china/image_1888th/76988892.pdf","76988892")</f>
        <v>76988892</v>
      </c>
      <c r="F1093" s="7" t="s">
        <v>3068</v>
      </c>
      <c r="G1093" s="7" t="s">
        <v>3069</v>
      </c>
      <c r="H1093" s="7" t="s">
        <v>3070</v>
      </c>
      <c r="I1093" s="9">
        <v>45349</v>
      </c>
    </row>
    <row r="1094" spans="1:9" x14ac:dyDescent="0.15">
      <c r="A1094" s="6">
        <v>1093</v>
      </c>
      <c r="B1094" s="7" t="s">
        <v>10</v>
      </c>
      <c r="C1094" s="8">
        <v>1888</v>
      </c>
      <c r="D1094" s="9">
        <v>45432</v>
      </c>
      <c r="E1094" s="13" t="str">
        <f>+HYPERLINK("http://trademark.i-assist.jp/data/china/image_1888th/76989177.pdf","76989177")</f>
        <v>76989177</v>
      </c>
      <c r="F1094" s="7" t="s">
        <v>3071</v>
      </c>
      <c r="G1094" s="7" t="s">
        <v>3072</v>
      </c>
      <c r="H1094" s="7" t="s">
        <v>3073</v>
      </c>
      <c r="I1094" s="9">
        <v>45349</v>
      </c>
    </row>
    <row r="1095" spans="1:9" ht="27" x14ac:dyDescent="0.15">
      <c r="A1095" s="6">
        <v>1094</v>
      </c>
      <c r="B1095" s="7" t="s">
        <v>10</v>
      </c>
      <c r="C1095" s="8">
        <v>1888</v>
      </c>
      <c r="D1095" s="9">
        <v>45432</v>
      </c>
      <c r="E1095" s="13" t="str">
        <f>+HYPERLINK("http://trademark.i-assist.jp/data/china/image_1888th/76989208.pdf","76989208")</f>
        <v>76989208</v>
      </c>
      <c r="F1095" s="7" t="s">
        <v>3074</v>
      </c>
      <c r="G1095" s="7" t="s">
        <v>3075</v>
      </c>
      <c r="H1095" s="7" t="s">
        <v>3076</v>
      </c>
      <c r="I1095" s="9">
        <v>45349</v>
      </c>
    </row>
    <row r="1096" spans="1:9" x14ac:dyDescent="0.15">
      <c r="A1096" s="6">
        <v>1095</v>
      </c>
      <c r="B1096" s="7" t="s">
        <v>10</v>
      </c>
      <c r="C1096" s="8">
        <v>1888</v>
      </c>
      <c r="D1096" s="9">
        <v>45432</v>
      </c>
      <c r="E1096" s="13" t="str">
        <f>+HYPERLINK("http://trademark.i-assist.jp/data/china/image_1888th/76989340.pdf","76989340")</f>
        <v>76989340</v>
      </c>
      <c r="F1096" s="7" t="s">
        <v>3077</v>
      </c>
      <c r="G1096" s="7" t="s">
        <v>2895</v>
      </c>
      <c r="H1096" s="7" t="s">
        <v>3078</v>
      </c>
      <c r="I1096" s="9">
        <v>45349</v>
      </c>
    </row>
    <row r="1097" spans="1:9" x14ac:dyDescent="0.15">
      <c r="A1097" s="6">
        <v>1096</v>
      </c>
      <c r="B1097" s="7" t="s">
        <v>10</v>
      </c>
      <c r="C1097" s="8">
        <v>1888</v>
      </c>
      <c r="D1097" s="9">
        <v>45432</v>
      </c>
      <c r="E1097" s="13" t="str">
        <f>+HYPERLINK("http://trademark.i-assist.jp/data/china/image_1888th/76989751.pdf","76989751")</f>
        <v>76989751</v>
      </c>
      <c r="F1097" s="7" t="s">
        <v>3079</v>
      </c>
      <c r="G1097" s="7" t="s">
        <v>3080</v>
      </c>
      <c r="H1097" s="7" t="s">
        <v>3081</v>
      </c>
      <c r="I1097" s="9">
        <v>45349</v>
      </c>
    </row>
    <row r="1098" spans="1:9" x14ac:dyDescent="0.15">
      <c r="A1098" s="6">
        <v>1097</v>
      </c>
      <c r="B1098" s="7" t="s">
        <v>10</v>
      </c>
      <c r="C1098" s="8">
        <v>1888</v>
      </c>
      <c r="D1098" s="9">
        <v>45432</v>
      </c>
      <c r="E1098" s="13" t="str">
        <f>+HYPERLINK("http://trademark.i-assist.jp/data/china/image_1888th/76989778.pdf","76989778")</f>
        <v>76989778</v>
      </c>
      <c r="F1098" s="7" t="s">
        <v>3082</v>
      </c>
      <c r="G1098" s="7" t="s">
        <v>3083</v>
      </c>
      <c r="H1098" s="7" t="s">
        <v>3084</v>
      </c>
      <c r="I1098" s="9">
        <v>45349</v>
      </c>
    </row>
    <row r="1099" spans="1:9" ht="27" x14ac:dyDescent="0.15">
      <c r="A1099" s="6">
        <v>1098</v>
      </c>
      <c r="B1099" s="7" t="s">
        <v>10</v>
      </c>
      <c r="C1099" s="8">
        <v>1888</v>
      </c>
      <c r="D1099" s="9">
        <v>45432</v>
      </c>
      <c r="E1099" s="13" t="str">
        <f>+HYPERLINK("http://trademark.i-assist.jp/data/china/image_1888th/76989838.pdf","76989838")</f>
        <v>76989838</v>
      </c>
      <c r="F1099" s="7" t="s">
        <v>3085</v>
      </c>
      <c r="G1099" s="7" t="s">
        <v>2852</v>
      </c>
      <c r="H1099" s="7" t="s">
        <v>3086</v>
      </c>
      <c r="I1099" s="9">
        <v>45349</v>
      </c>
    </row>
    <row r="1100" spans="1:9" x14ac:dyDescent="0.15">
      <c r="A1100" s="6">
        <v>1099</v>
      </c>
      <c r="B1100" s="7" t="s">
        <v>10</v>
      </c>
      <c r="C1100" s="8">
        <v>1888</v>
      </c>
      <c r="D1100" s="9">
        <v>45432</v>
      </c>
      <c r="E1100" s="13" t="str">
        <f>+HYPERLINK("http://trademark.i-assist.jp/data/china/image_1888th/76990020.pdf","76990020")</f>
        <v>76990020</v>
      </c>
      <c r="F1100" s="7" t="s">
        <v>3087</v>
      </c>
      <c r="G1100" s="7" t="s">
        <v>3088</v>
      </c>
      <c r="H1100" s="7" t="s">
        <v>3089</v>
      </c>
      <c r="I1100" s="9">
        <v>45349</v>
      </c>
    </row>
    <row r="1101" spans="1:9" ht="27" x14ac:dyDescent="0.15">
      <c r="A1101" s="6">
        <v>1100</v>
      </c>
      <c r="B1101" s="7" t="s">
        <v>10</v>
      </c>
      <c r="C1101" s="8">
        <v>1888</v>
      </c>
      <c r="D1101" s="9">
        <v>45432</v>
      </c>
      <c r="E1101" s="13" t="str">
        <f>+HYPERLINK("http://trademark.i-assist.jp/data/china/image_1888th/76990103.pdf","76990103")</f>
        <v>76990103</v>
      </c>
      <c r="F1101" s="7" t="s">
        <v>3090</v>
      </c>
      <c r="G1101" s="7" t="s">
        <v>2914</v>
      </c>
      <c r="H1101" s="7" t="s">
        <v>3091</v>
      </c>
      <c r="I1101" s="9">
        <v>45349</v>
      </c>
    </row>
    <row r="1102" spans="1:9" ht="27" x14ac:dyDescent="0.15">
      <c r="A1102" s="6">
        <v>1101</v>
      </c>
      <c r="B1102" s="7" t="s">
        <v>10</v>
      </c>
      <c r="C1102" s="8">
        <v>1888</v>
      </c>
      <c r="D1102" s="9">
        <v>45432</v>
      </c>
      <c r="E1102" s="13" t="str">
        <f>+HYPERLINK("http://trademark.i-assist.jp/data/china/image_1888th/76990616.pdf","76990616")</f>
        <v>76990616</v>
      </c>
      <c r="F1102" s="7" t="s">
        <v>3092</v>
      </c>
      <c r="G1102" s="7" t="s">
        <v>3093</v>
      </c>
      <c r="H1102" s="7" t="s">
        <v>3094</v>
      </c>
      <c r="I1102" s="9">
        <v>45349</v>
      </c>
    </row>
    <row r="1103" spans="1:9" ht="27" x14ac:dyDescent="0.15">
      <c r="A1103" s="6">
        <v>1102</v>
      </c>
      <c r="B1103" s="7" t="s">
        <v>10</v>
      </c>
      <c r="C1103" s="8">
        <v>1888</v>
      </c>
      <c r="D1103" s="9">
        <v>45432</v>
      </c>
      <c r="E1103" s="13" t="str">
        <f>+HYPERLINK("http://trademark.i-assist.jp/data/china/image_1888th/76990708.pdf","76990708")</f>
        <v>76990708</v>
      </c>
      <c r="F1103" s="7" t="s">
        <v>3095</v>
      </c>
      <c r="G1103" s="7" t="s">
        <v>3096</v>
      </c>
      <c r="H1103" s="7" t="s">
        <v>3097</v>
      </c>
      <c r="I1103" s="9">
        <v>45349</v>
      </c>
    </row>
    <row r="1104" spans="1:9" ht="27" x14ac:dyDescent="0.15">
      <c r="A1104" s="6">
        <v>1103</v>
      </c>
      <c r="B1104" s="7" t="s">
        <v>10</v>
      </c>
      <c r="C1104" s="8">
        <v>1888</v>
      </c>
      <c r="D1104" s="9">
        <v>45432</v>
      </c>
      <c r="E1104" s="13" t="str">
        <f>+HYPERLINK("http://trademark.i-assist.jp/data/china/image_1888th/76990957.pdf","76990957")</f>
        <v>76990957</v>
      </c>
      <c r="F1104" s="7" t="s">
        <v>76</v>
      </c>
      <c r="G1104" s="7" t="s">
        <v>3098</v>
      </c>
      <c r="H1104" s="7" t="s">
        <v>3099</v>
      </c>
      <c r="I1104" s="9">
        <v>45349</v>
      </c>
    </row>
    <row r="1105" spans="1:9" x14ac:dyDescent="0.15">
      <c r="A1105" s="6">
        <v>1104</v>
      </c>
      <c r="B1105" s="7" t="s">
        <v>10</v>
      </c>
      <c r="C1105" s="8">
        <v>1888</v>
      </c>
      <c r="D1105" s="9">
        <v>45432</v>
      </c>
      <c r="E1105" s="13" t="str">
        <f>+HYPERLINK("http://trademark.i-assist.jp/data/china/image_1888th/76991031.pdf","76991031")</f>
        <v>76991031</v>
      </c>
      <c r="F1105" s="7" t="s">
        <v>3100</v>
      </c>
      <c r="G1105" s="7" t="s">
        <v>3101</v>
      </c>
      <c r="H1105" s="7" t="s">
        <v>3102</v>
      </c>
      <c r="I1105" s="9">
        <v>45349</v>
      </c>
    </row>
    <row r="1106" spans="1:9" x14ac:dyDescent="0.15">
      <c r="A1106" s="6">
        <v>1105</v>
      </c>
      <c r="B1106" s="7" t="s">
        <v>10</v>
      </c>
      <c r="C1106" s="8">
        <v>1888</v>
      </c>
      <c r="D1106" s="9">
        <v>45432</v>
      </c>
      <c r="E1106" s="13" t="str">
        <f>+HYPERLINK("http://trademark.i-assist.jp/data/china/image_1888th/76991341.pdf","76991341")</f>
        <v>76991341</v>
      </c>
      <c r="F1106" s="7" t="s">
        <v>3103</v>
      </c>
      <c r="G1106" s="7" t="s">
        <v>3104</v>
      </c>
      <c r="H1106" s="7" t="s">
        <v>3105</v>
      </c>
      <c r="I1106" s="9">
        <v>45349</v>
      </c>
    </row>
    <row r="1107" spans="1:9" x14ac:dyDescent="0.15">
      <c r="A1107" s="6">
        <v>1106</v>
      </c>
      <c r="B1107" s="7" t="s">
        <v>10</v>
      </c>
      <c r="C1107" s="8">
        <v>1888</v>
      </c>
      <c r="D1107" s="9">
        <v>45432</v>
      </c>
      <c r="E1107" s="13" t="str">
        <f>+HYPERLINK("http://trademark.i-assist.jp/data/china/image_1888th/76991358.pdf","76991358")</f>
        <v>76991358</v>
      </c>
      <c r="F1107" s="7" t="s">
        <v>3106</v>
      </c>
      <c r="G1107" s="7" t="s">
        <v>3107</v>
      </c>
      <c r="H1107" s="7" t="s">
        <v>3108</v>
      </c>
      <c r="I1107" s="9">
        <v>45349</v>
      </c>
    </row>
    <row r="1108" spans="1:9" ht="27" x14ac:dyDescent="0.15">
      <c r="A1108" s="6">
        <v>1107</v>
      </c>
      <c r="B1108" s="7" t="s">
        <v>10</v>
      </c>
      <c r="C1108" s="8">
        <v>1888</v>
      </c>
      <c r="D1108" s="9">
        <v>45432</v>
      </c>
      <c r="E1108" s="13" t="str">
        <f>+HYPERLINK("http://trademark.i-assist.jp/data/china/image_1888th/76991371.pdf","76991371")</f>
        <v>76991371</v>
      </c>
      <c r="F1108" s="7" t="s">
        <v>3109</v>
      </c>
      <c r="G1108" s="7" t="s">
        <v>3110</v>
      </c>
      <c r="H1108" s="7" t="s">
        <v>3111</v>
      </c>
      <c r="I1108" s="9">
        <v>45349</v>
      </c>
    </row>
    <row r="1109" spans="1:9" x14ac:dyDescent="0.15">
      <c r="A1109" s="6">
        <v>1108</v>
      </c>
      <c r="B1109" s="7" t="s">
        <v>10</v>
      </c>
      <c r="C1109" s="8">
        <v>1888</v>
      </c>
      <c r="D1109" s="9">
        <v>45432</v>
      </c>
      <c r="E1109" s="13" t="str">
        <f>+HYPERLINK("http://trademark.i-assist.jp/data/china/image_1888th/76991539.pdf","76991539")</f>
        <v>76991539</v>
      </c>
      <c r="F1109" s="7" t="s">
        <v>3112</v>
      </c>
      <c r="G1109" s="7" t="s">
        <v>3113</v>
      </c>
      <c r="H1109" s="7" t="s">
        <v>3114</v>
      </c>
      <c r="I1109" s="9">
        <v>45349</v>
      </c>
    </row>
    <row r="1110" spans="1:9" x14ac:dyDescent="0.15">
      <c r="A1110" s="6">
        <v>1109</v>
      </c>
      <c r="B1110" s="7" t="s">
        <v>10</v>
      </c>
      <c r="C1110" s="8">
        <v>1888</v>
      </c>
      <c r="D1110" s="9">
        <v>45432</v>
      </c>
      <c r="E1110" s="13" t="str">
        <f>+HYPERLINK("http://trademark.i-assist.jp/data/china/image_1888th/76991543.pdf","76991543")</f>
        <v>76991543</v>
      </c>
      <c r="F1110" s="7" t="s">
        <v>3115</v>
      </c>
      <c r="G1110" s="7" t="s">
        <v>2917</v>
      </c>
      <c r="H1110" s="7" t="s">
        <v>3116</v>
      </c>
      <c r="I1110" s="9">
        <v>45349</v>
      </c>
    </row>
    <row r="1111" spans="1:9" x14ac:dyDescent="0.15">
      <c r="A1111" s="6">
        <v>1110</v>
      </c>
      <c r="B1111" s="7" t="s">
        <v>10</v>
      </c>
      <c r="C1111" s="8">
        <v>1888</v>
      </c>
      <c r="D1111" s="9">
        <v>45432</v>
      </c>
      <c r="E1111" s="13" t="str">
        <f>+HYPERLINK("http://trademark.i-assist.jp/data/china/image_1888th/76991675.pdf","76991675")</f>
        <v>76991675</v>
      </c>
      <c r="F1111" s="7" t="s">
        <v>3117</v>
      </c>
      <c r="G1111" s="7" t="s">
        <v>3118</v>
      </c>
      <c r="H1111" s="7" t="s">
        <v>3119</v>
      </c>
      <c r="I1111" s="9">
        <v>45349</v>
      </c>
    </row>
    <row r="1112" spans="1:9" x14ac:dyDescent="0.15">
      <c r="A1112" s="6">
        <v>1111</v>
      </c>
      <c r="B1112" s="7" t="s">
        <v>10</v>
      </c>
      <c r="C1112" s="8">
        <v>1888</v>
      </c>
      <c r="D1112" s="9">
        <v>45432</v>
      </c>
      <c r="E1112" s="13" t="str">
        <f>+HYPERLINK("http://trademark.i-assist.jp/data/china/image_1888th/76991785.pdf","76991785")</f>
        <v>76991785</v>
      </c>
      <c r="F1112" s="7" t="s">
        <v>3120</v>
      </c>
      <c r="G1112" s="7" t="s">
        <v>3121</v>
      </c>
      <c r="H1112" s="7" t="s">
        <v>3122</v>
      </c>
      <c r="I1112" s="9">
        <v>45349</v>
      </c>
    </row>
    <row r="1113" spans="1:9" x14ac:dyDescent="0.15">
      <c r="A1113" s="6">
        <v>1112</v>
      </c>
      <c r="B1113" s="7" t="s">
        <v>10</v>
      </c>
      <c r="C1113" s="8">
        <v>1888</v>
      </c>
      <c r="D1113" s="9">
        <v>45432</v>
      </c>
      <c r="E1113" s="13" t="str">
        <f>+HYPERLINK("http://trademark.i-assist.jp/data/china/image_1888th/76991804.pdf","76991804")</f>
        <v>76991804</v>
      </c>
      <c r="F1113" s="7" t="s">
        <v>3123</v>
      </c>
      <c r="G1113" s="7" t="s">
        <v>3124</v>
      </c>
      <c r="H1113" s="7" t="s">
        <v>3125</v>
      </c>
      <c r="I1113" s="9">
        <v>45349</v>
      </c>
    </row>
    <row r="1114" spans="1:9" x14ac:dyDescent="0.15">
      <c r="A1114" s="6">
        <v>1113</v>
      </c>
      <c r="B1114" s="7" t="s">
        <v>10</v>
      </c>
      <c r="C1114" s="8">
        <v>1888</v>
      </c>
      <c r="D1114" s="9">
        <v>45432</v>
      </c>
      <c r="E1114" s="13" t="str">
        <f>+HYPERLINK("http://trademark.i-assist.jp/data/china/image_1888th/76992116.pdf","76992116")</f>
        <v>76992116</v>
      </c>
      <c r="F1114" s="7" t="s">
        <v>3126</v>
      </c>
      <c r="G1114" s="7" t="s">
        <v>3127</v>
      </c>
      <c r="H1114" s="7" t="s">
        <v>3128</v>
      </c>
      <c r="I1114" s="9">
        <v>45349</v>
      </c>
    </row>
    <row r="1115" spans="1:9" ht="27" x14ac:dyDescent="0.15">
      <c r="A1115" s="6">
        <v>1114</v>
      </c>
      <c r="B1115" s="7" t="s">
        <v>10</v>
      </c>
      <c r="C1115" s="8">
        <v>1888</v>
      </c>
      <c r="D1115" s="9">
        <v>45432</v>
      </c>
      <c r="E1115" s="13" t="str">
        <f>+HYPERLINK("http://trademark.i-assist.jp/data/china/image_1888th/76992155.pdf","76992155")</f>
        <v>76992155</v>
      </c>
      <c r="F1115" s="7" t="s">
        <v>3129</v>
      </c>
      <c r="G1115" s="7" t="s">
        <v>3093</v>
      </c>
      <c r="H1115" s="7" t="s">
        <v>3130</v>
      </c>
      <c r="I1115" s="9">
        <v>45349</v>
      </c>
    </row>
    <row r="1116" spans="1:9" x14ac:dyDescent="0.15">
      <c r="A1116" s="6">
        <v>1115</v>
      </c>
      <c r="B1116" s="7" t="s">
        <v>10</v>
      </c>
      <c r="C1116" s="8">
        <v>1888</v>
      </c>
      <c r="D1116" s="9">
        <v>45432</v>
      </c>
      <c r="E1116" s="13" t="str">
        <f>+HYPERLINK("http://trademark.i-assist.jp/data/china/image_1888th/76992323.pdf","76992323")</f>
        <v>76992323</v>
      </c>
      <c r="F1116" s="7" t="s">
        <v>3131</v>
      </c>
      <c r="G1116" s="7" t="s">
        <v>3132</v>
      </c>
      <c r="H1116" s="7" t="s">
        <v>3133</v>
      </c>
      <c r="I1116" s="9">
        <v>45349</v>
      </c>
    </row>
    <row r="1117" spans="1:9" x14ac:dyDescent="0.15">
      <c r="A1117" s="6">
        <v>1116</v>
      </c>
      <c r="B1117" s="7" t="s">
        <v>10</v>
      </c>
      <c r="C1117" s="8">
        <v>1888</v>
      </c>
      <c r="D1117" s="9">
        <v>45432</v>
      </c>
      <c r="E1117" s="13" t="str">
        <f>+HYPERLINK("http://trademark.i-assist.jp/data/china/image_1888th/76992379.pdf","76992379")</f>
        <v>76992379</v>
      </c>
      <c r="F1117" s="7" t="s">
        <v>3134</v>
      </c>
      <c r="G1117" s="7" t="s">
        <v>3135</v>
      </c>
      <c r="H1117" s="7" t="s">
        <v>3136</v>
      </c>
      <c r="I1117" s="9">
        <v>45350</v>
      </c>
    </row>
    <row r="1118" spans="1:9" ht="27" x14ac:dyDescent="0.15">
      <c r="A1118" s="6">
        <v>1117</v>
      </c>
      <c r="B1118" s="7" t="s">
        <v>10</v>
      </c>
      <c r="C1118" s="8">
        <v>1888</v>
      </c>
      <c r="D1118" s="9">
        <v>45432</v>
      </c>
      <c r="E1118" s="13" t="str">
        <f>+HYPERLINK("http://trademark.i-assist.jp/data/china/image_1888th/76992637.pdf","76992637")</f>
        <v>76992637</v>
      </c>
      <c r="F1118" s="7" t="s">
        <v>3137</v>
      </c>
      <c r="G1118" s="7" t="s">
        <v>3138</v>
      </c>
      <c r="H1118" s="7" t="s">
        <v>3139</v>
      </c>
      <c r="I1118" s="9">
        <v>45350</v>
      </c>
    </row>
    <row r="1119" spans="1:9" x14ac:dyDescent="0.15">
      <c r="A1119" s="6">
        <v>1118</v>
      </c>
      <c r="B1119" s="7" t="s">
        <v>10</v>
      </c>
      <c r="C1119" s="8">
        <v>1888</v>
      </c>
      <c r="D1119" s="9">
        <v>45432</v>
      </c>
      <c r="E1119" s="13" t="str">
        <f>+HYPERLINK("http://trademark.i-assist.jp/data/china/image_1888th/76992854.pdf","76992854")</f>
        <v>76992854</v>
      </c>
      <c r="F1119" s="7" t="s">
        <v>3140</v>
      </c>
      <c r="G1119" s="7" t="s">
        <v>3141</v>
      </c>
      <c r="H1119" s="7" t="s">
        <v>3142</v>
      </c>
      <c r="I1119" s="9">
        <v>45350</v>
      </c>
    </row>
    <row r="1120" spans="1:9" x14ac:dyDescent="0.15">
      <c r="A1120" s="6">
        <v>1119</v>
      </c>
      <c r="B1120" s="7" t="s">
        <v>10</v>
      </c>
      <c r="C1120" s="8">
        <v>1888</v>
      </c>
      <c r="D1120" s="9">
        <v>45432</v>
      </c>
      <c r="E1120" s="13" t="str">
        <f>+HYPERLINK("http://trademark.i-assist.jp/data/china/image_1888th/76993186.pdf","76993186")</f>
        <v>76993186</v>
      </c>
      <c r="F1120" s="7" t="s">
        <v>3143</v>
      </c>
      <c r="G1120" s="7" t="s">
        <v>3144</v>
      </c>
      <c r="H1120" s="7" t="s">
        <v>3145</v>
      </c>
      <c r="I1120" s="9">
        <v>45350</v>
      </c>
    </row>
    <row r="1121" spans="1:9" x14ac:dyDescent="0.15">
      <c r="A1121" s="6">
        <v>1120</v>
      </c>
      <c r="B1121" s="7" t="s">
        <v>10</v>
      </c>
      <c r="C1121" s="8">
        <v>1888</v>
      </c>
      <c r="D1121" s="9">
        <v>45432</v>
      </c>
      <c r="E1121" s="13" t="str">
        <f>+HYPERLINK("http://trademark.i-assist.jp/data/china/image_1888th/76993338.pdf","76993338")</f>
        <v>76993338</v>
      </c>
      <c r="F1121" s="7" t="s">
        <v>3146</v>
      </c>
      <c r="G1121" s="7" t="s">
        <v>3147</v>
      </c>
      <c r="H1121" s="7" t="s">
        <v>3148</v>
      </c>
      <c r="I1121" s="9">
        <v>45350</v>
      </c>
    </row>
    <row r="1122" spans="1:9" ht="27" x14ac:dyDescent="0.15">
      <c r="A1122" s="6">
        <v>1121</v>
      </c>
      <c r="B1122" s="7" t="s">
        <v>10</v>
      </c>
      <c r="C1122" s="8">
        <v>1888</v>
      </c>
      <c r="D1122" s="9">
        <v>45432</v>
      </c>
      <c r="E1122" s="13" t="str">
        <f>+HYPERLINK("http://trademark.i-assist.jp/data/china/image_1888th/76993819.pdf","76993819")</f>
        <v>76993819</v>
      </c>
      <c r="F1122" s="7" t="s">
        <v>3149</v>
      </c>
      <c r="G1122" s="7" t="s">
        <v>3150</v>
      </c>
      <c r="H1122" s="7" t="s">
        <v>3151</v>
      </c>
      <c r="I1122" s="9">
        <v>45350</v>
      </c>
    </row>
    <row r="1123" spans="1:9" ht="27" x14ac:dyDescent="0.15">
      <c r="A1123" s="6">
        <v>1122</v>
      </c>
      <c r="B1123" s="7" t="s">
        <v>10</v>
      </c>
      <c r="C1123" s="8">
        <v>1888</v>
      </c>
      <c r="D1123" s="9">
        <v>45432</v>
      </c>
      <c r="E1123" s="13" t="str">
        <f>+HYPERLINK("http://trademark.i-assist.jp/data/china/image_1888th/76993953.pdf","76993953")</f>
        <v>76993953</v>
      </c>
      <c r="F1123" s="7" t="s">
        <v>3152</v>
      </c>
      <c r="G1123" s="7" t="s">
        <v>3150</v>
      </c>
      <c r="H1123" s="7" t="s">
        <v>3153</v>
      </c>
      <c r="I1123" s="9">
        <v>45350</v>
      </c>
    </row>
    <row r="1124" spans="1:9" x14ac:dyDescent="0.15">
      <c r="A1124" s="6">
        <v>1123</v>
      </c>
      <c r="B1124" s="7" t="s">
        <v>10</v>
      </c>
      <c r="C1124" s="8">
        <v>1888</v>
      </c>
      <c r="D1124" s="9">
        <v>45432</v>
      </c>
      <c r="E1124" s="13" t="str">
        <f>+HYPERLINK("http://trademark.i-assist.jp/data/china/image_1888th/76994286.pdf","76994286")</f>
        <v>76994286</v>
      </c>
      <c r="F1124" s="7" t="s">
        <v>3154</v>
      </c>
      <c r="G1124" s="7" t="s">
        <v>3155</v>
      </c>
      <c r="H1124" s="7" t="s">
        <v>3156</v>
      </c>
      <c r="I1124" s="9">
        <v>45350</v>
      </c>
    </row>
    <row r="1125" spans="1:9" ht="27" x14ac:dyDescent="0.15">
      <c r="A1125" s="6">
        <v>1124</v>
      </c>
      <c r="B1125" s="7" t="s">
        <v>10</v>
      </c>
      <c r="C1125" s="8">
        <v>1888</v>
      </c>
      <c r="D1125" s="9">
        <v>45432</v>
      </c>
      <c r="E1125" s="13" t="str">
        <f>+HYPERLINK("http://trademark.i-assist.jp/data/china/image_1888th/76994692.pdf","76994692")</f>
        <v>76994692</v>
      </c>
      <c r="F1125" s="7" t="s">
        <v>3157</v>
      </c>
      <c r="G1125" s="7" t="s">
        <v>3158</v>
      </c>
      <c r="H1125" s="7" t="s">
        <v>3159</v>
      </c>
      <c r="I1125" s="9">
        <v>45350</v>
      </c>
    </row>
    <row r="1126" spans="1:9" x14ac:dyDescent="0.15">
      <c r="A1126" s="6">
        <v>1125</v>
      </c>
      <c r="B1126" s="7" t="s">
        <v>10</v>
      </c>
      <c r="C1126" s="8">
        <v>1888</v>
      </c>
      <c r="D1126" s="9">
        <v>45432</v>
      </c>
      <c r="E1126" s="13" t="str">
        <f>+HYPERLINK("http://trademark.i-assist.jp/data/china/image_1888th/76995077.pdf","76995077")</f>
        <v>76995077</v>
      </c>
      <c r="F1126" s="7" t="s">
        <v>3160</v>
      </c>
      <c r="G1126" s="7" t="s">
        <v>3161</v>
      </c>
      <c r="H1126" s="7" t="s">
        <v>3162</v>
      </c>
      <c r="I1126" s="9">
        <v>45350</v>
      </c>
    </row>
    <row r="1127" spans="1:9" ht="27" x14ac:dyDescent="0.15">
      <c r="A1127" s="6">
        <v>1126</v>
      </c>
      <c r="B1127" s="7" t="s">
        <v>10</v>
      </c>
      <c r="C1127" s="8">
        <v>1888</v>
      </c>
      <c r="D1127" s="9">
        <v>45432</v>
      </c>
      <c r="E1127" s="13" t="str">
        <f>+HYPERLINK("http://trademark.i-assist.jp/data/china/image_1888th/76995523.pdf","76995523")</f>
        <v>76995523</v>
      </c>
      <c r="F1127" s="7" t="s">
        <v>3163</v>
      </c>
      <c r="G1127" s="7" t="s">
        <v>3150</v>
      </c>
      <c r="H1127" s="7" t="s">
        <v>3164</v>
      </c>
      <c r="I1127" s="9">
        <v>45350</v>
      </c>
    </row>
    <row r="1128" spans="1:9" x14ac:dyDescent="0.15">
      <c r="A1128" s="6">
        <v>1127</v>
      </c>
      <c r="B1128" s="7" t="s">
        <v>10</v>
      </c>
      <c r="C1128" s="8">
        <v>1888</v>
      </c>
      <c r="D1128" s="9">
        <v>45432</v>
      </c>
      <c r="E1128" s="13" t="str">
        <f>+HYPERLINK("http://trademark.i-assist.jp/data/china/image_1888th/76995548.pdf","76995548")</f>
        <v>76995548</v>
      </c>
      <c r="F1128" s="7" t="s">
        <v>3165</v>
      </c>
      <c r="G1128" s="7" t="s">
        <v>3166</v>
      </c>
      <c r="H1128" s="7" t="s">
        <v>3167</v>
      </c>
      <c r="I1128" s="9">
        <v>45350</v>
      </c>
    </row>
    <row r="1129" spans="1:9" x14ac:dyDescent="0.15">
      <c r="A1129" s="6">
        <v>1128</v>
      </c>
      <c r="B1129" s="7" t="s">
        <v>10</v>
      </c>
      <c r="C1129" s="8">
        <v>1888</v>
      </c>
      <c r="D1129" s="9">
        <v>45432</v>
      </c>
      <c r="E1129" s="13" t="str">
        <f>+HYPERLINK("http://trademark.i-assist.jp/data/china/image_1888th/76996116.pdf","76996116")</f>
        <v>76996116</v>
      </c>
      <c r="F1129" s="7" t="s">
        <v>3168</v>
      </c>
      <c r="G1129" s="7" t="s">
        <v>3169</v>
      </c>
      <c r="H1129" s="7" t="s">
        <v>3170</v>
      </c>
      <c r="I1129" s="9">
        <v>45350</v>
      </c>
    </row>
    <row r="1130" spans="1:9" x14ac:dyDescent="0.15">
      <c r="A1130" s="6">
        <v>1129</v>
      </c>
      <c r="B1130" s="7" t="s">
        <v>10</v>
      </c>
      <c r="C1130" s="8">
        <v>1888</v>
      </c>
      <c r="D1130" s="9">
        <v>45432</v>
      </c>
      <c r="E1130" s="13" t="str">
        <f>+HYPERLINK("http://trademark.i-assist.jp/data/china/image_1888th/76996217.pdf","76996217")</f>
        <v>76996217</v>
      </c>
      <c r="F1130" s="7" t="s">
        <v>3171</v>
      </c>
      <c r="G1130" s="7" t="s">
        <v>3172</v>
      </c>
      <c r="H1130" s="7" t="s">
        <v>3173</v>
      </c>
      <c r="I1130" s="9">
        <v>45350</v>
      </c>
    </row>
    <row r="1131" spans="1:9" x14ac:dyDescent="0.15">
      <c r="A1131" s="6">
        <v>1130</v>
      </c>
      <c r="B1131" s="7" t="s">
        <v>10</v>
      </c>
      <c r="C1131" s="8">
        <v>1888</v>
      </c>
      <c r="D1131" s="9">
        <v>45432</v>
      </c>
      <c r="E1131" s="13" t="str">
        <f>+HYPERLINK("http://trademark.i-assist.jp/data/china/image_1888th/76996336.pdf","76996336")</f>
        <v>76996336</v>
      </c>
      <c r="F1131" s="7" t="s">
        <v>3174</v>
      </c>
      <c r="G1131" s="7" t="s">
        <v>3175</v>
      </c>
      <c r="H1131" s="7" t="s">
        <v>3176</v>
      </c>
      <c r="I1131" s="9">
        <v>45350</v>
      </c>
    </row>
    <row r="1132" spans="1:9" ht="27" x14ac:dyDescent="0.15">
      <c r="A1132" s="6">
        <v>1131</v>
      </c>
      <c r="B1132" s="7" t="s">
        <v>10</v>
      </c>
      <c r="C1132" s="8">
        <v>1888</v>
      </c>
      <c r="D1132" s="9">
        <v>45432</v>
      </c>
      <c r="E1132" s="13" t="str">
        <f>+HYPERLINK("http://trademark.i-assist.jp/data/china/image_1888th/76996463.pdf","76996463")</f>
        <v>76996463</v>
      </c>
      <c r="F1132" s="7" t="s">
        <v>3177</v>
      </c>
      <c r="G1132" s="7" t="s">
        <v>3178</v>
      </c>
      <c r="H1132" s="7" t="s">
        <v>3179</v>
      </c>
      <c r="I1132" s="9">
        <v>45350</v>
      </c>
    </row>
    <row r="1133" spans="1:9" ht="27" x14ac:dyDescent="0.15">
      <c r="A1133" s="6">
        <v>1132</v>
      </c>
      <c r="B1133" s="7" t="s">
        <v>10</v>
      </c>
      <c r="C1133" s="8">
        <v>1888</v>
      </c>
      <c r="D1133" s="9">
        <v>45432</v>
      </c>
      <c r="E1133" s="13" t="str">
        <f>+HYPERLINK("http://trademark.i-assist.jp/data/china/image_1888th/76996476.pdf","76996476")</f>
        <v>76996476</v>
      </c>
      <c r="F1133" s="7" t="s">
        <v>3180</v>
      </c>
      <c r="G1133" s="7" t="s">
        <v>3178</v>
      </c>
      <c r="H1133" s="7" t="s">
        <v>3181</v>
      </c>
      <c r="I1133" s="9">
        <v>45350</v>
      </c>
    </row>
    <row r="1134" spans="1:9" ht="27" x14ac:dyDescent="0.15">
      <c r="A1134" s="6">
        <v>1133</v>
      </c>
      <c r="B1134" s="7" t="s">
        <v>10</v>
      </c>
      <c r="C1134" s="8">
        <v>1888</v>
      </c>
      <c r="D1134" s="9">
        <v>45432</v>
      </c>
      <c r="E1134" s="13" t="str">
        <f>+HYPERLINK("http://trademark.i-assist.jp/data/china/image_1888th/76996489.pdf","76996489")</f>
        <v>76996489</v>
      </c>
      <c r="F1134" s="7" t="s">
        <v>3182</v>
      </c>
      <c r="G1134" s="7" t="s">
        <v>3183</v>
      </c>
      <c r="H1134" s="7" t="s">
        <v>3184</v>
      </c>
      <c r="I1134" s="9">
        <v>45350</v>
      </c>
    </row>
    <row r="1135" spans="1:9" x14ac:dyDescent="0.15">
      <c r="A1135" s="6">
        <v>1134</v>
      </c>
      <c r="B1135" s="7" t="s">
        <v>10</v>
      </c>
      <c r="C1135" s="8">
        <v>1888</v>
      </c>
      <c r="D1135" s="9">
        <v>45432</v>
      </c>
      <c r="E1135" s="13" t="str">
        <f>+HYPERLINK("http://trademark.i-assist.jp/data/china/image_1888th/76996548.pdf","76996548")</f>
        <v>76996548</v>
      </c>
      <c r="F1135" s="7" t="s">
        <v>3185</v>
      </c>
      <c r="G1135" s="7" t="s">
        <v>3186</v>
      </c>
      <c r="H1135" s="7" t="s">
        <v>3187</v>
      </c>
      <c r="I1135" s="9">
        <v>45350</v>
      </c>
    </row>
    <row r="1136" spans="1:9" x14ac:dyDescent="0.15">
      <c r="A1136" s="6">
        <v>1135</v>
      </c>
      <c r="B1136" s="7" t="s">
        <v>10</v>
      </c>
      <c r="C1136" s="8">
        <v>1888</v>
      </c>
      <c r="D1136" s="9">
        <v>45432</v>
      </c>
      <c r="E1136" s="13" t="str">
        <f>+HYPERLINK("http://trademark.i-assist.jp/data/china/image_1888th/76997577.pdf","76997577")</f>
        <v>76997577</v>
      </c>
      <c r="F1136" s="7" t="s">
        <v>3188</v>
      </c>
      <c r="G1136" s="7" t="s">
        <v>3189</v>
      </c>
      <c r="H1136" s="7" t="s">
        <v>3190</v>
      </c>
      <c r="I1136" s="9">
        <v>45350</v>
      </c>
    </row>
    <row r="1137" spans="1:9" x14ac:dyDescent="0.15">
      <c r="A1137" s="6">
        <v>1136</v>
      </c>
      <c r="B1137" s="7" t="s">
        <v>10</v>
      </c>
      <c r="C1137" s="8">
        <v>1888</v>
      </c>
      <c r="D1137" s="9">
        <v>45432</v>
      </c>
      <c r="E1137" s="13" t="str">
        <f>+HYPERLINK("http://trademark.i-assist.jp/data/china/image_1888th/76997607.pdf","76997607")</f>
        <v>76997607</v>
      </c>
      <c r="F1137" s="7" t="s">
        <v>3191</v>
      </c>
      <c r="G1137" s="7" t="s">
        <v>3192</v>
      </c>
      <c r="H1137" s="7" t="s">
        <v>3193</v>
      </c>
      <c r="I1137" s="9">
        <v>45350</v>
      </c>
    </row>
    <row r="1138" spans="1:9" x14ac:dyDescent="0.15">
      <c r="A1138" s="6">
        <v>1137</v>
      </c>
      <c r="B1138" s="7" t="s">
        <v>10</v>
      </c>
      <c r="C1138" s="8">
        <v>1888</v>
      </c>
      <c r="D1138" s="9">
        <v>45432</v>
      </c>
      <c r="E1138" s="13" t="str">
        <f>+HYPERLINK("http://trademark.i-assist.jp/data/china/image_1888th/76997624.pdf","76997624")</f>
        <v>76997624</v>
      </c>
      <c r="F1138" s="7" t="s">
        <v>3194</v>
      </c>
      <c r="G1138" s="7" t="s">
        <v>3195</v>
      </c>
      <c r="H1138" s="7" t="s">
        <v>3196</v>
      </c>
      <c r="I1138" s="9">
        <v>45350</v>
      </c>
    </row>
    <row r="1139" spans="1:9" x14ac:dyDescent="0.15">
      <c r="A1139" s="6">
        <v>1138</v>
      </c>
      <c r="B1139" s="7" t="s">
        <v>10</v>
      </c>
      <c r="C1139" s="8">
        <v>1888</v>
      </c>
      <c r="D1139" s="9">
        <v>45432</v>
      </c>
      <c r="E1139" s="13" t="str">
        <f>+HYPERLINK("http://trademark.i-assist.jp/data/china/image_1888th/76997654.pdf","76997654")</f>
        <v>76997654</v>
      </c>
      <c r="F1139" s="7" t="s">
        <v>3197</v>
      </c>
      <c r="G1139" s="7" t="s">
        <v>3144</v>
      </c>
      <c r="H1139" s="7" t="s">
        <v>3198</v>
      </c>
      <c r="I1139" s="9">
        <v>45350</v>
      </c>
    </row>
    <row r="1140" spans="1:9" ht="27" x14ac:dyDescent="0.15">
      <c r="A1140" s="6">
        <v>1139</v>
      </c>
      <c r="B1140" s="7" t="s">
        <v>10</v>
      </c>
      <c r="C1140" s="8">
        <v>1888</v>
      </c>
      <c r="D1140" s="9">
        <v>45432</v>
      </c>
      <c r="E1140" s="13" t="str">
        <f>+HYPERLINK("http://trademark.i-assist.jp/data/china/image_1888th/76998117.pdf","76998117")</f>
        <v>76998117</v>
      </c>
      <c r="F1140" s="7" t="s">
        <v>3199</v>
      </c>
      <c r="G1140" s="7" t="s">
        <v>3200</v>
      </c>
      <c r="H1140" s="7" t="s">
        <v>3201</v>
      </c>
      <c r="I1140" s="9">
        <v>45350</v>
      </c>
    </row>
    <row r="1141" spans="1:9" ht="27" x14ac:dyDescent="0.15">
      <c r="A1141" s="6">
        <v>1140</v>
      </c>
      <c r="B1141" s="7" t="s">
        <v>10</v>
      </c>
      <c r="C1141" s="8">
        <v>1888</v>
      </c>
      <c r="D1141" s="9">
        <v>45432</v>
      </c>
      <c r="E1141" s="13" t="str">
        <f>+HYPERLINK("http://trademark.i-assist.jp/data/china/image_1888th/76998384.pdf","76998384")</f>
        <v>76998384</v>
      </c>
      <c r="F1141" s="7" t="s">
        <v>3202</v>
      </c>
      <c r="G1141" s="7" t="s">
        <v>3150</v>
      </c>
      <c r="H1141" s="7" t="s">
        <v>3203</v>
      </c>
      <c r="I1141" s="9">
        <v>45350</v>
      </c>
    </row>
    <row r="1142" spans="1:9" x14ac:dyDescent="0.15">
      <c r="A1142" s="6">
        <v>1141</v>
      </c>
      <c r="B1142" s="7" t="s">
        <v>10</v>
      </c>
      <c r="C1142" s="8">
        <v>1888</v>
      </c>
      <c r="D1142" s="9">
        <v>45432</v>
      </c>
      <c r="E1142" s="13" t="str">
        <f>+HYPERLINK("http://trademark.i-assist.jp/data/china/image_1888th/76999076.pdf","76999076")</f>
        <v>76999076</v>
      </c>
      <c r="F1142" s="7" t="s">
        <v>76</v>
      </c>
      <c r="G1142" s="7" t="s">
        <v>3204</v>
      </c>
      <c r="H1142" s="7" t="s">
        <v>3205</v>
      </c>
      <c r="I1142" s="9">
        <v>45350</v>
      </c>
    </row>
    <row r="1143" spans="1:9" x14ac:dyDescent="0.15">
      <c r="A1143" s="6">
        <v>1142</v>
      </c>
      <c r="B1143" s="7" t="s">
        <v>10</v>
      </c>
      <c r="C1143" s="8">
        <v>1888</v>
      </c>
      <c r="D1143" s="9">
        <v>45432</v>
      </c>
      <c r="E1143" s="13" t="str">
        <f>+HYPERLINK("http://trademark.i-assist.jp/data/china/image_1888th/76999151.pdf","76999151")</f>
        <v>76999151</v>
      </c>
      <c r="F1143" s="7" t="s">
        <v>3206</v>
      </c>
      <c r="G1143" s="7" t="s">
        <v>3207</v>
      </c>
      <c r="H1143" s="7" t="s">
        <v>3208</v>
      </c>
      <c r="I1143" s="9">
        <v>45350</v>
      </c>
    </row>
    <row r="1144" spans="1:9" x14ac:dyDescent="0.15">
      <c r="A1144" s="6">
        <v>1143</v>
      </c>
      <c r="B1144" s="7" t="s">
        <v>10</v>
      </c>
      <c r="C1144" s="8">
        <v>1888</v>
      </c>
      <c r="D1144" s="9">
        <v>45432</v>
      </c>
      <c r="E1144" s="13" t="str">
        <f>+HYPERLINK("http://trademark.i-assist.jp/data/china/image_1888th/77000049.pdf","77000049")</f>
        <v>77000049</v>
      </c>
      <c r="F1144" s="7" t="s">
        <v>3209</v>
      </c>
      <c r="G1144" s="7" t="s">
        <v>3210</v>
      </c>
      <c r="H1144" s="7" t="s">
        <v>3211</v>
      </c>
      <c r="I1144" s="9">
        <v>45350</v>
      </c>
    </row>
    <row r="1145" spans="1:9" ht="27" x14ac:dyDescent="0.15">
      <c r="A1145" s="6">
        <v>1144</v>
      </c>
      <c r="B1145" s="7" t="s">
        <v>10</v>
      </c>
      <c r="C1145" s="8">
        <v>1888</v>
      </c>
      <c r="D1145" s="9">
        <v>45432</v>
      </c>
      <c r="E1145" s="13" t="str">
        <f>+HYPERLINK("http://trademark.i-assist.jp/data/china/image_1888th/77000521.pdf","77000521")</f>
        <v>77000521</v>
      </c>
      <c r="F1145" s="7" t="s">
        <v>3212</v>
      </c>
      <c r="G1145" s="7" t="s">
        <v>3213</v>
      </c>
      <c r="H1145" s="7" t="s">
        <v>3214</v>
      </c>
      <c r="I1145" s="9">
        <v>45350</v>
      </c>
    </row>
    <row r="1146" spans="1:9" x14ac:dyDescent="0.15">
      <c r="A1146" s="6">
        <v>1145</v>
      </c>
      <c r="B1146" s="7" t="s">
        <v>10</v>
      </c>
      <c r="C1146" s="8">
        <v>1888</v>
      </c>
      <c r="D1146" s="9">
        <v>45432</v>
      </c>
      <c r="E1146" s="13" t="str">
        <f>+HYPERLINK("http://trademark.i-assist.jp/data/china/image_1888th/77000804.pdf","77000804")</f>
        <v>77000804</v>
      </c>
      <c r="F1146" s="7" t="s">
        <v>3215</v>
      </c>
      <c r="G1146" s="7" t="s">
        <v>3216</v>
      </c>
      <c r="H1146" s="7" t="s">
        <v>3217</v>
      </c>
      <c r="I1146" s="9">
        <v>45350</v>
      </c>
    </row>
    <row r="1147" spans="1:9" x14ac:dyDescent="0.15">
      <c r="A1147" s="6">
        <v>1146</v>
      </c>
      <c r="B1147" s="7" t="s">
        <v>10</v>
      </c>
      <c r="C1147" s="8">
        <v>1888</v>
      </c>
      <c r="D1147" s="9">
        <v>45432</v>
      </c>
      <c r="E1147" s="13" t="str">
        <f>+HYPERLINK("http://trademark.i-assist.jp/data/china/image_1888th/77000915.pdf","77000915")</f>
        <v>77000915</v>
      </c>
      <c r="F1147" s="7" t="s">
        <v>3218</v>
      </c>
      <c r="G1147" s="7" t="s">
        <v>3219</v>
      </c>
      <c r="H1147" s="7" t="s">
        <v>3220</v>
      </c>
      <c r="I1147" s="9">
        <v>45350</v>
      </c>
    </row>
    <row r="1148" spans="1:9" x14ac:dyDescent="0.15">
      <c r="A1148" s="6">
        <v>1147</v>
      </c>
      <c r="B1148" s="7" t="s">
        <v>10</v>
      </c>
      <c r="C1148" s="8">
        <v>1888</v>
      </c>
      <c r="D1148" s="9">
        <v>45432</v>
      </c>
      <c r="E1148" s="13" t="str">
        <f>+HYPERLINK("http://trademark.i-assist.jp/data/china/image_1888th/77000987.pdf","77000987")</f>
        <v>77000987</v>
      </c>
      <c r="F1148" s="7" t="s">
        <v>76</v>
      </c>
      <c r="G1148" s="7" t="s">
        <v>3221</v>
      </c>
      <c r="H1148" s="7" t="s">
        <v>3222</v>
      </c>
      <c r="I1148" s="9">
        <v>45350</v>
      </c>
    </row>
    <row r="1149" spans="1:9" x14ac:dyDescent="0.15">
      <c r="A1149" s="6">
        <v>1148</v>
      </c>
      <c r="B1149" s="7" t="s">
        <v>10</v>
      </c>
      <c r="C1149" s="8">
        <v>1888</v>
      </c>
      <c r="D1149" s="9">
        <v>45432</v>
      </c>
      <c r="E1149" s="13" t="str">
        <f>+HYPERLINK("http://trademark.i-assist.jp/data/china/image_1888th/77001023.pdf","77001023")</f>
        <v>77001023</v>
      </c>
      <c r="F1149" s="7" t="s">
        <v>3223</v>
      </c>
      <c r="G1149" s="7" t="s">
        <v>3224</v>
      </c>
      <c r="H1149" s="7" t="s">
        <v>3225</v>
      </c>
      <c r="I1149" s="9">
        <v>45350</v>
      </c>
    </row>
    <row r="1150" spans="1:9" x14ac:dyDescent="0.15">
      <c r="A1150" s="6">
        <v>1149</v>
      </c>
      <c r="B1150" s="7" t="s">
        <v>10</v>
      </c>
      <c r="C1150" s="8">
        <v>1888</v>
      </c>
      <c r="D1150" s="9">
        <v>45432</v>
      </c>
      <c r="E1150" s="13" t="str">
        <f>+HYPERLINK("http://trademark.i-assist.jp/data/china/image_1888th/77001296.pdf","77001296")</f>
        <v>77001296</v>
      </c>
      <c r="F1150" s="7" t="s">
        <v>3226</v>
      </c>
      <c r="G1150" s="7" t="s">
        <v>3227</v>
      </c>
      <c r="H1150" s="7" t="s">
        <v>3228</v>
      </c>
      <c r="I1150" s="9">
        <v>45350</v>
      </c>
    </row>
    <row r="1151" spans="1:9" ht="27" x14ac:dyDescent="0.15">
      <c r="A1151" s="6">
        <v>1150</v>
      </c>
      <c r="B1151" s="7" t="s">
        <v>10</v>
      </c>
      <c r="C1151" s="8">
        <v>1888</v>
      </c>
      <c r="D1151" s="9">
        <v>45432</v>
      </c>
      <c r="E1151" s="13" t="str">
        <f>+HYPERLINK("http://trademark.i-assist.jp/data/china/image_1888th/77001300.pdf","77001300")</f>
        <v>77001300</v>
      </c>
      <c r="F1151" s="7" t="s">
        <v>76</v>
      </c>
      <c r="G1151" s="7" t="s">
        <v>3229</v>
      </c>
      <c r="H1151" s="7" t="s">
        <v>3230</v>
      </c>
      <c r="I1151" s="9">
        <v>45350</v>
      </c>
    </row>
    <row r="1152" spans="1:9" x14ac:dyDescent="0.15">
      <c r="A1152" s="6">
        <v>1151</v>
      </c>
      <c r="B1152" s="7" t="s">
        <v>10</v>
      </c>
      <c r="C1152" s="8">
        <v>1888</v>
      </c>
      <c r="D1152" s="9">
        <v>45432</v>
      </c>
      <c r="E1152" s="13" t="str">
        <f>+HYPERLINK("http://trademark.i-assist.jp/data/china/image_1888th/77001313.pdf","77001313")</f>
        <v>77001313</v>
      </c>
      <c r="F1152" s="7" t="s">
        <v>3231</v>
      </c>
      <c r="G1152" s="7" t="s">
        <v>3147</v>
      </c>
      <c r="H1152" s="7" t="s">
        <v>3232</v>
      </c>
      <c r="I1152" s="9">
        <v>45350</v>
      </c>
    </row>
    <row r="1153" spans="1:9" x14ac:dyDescent="0.15">
      <c r="A1153" s="6">
        <v>1152</v>
      </c>
      <c r="B1153" s="7" t="s">
        <v>10</v>
      </c>
      <c r="C1153" s="8">
        <v>1888</v>
      </c>
      <c r="D1153" s="9">
        <v>45432</v>
      </c>
      <c r="E1153" s="13" t="str">
        <f>+HYPERLINK("http://trademark.i-assist.jp/data/china/image_1888th/77001354.pdf","77001354")</f>
        <v>77001354</v>
      </c>
      <c r="F1153" s="7" t="s">
        <v>3233</v>
      </c>
      <c r="G1153" s="7" t="s">
        <v>3234</v>
      </c>
      <c r="H1153" s="7" t="s">
        <v>3235</v>
      </c>
      <c r="I1153" s="9">
        <v>45350</v>
      </c>
    </row>
    <row r="1154" spans="1:9" x14ac:dyDescent="0.15">
      <c r="A1154" s="6">
        <v>1153</v>
      </c>
      <c r="B1154" s="7" t="s">
        <v>10</v>
      </c>
      <c r="C1154" s="8">
        <v>1888</v>
      </c>
      <c r="D1154" s="9">
        <v>45432</v>
      </c>
      <c r="E1154" s="13" t="str">
        <f>+HYPERLINK("http://trademark.i-assist.jp/data/china/image_1888th/77001438.pdf","77001438")</f>
        <v>77001438</v>
      </c>
      <c r="F1154" s="7" t="s">
        <v>3236</v>
      </c>
      <c r="G1154" s="7" t="s">
        <v>3237</v>
      </c>
      <c r="H1154" s="7" t="s">
        <v>3238</v>
      </c>
      <c r="I1154" s="9">
        <v>45350</v>
      </c>
    </row>
    <row r="1155" spans="1:9" ht="27" x14ac:dyDescent="0.15">
      <c r="A1155" s="6">
        <v>1154</v>
      </c>
      <c r="B1155" s="7" t="s">
        <v>10</v>
      </c>
      <c r="C1155" s="8">
        <v>1888</v>
      </c>
      <c r="D1155" s="9">
        <v>45432</v>
      </c>
      <c r="E1155" s="13" t="str">
        <f>+HYPERLINK("http://trademark.i-assist.jp/data/china/image_1888th/77001556.pdf","77001556")</f>
        <v>77001556</v>
      </c>
      <c r="F1155" s="7" t="s">
        <v>3239</v>
      </c>
      <c r="G1155" s="7" t="s">
        <v>3240</v>
      </c>
      <c r="H1155" s="7" t="s">
        <v>3241</v>
      </c>
      <c r="I1155" s="9">
        <v>45350</v>
      </c>
    </row>
    <row r="1156" spans="1:9" x14ac:dyDescent="0.15">
      <c r="A1156" s="6">
        <v>1155</v>
      </c>
      <c r="B1156" s="7" t="s">
        <v>10</v>
      </c>
      <c r="C1156" s="8">
        <v>1888</v>
      </c>
      <c r="D1156" s="9">
        <v>45432</v>
      </c>
      <c r="E1156" s="13" t="str">
        <f>+HYPERLINK("http://trademark.i-assist.jp/data/china/image_1888th/77002457.pdf","77002457")</f>
        <v>77002457</v>
      </c>
      <c r="F1156" s="7" t="s">
        <v>3242</v>
      </c>
      <c r="G1156" s="7" t="s">
        <v>3243</v>
      </c>
      <c r="H1156" s="7" t="s">
        <v>3244</v>
      </c>
      <c r="I1156" s="9">
        <v>45350</v>
      </c>
    </row>
    <row r="1157" spans="1:9" x14ac:dyDescent="0.15">
      <c r="A1157" s="6">
        <v>1156</v>
      </c>
      <c r="B1157" s="7" t="s">
        <v>10</v>
      </c>
      <c r="C1157" s="8">
        <v>1888</v>
      </c>
      <c r="D1157" s="9">
        <v>45432</v>
      </c>
      <c r="E1157" s="13" t="str">
        <f>+HYPERLINK("http://trademark.i-assist.jp/data/china/image_1888th/77003132.pdf","77003132")</f>
        <v>77003132</v>
      </c>
      <c r="F1157" s="7" t="s">
        <v>3245</v>
      </c>
      <c r="G1157" s="7" t="s">
        <v>3246</v>
      </c>
      <c r="H1157" s="7" t="s">
        <v>3247</v>
      </c>
      <c r="I1157" s="9">
        <v>45350</v>
      </c>
    </row>
    <row r="1158" spans="1:9" x14ac:dyDescent="0.15">
      <c r="A1158" s="6">
        <v>1157</v>
      </c>
      <c r="B1158" s="7" t="s">
        <v>10</v>
      </c>
      <c r="C1158" s="8">
        <v>1888</v>
      </c>
      <c r="D1158" s="9">
        <v>45432</v>
      </c>
      <c r="E1158" s="13" t="str">
        <f>+HYPERLINK("http://trademark.i-assist.jp/data/china/image_1888th/77003233.pdf","77003233")</f>
        <v>77003233</v>
      </c>
      <c r="F1158" s="7" t="s">
        <v>3248</v>
      </c>
      <c r="G1158" s="7" t="s">
        <v>3249</v>
      </c>
      <c r="H1158" s="7" t="s">
        <v>3250</v>
      </c>
      <c r="I1158" s="9">
        <v>45350</v>
      </c>
    </row>
    <row r="1159" spans="1:9" x14ac:dyDescent="0.15">
      <c r="A1159" s="6">
        <v>1158</v>
      </c>
      <c r="B1159" s="7" t="s">
        <v>10</v>
      </c>
      <c r="C1159" s="8">
        <v>1888</v>
      </c>
      <c r="D1159" s="9">
        <v>45432</v>
      </c>
      <c r="E1159" s="13" t="str">
        <f>+HYPERLINK("http://trademark.i-assist.jp/data/china/image_1888th/77003771.pdf","77003771")</f>
        <v>77003771</v>
      </c>
      <c r="F1159" s="7" t="s">
        <v>3251</v>
      </c>
      <c r="G1159" s="7" t="s">
        <v>3252</v>
      </c>
      <c r="H1159" s="7" t="s">
        <v>3253</v>
      </c>
      <c r="I1159" s="9">
        <v>45350</v>
      </c>
    </row>
    <row r="1160" spans="1:9" x14ac:dyDescent="0.15">
      <c r="A1160" s="6">
        <v>1159</v>
      </c>
      <c r="B1160" s="7" t="s">
        <v>10</v>
      </c>
      <c r="C1160" s="8">
        <v>1888</v>
      </c>
      <c r="D1160" s="9">
        <v>45432</v>
      </c>
      <c r="E1160" s="13" t="str">
        <f>+HYPERLINK("http://trademark.i-assist.jp/data/china/image_1888th/77004106.pdf","77004106")</f>
        <v>77004106</v>
      </c>
      <c r="F1160" s="7" t="s">
        <v>76</v>
      </c>
      <c r="G1160" s="7" t="s">
        <v>3254</v>
      </c>
      <c r="H1160" s="7" t="s">
        <v>3255</v>
      </c>
      <c r="I1160" s="9">
        <v>45350</v>
      </c>
    </row>
    <row r="1161" spans="1:9" ht="27" x14ac:dyDescent="0.15">
      <c r="A1161" s="6">
        <v>1160</v>
      </c>
      <c r="B1161" s="7" t="s">
        <v>10</v>
      </c>
      <c r="C1161" s="8">
        <v>1888</v>
      </c>
      <c r="D1161" s="9">
        <v>45432</v>
      </c>
      <c r="E1161" s="13" t="str">
        <f>+HYPERLINK("http://trademark.i-assist.jp/data/china/image_1888th/77004217.pdf","77004217")</f>
        <v>77004217</v>
      </c>
      <c r="F1161" s="7" t="s">
        <v>3256</v>
      </c>
      <c r="G1161" s="7" t="s">
        <v>3257</v>
      </c>
      <c r="H1161" s="7" t="s">
        <v>3258</v>
      </c>
      <c r="I1161" s="9">
        <v>45350</v>
      </c>
    </row>
    <row r="1162" spans="1:9" x14ac:dyDescent="0.15">
      <c r="A1162" s="6">
        <v>1161</v>
      </c>
      <c r="B1162" s="7" t="s">
        <v>10</v>
      </c>
      <c r="C1162" s="8">
        <v>1888</v>
      </c>
      <c r="D1162" s="9">
        <v>45432</v>
      </c>
      <c r="E1162" s="13" t="str">
        <f>+HYPERLINK("http://trademark.i-assist.jp/data/china/image_1888th/77004340.pdf","77004340")</f>
        <v>77004340</v>
      </c>
      <c r="F1162" s="7" t="s">
        <v>3259</v>
      </c>
      <c r="G1162" s="7" t="s">
        <v>3260</v>
      </c>
      <c r="H1162" s="7" t="s">
        <v>3261</v>
      </c>
      <c r="I1162" s="9">
        <v>45350</v>
      </c>
    </row>
    <row r="1163" spans="1:9" ht="27" x14ac:dyDescent="0.15">
      <c r="A1163" s="6">
        <v>1162</v>
      </c>
      <c r="B1163" s="7" t="s">
        <v>10</v>
      </c>
      <c r="C1163" s="8">
        <v>1888</v>
      </c>
      <c r="D1163" s="9">
        <v>45432</v>
      </c>
      <c r="E1163" s="13" t="str">
        <f>+HYPERLINK("http://trademark.i-assist.jp/data/china/image_1888th/77004392.pdf","77004392")</f>
        <v>77004392</v>
      </c>
      <c r="F1163" s="7" t="s">
        <v>3262</v>
      </c>
      <c r="G1163" s="7" t="s">
        <v>3263</v>
      </c>
      <c r="H1163" s="7" t="s">
        <v>3264</v>
      </c>
      <c r="I1163" s="9">
        <v>45350</v>
      </c>
    </row>
    <row r="1164" spans="1:9" x14ac:dyDescent="0.15">
      <c r="A1164" s="6">
        <v>1163</v>
      </c>
      <c r="B1164" s="7" t="s">
        <v>10</v>
      </c>
      <c r="C1164" s="8">
        <v>1888</v>
      </c>
      <c r="D1164" s="9">
        <v>45432</v>
      </c>
      <c r="E1164" s="13" t="str">
        <f>+HYPERLINK("http://trademark.i-assist.jp/data/china/image_1888th/77004414.pdf","77004414")</f>
        <v>77004414</v>
      </c>
      <c r="F1164" s="7" t="s">
        <v>3265</v>
      </c>
      <c r="G1164" s="7" t="s">
        <v>3266</v>
      </c>
      <c r="H1164" s="7" t="s">
        <v>3267</v>
      </c>
      <c r="I1164" s="9">
        <v>45350</v>
      </c>
    </row>
    <row r="1165" spans="1:9" x14ac:dyDescent="0.15">
      <c r="A1165" s="6">
        <v>1164</v>
      </c>
      <c r="B1165" s="7" t="s">
        <v>10</v>
      </c>
      <c r="C1165" s="8">
        <v>1888</v>
      </c>
      <c r="D1165" s="9">
        <v>45432</v>
      </c>
      <c r="E1165" s="13" t="str">
        <f>+HYPERLINK("http://trademark.i-assist.jp/data/china/image_1888th/77004417.pdf","77004417")</f>
        <v>77004417</v>
      </c>
      <c r="F1165" s="7" t="s">
        <v>3268</v>
      </c>
      <c r="G1165" s="7" t="s">
        <v>3269</v>
      </c>
      <c r="H1165" s="7" t="s">
        <v>3270</v>
      </c>
      <c r="I1165" s="9">
        <v>45350</v>
      </c>
    </row>
    <row r="1166" spans="1:9" ht="27" x14ac:dyDescent="0.15">
      <c r="A1166" s="6">
        <v>1165</v>
      </c>
      <c r="B1166" s="7" t="s">
        <v>10</v>
      </c>
      <c r="C1166" s="8">
        <v>1888</v>
      </c>
      <c r="D1166" s="9">
        <v>45432</v>
      </c>
      <c r="E1166" s="13" t="str">
        <f>+HYPERLINK("http://trademark.i-assist.jp/data/china/image_1888th/77004422.pdf","77004422")</f>
        <v>77004422</v>
      </c>
      <c r="F1166" s="7" t="s">
        <v>3271</v>
      </c>
      <c r="G1166" s="7" t="s">
        <v>3150</v>
      </c>
      <c r="H1166" s="7" t="s">
        <v>3272</v>
      </c>
      <c r="I1166" s="9">
        <v>45350</v>
      </c>
    </row>
    <row r="1167" spans="1:9" x14ac:dyDescent="0.15">
      <c r="A1167" s="6">
        <v>1166</v>
      </c>
      <c r="B1167" s="7" t="s">
        <v>10</v>
      </c>
      <c r="C1167" s="8">
        <v>1888</v>
      </c>
      <c r="D1167" s="9">
        <v>45432</v>
      </c>
      <c r="E1167" s="13" t="str">
        <f>+HYPERLINK("http://trademark.i-assist.jp/data/china/image_1888th/77004840.pdf","77004840")</f>
        <v>77004840</v>
      </c>
      <c r="F1167" s="7" t="s">
        <v>3273</v>
      </c>
      <c r="G1167" s="7" t="s">
        <v>3274</v>
      </c>
      <c r="H1167" s="7" t="s">
        <v>3275</v>
      </c>
      <c r="I1167" s="9">
        <v>45350</v>
      </c>
    </row>
    <row r="1168" spans="1:9" x14ac:dyDescent="0.15">
      <c r="A1168" s="6">
        <v>1167</v>
      </c>
      <c r="B1168" s="7" t="s">
        <v>10</v>
      </c>
      <c r="C1168" s="8">
        <v>1888</v>
      </c>
      <c r="D1168" s="9">
        <v>45432</v>
      </c>
      <c r="E1168" s="13" t="str">
        <f>+HYPERLINK("http://trademark.i-assist.jp/data/china/image_1888th/77004846.pdf","77004846")</f>
        <v>77004846</v>
      </c>
      <c r="F1168" s="7" t="s">
        <v>3276</v>
      </c>
      <c r="G1168" s="7" t="s">
        <v>3277</v>
      </c>
      <c r="H1168" s="7" t="s">
        <v>3278</v>
      </c>
      <c r="I1168" s="9">
        <v>45350</v>
      </c>
    </row>
    <row r="1169" spans="1:9" x14ac:dyDescent="0.15">
      <c r="A1169" s="6">
        <v>1168</v>
      </c>
      <c r="B1169" s="7" t="s">
        <v>10</v>
      </c>
      <c r="C1169" s="8">
        <v>1888</v>
      </c>
      <c r="D1169" s="9">
        <v>45432</v>
      </c>
      <c r="E1169" s="13" t="str">
        <f>+HYPERLINK("http://trademark.i-assist.jp/data/china/image_1888th/77004993.pdf","77004993")</f>
        <v>77004993</v>
      </c>
      <c r="F1169" s="7" t="s">
        <v>3279</v>
      </c>
      <c r="G1169" s="7" t="s">
        <v>3280</v>
      </c>
      <c r="H1169" s="7" t="s">
        <v>3281</v>
      </c>
      <c r="I1169" s="9">
        <v>45350</v>
      </c>
    </row>
    <row r="1170" spans="1:9" x14ac:dyDescent="0.15">
      <c r="A1170" s="6">
        <v>1169</v>
      </c>
      <c r="B1170" s="7" t="s">
        <v>10</v>
      </c>
      <c r="C1170" s="8">
        <v>1888</v>
      </c>
      <c r="D1170" s="9">
        <v>45432</v>
      </c>
      <c r="E1170" s="13" t="str">
        <f>+HYPERLINK("http://trademark.i-assist.jp/data/china/image_1888th/77005289.pdf","77005289")</f>
        <v>77005289</v>
      </c>
      <c r="F1170" s="7" t="s">
        <v>3282</v>
      </c>
      <c r="G1170" s="7" t="s">
        <v>3283</v>
      </c>
      <c r="H1170" s="7" t="s">
        <v>3284</v>
      </c>
      <c r="I1170" s="9">
        <v>45350</v>
      </c>
    </row>
    <row r="1171" spans="1:9" x14ac:dyDescent="0.15">
      <c r="A1171" s="6">
        <v>1170</v>
      </c>
      <c r="B1171" s="7" t="s">
        <v>10</v>
      </c>
      <c r="C1171" s="8">
        <v>1888</v>
      </c>
      <c r="D1171" s="9">
        <v>45432</v>
      </c>
      <c r="E1171" s="13" t="str">
        <f>+HYPERLINK("http://trademark.i-assist.jp/data/china/image_1888th/77005298.pdf","77005298")</f>
        <v>77005298</v>
      </c>
      <c r="F1171" s="7" t="s">
        <v>3285</v>
      </c>
      <c r="G1171" s="7" t="s">
        <v>3237</v>
      </c>
      <c r="H1171" s="7" t="s">
        <v>3286</v>
      </c>
      <c r="I1171" s="9">
        <v>45350</v>
      </c>
    </row>
    <row r="1172" spans="1:9" x14ac:dyDescent="0.15">
      <c r="A1172" s="6">
        <v>1171</v>
      </c>
      <c r="B1172" s="7" t="s">
        <v>10</v>
      </c>
      <c r="C1172" s="8">
        <v>1888</v>
      </c>
      <c r="D1172" s="9">
        <v>45432</v>
      </c>
      <c r="E1172" s="13" t="str">
        <f>+HYPERLINK("http://trademark.i-assist.jp/data/china/image_1888th/77005996.pdf","77005996")</f>
        <v>77005996</v>
      </c>
      <c r="F1172" s="7" t="s">
        <v>3287</v>
      </c>
      <c r="G1172" s="7" t="s">
        <v>3269</v>
      </c>
      <c r="H1172" s="7" t="s">
        <v>3288</v>
      </c>
      <c r="I1172" s="9">
        <v>45350</v>
      </c>
    </row>
    <row r="1173" spans="1:9" ht="27" x14ac:dyDescent="0.15">
      <c r="A1173" s="6">
        <v>1172</v>
      </c>
      <c r="B1173" s="7" t="s">
        <v>10</v>
      </c>
      <c r="C1173" s="8">
        <v>1888</v>
      </c>
      <c r="D1173" s="9">
        <v>45432</v>
      </c>
      <c r="E1173" s="13" t="str">
        <f>+HYPERLINK("http://trademark.i-assist.jp/data/china/image_1888th/77006301.pdf","77006301")</f>
        <v>77006301</v>
      </c>
      <c r="F1173" s="7" t="s">
        <v>3289</v>
      </c>
      <c r="G1173" s="7" t="s">
        <v>3290</v>
      </c>
      <c r="H1173" s="7" t="s">
        <v>3291</v>
      </c>
      <c r="I1173" s="9">
        <v>45350</v>
      </c>
    </row>
    <row r="1174" spans="1:9" x14ac:dyDescent="0.15">
      <c r="A1174" s="6">
        <v>1173</v>
      </c>
      <c r="B1174" s="7" t="s">
        <v>10</v>
      </c>
      <c r="C1174" s="8">
        <v>1888</v>
      </c>
      <c r="D1174" s="9">
        <v>45432</v>
      </c>
      <c r="E1174" s="13" t="str">
        <f>+HYPERLINK("http://trademark.i-assist.jp/data/china/image_1888th/77006489.pdf","77006489")</f>
        <v>77006489</v>
      </c>
      <c r="F1174" s="7" t="s">
        <v>3292</v>
      </c>
      <c r="G1174" s="7" t="s">
        <v>3147</v>
      </c>
      <c r="H1174" s="7" t="s">
        <v>3293</v>
      </c>
      <c r="I1174" s="9">
        <v>45350</v>
      </c>
    </row>
    <row r="1175" spans="1:9" x14ac:dyDescent="0.15">
      <c r="A1175" s="6">
        <v>1174</v>
      </c>
      <c r="B1175" s="7" t="s">
        <v>10</v>
      </c>
      <c r="C1175" s="8">
        <v>1888</v>
      </c>
      <c r="D1175" s="9">
        <v>45432</v>
      </c>
      <c r="E1175" s="13" t="str">
        <f>+HYPERLINK("http://trademark.i-assist.jp/data/china/image_1888th/77006771.pdf","77006771")</f>
        <v>77006771</v>
      </c>
      <c r="F1175" s="7" t="s">
        <v>3294</v>
      </c>
      <c r="G1175" s="7" t="s">
        <v>3295</v>
      </c>
      <c r="H1175" s="7" t="s">
        <v>3296</v>
      </c>
      <c r="I1175" s="9">
        <v>45350</v>
      </c>
    </row>
    <row r="1176" spans="1:9" x14ac:dyDescent="0.15">
      <c r="A1176" s="6">
        <v>1175</v>
      </c>
      <c r="B1176" s="7" t="s">
        <v>10</v>
      </c>
      <c r="C1176" s="8">
        <v>1888</v>
      </c>
      <c r="D1176" s="9">
        <v>45432</v>
      </c>
      <c r="E1176" s="13" t="str">
        <f>+HYPERLINK("http://trademark.i-assist.jp/data/china/image_1888th/77006892.pdf","77006892")</f>
        <v>77006892</v>
      </c>
      <c r="F1176" s="7" t="s">
        <v>3297</v>
      </c>
      <c r="G1176" s="7" t="s">
        <v>3298</v>
      </c>
      <c r="H1176" s="7" t="s">
        <v>3299</v>
      </c>
      <c r="I1176" s="9">
        <v>45350</v>
      </c>
    </row>
    <row r="1177" spans="1:9" ht="27" x14ac:dyDescent="0.15">
      <c r="A1177" s="6">
        <v>1176</v>
      </c>
      <c r="B1177" s="7" t="s">
        <v>10</v>
      </c>
      <c r="C1177" s="8">
        <v>1888</v>
      </c>
      <c r="D1177" s="9">
        <v>45432</v>
      </c>
      <c r="E1177" s="13" t="str">
        <f>+HYPERLINK("http://trademark.i-assist.jp/data/china/image_1888th/77007321.pdf","77007321")</f>
        <v>77007321</v>
      </c>
      <c r="F1177" s="7" t="s">
        <v>3300</v>
      </c>
      <c r="G1177" s="7" t="s">
        <v>3150</v>
      </c>
      <c r="H1177" s="7" t="s">
        <v>3301</v>
      </c>
      <c r="I1177" s="9">
        <v>45350</v>
      </c>
    </row>
    <row r="1178" spans="1:9" x14ac:dyDescent="0.15">
      <c r="A1178" s="6">
        <v>1177</v>
      </c>
      <c r="B1178" s="7" t="s">
        <v>10</v>
      </c>
      <c r="C1178" s="8">
        <v>1888</v>
      </c>
      <c r="D1178" s="9">
        <v>45432</v>
      </c>
      <c r="E1178" s="13" t="str">
        <f>+HYPERLINK("http://trademark.i-assist.jp/data/china/image_1888th/77007747.pdf","77007747")</f>
        <v>77007747</v>
      </c>
      <c r="F1178" s="7" t="s">
        <v>3302</v>
      </c>
      <c r="G1178" s="7" t="s">
        <v>3144</v>
      </c>
      <c r="H1178" s="7" t="s">
        <v>3303</v>
      </c>
      <c r="I1178" s="9">
        <v>45350</v>
      </c>
    </row>
    <row r="1179" spans="1:9" x14ac:dyDescent="0.15">
      <c r="A1179" s="6">
        <v>1178</v>
      </c>
      <c r="B1179" s="7" t="s">
        <v>10</v>
      </c>
      <c r="C1179" s="8">
        <v>1888</v>
      </c>
      <c r="D1179" s="9">
        <v>45432</v>
      </c>
      <c r="E1179" s="13" t="str">
        <f>+HYPERLINK("http://trademark.i-assist.jp/data/china/image_1888th/77007841.pdf","77007841")</f>
        <v>77007841</v>
      </c>
      <c r="F1179" s="7" t="s">
        <v>3304</v>
      </c>
      <c r="G1179" s="7" t="s">
        <v>3305</v>
      </c>
      <c r="H1179" s="7" t="s">
        <v>3306</v>
      </c>
      <c r="I1179" s="9">
        <v>45350</v>
      </c>
    </row>
    <row r="1180" spans="1:9" x14ac:dyDescent="0.15">
      <c r="A1180" s="6">
        <v>1179</v>
      </c>
      <c r="B1180" s="7" t="s">
        <v>10</v>
      </c>
      <c r="C1180" s="8">
        <v>1888</v>
      </c>
      <c r="D1180" s="9">
        <v>45432</v>
      </c>
      <c r="E1180" s="13" t="str">
        <f>+HYPERLINK("http://trademark.i-assist.jp/data/china/image_1888th/77007880.pdf","77007880")</f>
        <v>77007880</v>
      </c>
      <c r="F1180" s="7" t="s">
        <v>3307</v>
      </c>
      <c r="G1180" s="7" t="s">
        <v>3308</v>
      </c>
      <c r="H1180" s="7" t="s">
        <v>3309</v>
      </c>
      <c r="I1180" s="9">
        <v>45350</v>
      </c>
    </row>
    <row r="1181" spans="1:9" x14ac:dyDescent="0.15">
      <c r="A1181" s="6">
        <v>1180</v>
      </c>
      <c r="B1181" s="7" t="s">
        <v>10</v>
      </c>
      <c r="C1181" s="8">
        <v>1888</v>
      </c>
      <c r="D1181" s="9">
        <v>45432</v>
      </c>
      <c r="E1181" s="13" t="str">
        <f>+HYPERLINK("http://trademark.i-assist.jp/data/china/image_1888th/77007882.pdf","77007882")</f>
        <v>77007882</v>
      </c>
      <c r="F1181" s="7" t="s">
        <v>3310</v>
      </c>
      <c r="G1181" s="7" t="s">
        <v>3311</v>
      </c>
      <c r="H1181" s="7" t="s">
        <v>3312</v>
      </c>
      <c r="I1181" s="9">
        <v>45350</v>
      </c>
    </row>
    <row r="1182" spans="1:9" x14ac:dyDescent="0.15">
      <c r="A1182" s="6">
        <v>1181</v>
      </c>
      <c r="B1182" s="7" t="s">
        <v>10</v>
      </c>
      <c r="C1182" s="8">
        <v>1888</v>
      </c>
      <c r="D1182" s="9">
        <v>45432</v>
      </c>
      <c r="E1182" s="13" t="str">
        <f>+HYPERLINK("http://trademark.i-assist.jp/data/china/image_1888th/77008041.pdf","77008041")</f>
        <v>77008041</v>
      </c>
      <c r="F1182" s="7" t="s">
        <v>3313</v>
      </c>
      <c r="G1182" s="7" t="s">
        <v>3314</v>
      </c>
      <c r="H1182" s="7" t="s">
        <v>3315</v>
      </c>
      <c r="I1182" s="9">
        <v>45350</v>
      </c>
    </row>
    <row r="1183" spans="1:9" x14ac:dyDescent="0.15">
      <c r="A1183" s="6">
        <v>1182</v>
      </c>
      <c r="B1183" s="7" t="s">
        <v>10</v>
      </c>
      <c r="C1183" s="8">
        <v>1888</v>
      </c>
      <c r="D1183" s="9">
        <v>45432</v>
      </c>
      <c r="E1183" s="13" t="str">
        <f>+HYPERLINK("http://trademark.i-assist.jp/data/china/image_1888th/77008478.pdf","77008478")</f>
        <v>77008478</v>
      </c>
      <c r="F1183" s="7" t="s">
        <v>3307</v>
      </c>
      <c r="G1183" s="7" t="s">
        <v>3308</v>
      </c>
      <c r="H1183" s="7" t="s">
        <v>3316</v>
      </c>
      <c r="I1183" s="9">
        <v>45350</v>
      </c>
    </row>
    <row r="1184" spans="1:9" x14ac:dyDescent="0.15">
      <c r="A1184" s="6">
        <v>1183</v>
      </c>
      <c r="B1184" s="7" t="s">
        <v>10</v>
      </c>
      <c r="C1184" s="8">
        <v>1888</v>
      </c>
      <c r="D1184" s="9">
        <v>45432</v>
      </c>
      <c r="E1184" s="13" t="str">
        <f>+HYPERLINK("http://trademark.i-assist.jp/data/china/image_1888th/77008716.pdf","77008716")</f>
        <v>77008716</v>
      </c>
      <c r="F1184" s="7" t="s">
        <v>3317</v>
      </c>
      <c r="G1184" s="7" t="s">
        <v>3318</v>
      </c>
      <c r="H1184" s="7" t="s">
        <v>3319</v>
      </c>
      <c r="I1184" s="9">
        <v>45350</v>
      </c>
    </row>
    <row r="1185" spans="1:9" x14ac:dyDescent="0.15">
      <c r="A1185" s="6">
        <v>1184</v>
      </c>
      <c r="B1185" s="7" t="s">
        <v>10</v>
      </c>
      <c r="C1185" s="8">
        <v>1888</v>
      </c>
      <c r="D1185" s="9">
        <v>45432</v>
      </c>
      <c r="E1185" s="13" t="str">
        <f>+HYPERLINK("http://trademark.i-assist.jp/data/china/image_1888th/77008747.pdf","77008747")</f>
        <v>77008747</v>
      </c>
      <c r="F1185" s="7" t="s">
        <v>3320</v>
      </c>
      <c r="G1185" s="7" t="s">
        <v>3249</v>
      </c>
      <c r="H1185" s="7" t="s">
        <v>3321</v>
      </c>
      <c r="I1185" s="9">
        <v>45350</v>
      </c>
    </row>
    <row r="1186" spans="1:9" x14ac:dyDescent="0.15">
      <c r="A1186" s="6">
        <v>1185</v>
      </c>
      <c r="B1186" s="7" t="s">
        <v>10</v>
      </c>
      <c r="C1186" s="8">
        <v>1888</v>
      </c>
      <c r="D1186" s="9">
        <v>45432</v>
      </c>
      <c r="E1186" s="13" t="str">
        <f>+HYPERLINK("http://trademark.i-assist.jp/data/china/image_1888th/77008854.pdf","77008854")</f>
        <v>77008854</v>
      </c>
      <c r="F1186" s="7" t="s">
        <v>3322</v>
      </c>
      <c r="G1186" s="7" t="s">
        <v>3323</v>
      </c>
      <c r="H1186" s="7" t="s">
        <v>3324</v>
      </c>
      <c r="I1186" s="9">
        <v>45350</v>
      </c>
    </row>
    <row r="1187" spans="1:9" x14ac:dyDescent="0.15">
      <c r="A1187" s="6">
        <v>1186</v>
      </c>
      <c r="B1187" s="7" t="s">
        <v>10</v>
      </c>
      <c r="C1187" s="8">
        <v>1888</v>
      </c>
      <c r="D1187" s="9">
        <v>45432</v>
      </c>
      <c r="E1187" s="13" t="str">
        <f>+HYPERLINK("http://trademark.i-assist.jp/data/china/image_1888th/77008909.pdf","77008909")</f>
        <v>77008909</v>
      </c>
      <c r="F1187" s="7" t="s">
        <v>3325</v>
      </c>
      <c r="G1187" s="7" t="s">
        <v>3326</v>
      </c>
      <c r="H1187" s="7" t="s">
        <v>3327</v>
      </c>
      <c r="I1187" s="9">
        <v>45350</v>
      </c>
    </row>
    <row r="1188" spans="1:9" x14ac:dyDescent="0.15">
      <c r="A1188" s="6">
        <v>1187</v>
      </c>
      <c r="B1188" s="7" t="s">
        <v>10</v>
      </c>
      <c r="C1188" s="8">
        <v>1888</v>
      </c>
      <c r="D1188" s="9">
        <v>45432</v>
      </c>
      <c r="E1188" s="13" t="str">
        <f>+HYPERLINK("http://trademark.i-assist.jp/data/china/image_1888th/77008999.pdf","77008999")</f>
        <v>77008999</v>
      </c>
      <c r="F1188" s="7" t="s">
        <v>3328</v>
      </c>
      <c r="G1188" s="7" t="s">
        <v>3329</v>
      </c>
      <c r="H1188" s="7" t="s">
        <v>3330</v>
      </c>
      <c r="I1188" s="9">
        <v>45350</v>
      </c>
    </row>
    <row r="1189" spans="1:9" x14ac:dyDescent="0.15">
      <c r="A1189" s="6">
        <v>1188</v>
      </c>
      <c r="B1189" s="7" t="s">
        <v>10</v>
      </c>
      <c r="C1189" s="8">
        <v>1888</v>
      </c>
      <c r="D1189" s="9">
        <v>45432</v>
      </c>
      <c r="E1189" s="13" t="str">
        <f>+HYPERLINK("http://trademark.i-assist.jp/data/china/image_1888th/77009113.pdf","77009113")</f>
        <v>77009113</v>
      </c>
      <c r="F1189" s="7" t="s">
        <v>3331</v>
      </c>
      <c r="G1189" s="7" t="s">
        <v>3332</v>
      </c>
      <c r="H1189" s="7" t="s">
        <v>3333</v>
      </c>
      <c r="I1189" s="9">
        <v>45350</v>
      </c>
    </row>
    <row r="1190" spans="1:9" x14ac:dyDescent="0.15">
      <c r="A1190" s="6">
        <v>1189</v>
      </c>
      <c r="B1190" s="7" t="s">
        <v>10</v>
      </c>
      <c r="C1190" s="8">
        <v>1888</v>
      </c>
      <c r="D1190" s="9">
        <v>45432</v>
      </c>
      <c r="E1190" s="13" t="str">
        <f>+HYPERLINK("http://trademark.i-assist.jp/data/china/image_1888th/77009220.pdf","77009220")</f>
        <v>77009220</v>
      </c>
      <c r="F1190" s="7" t="s">
        <v>3334</v>
      </c>
      <c r="G1190" s="7" t="s">
        <v>3335</v>
      </c>
      <c r="H1190" s="7" t="s">
        <v>3336</v>
      </c>
      <c r="I1190" s="9">
        <v>45350</v>
      </c>
    </row>
    <row r="1191" spans="1:9" ht="27" x14ac:dyDescent="0.15">
      <c r="A1191" s="6">
        <v>1190</v>
      </c>
      <c r="B1191" s="7" t="s">
        <v>10</v>
      </c>
      <c r="C1191" s="8">
        <v>1888</v>
      </c>
      <c r="D1191" s="9">
        <v>45432</v>
      </c>
      <c r="E1191" s="13" t="str">
        <f>+HYPERLINK("http://trademark.i-assist.jp/data/china/image_1888th/77009256.pdf","77009256")</f>
        <v>77009256</v>
      </c>
      <c r="F1191" s="7" t="s">
        <v>3337</v>
      </c>
      <c r="G1191" s="7" t="s">
        <v>3150</v>
      </c>
      <c r="H1191" s="7" t="s">
        <v>3338</v>
      </c>
      <c r="I1191" s="9">
        <v>45350</v>
      </c>
    </row>
    <row r="1192" spans="1:9" x14ac:dyDescent="0.15">
      <c r="A1192" s="6">
        <v>1191</v>
      </c>
      <c r="B1192" s="7" t="s">
        <v>10</v>
      </c>
      <c r="C1192" s="8">
        <v>1888</v>
      </c>
      <c r="D1192" s="9">
        <v>45432</v>
      </c>
      <c r="E1192" s="13" t="str">
        <f>+HYPERLINK("http://trademark.i-assist.jp/data/china/image_1888th/77009265.pdf","77009265")</f>
        <v>77009265</v>
      </c>
      <c r="F1192" s="7" t="s">
        <v>3339</v>
      </c>
      <c r="G1192" s="7" t="s">
        <v>3340</v>
      </c>
      <c r="H1192" s="7" t="s">
        <v>3341</v>
      </c>
      <c r="I1192" s="9">
        <v>45350</v>
      </c>
    </row>
    <row r="1193" spans="1:9" x14ac:dyDescent="0.15">
      <c r="A1193" s="6">
        <v>1192</v>
      </c>
      <c r="B1193" s="7" t="s">
        <v>10</v>
      </c>
      <c r="C1193" s="8">
        <v>1888</v>
      </c>
      <c r="D1193" s="9">
        <v>45432</v>
      </c>
      <c r="E1193" s="13" t="str">
        <f>+HYPERLINK("http://trademark.i-assist.jp/data/china/image_1888th/77009272.pdf","77009272")</f>
        <v>77009272</v>
      </c>
      <c r="F1193" s="7" t="s">
        <v>3342</v>
      </c>
      <c r="G1193" s="7" t="s">
        <v>3343</v>
      </c>
      <c r="H1193" s="7" t="s">
        <v>3344</v>
      </c>
      <c r="I1193" s="9">
        <v>45350</v>
      </c>
    </row>
    <row r="1194" spans="1:9" x14ac:dyDescent="0.15">
      <c r="A1194" s="6">
        <v>1193</v>
      </c>
      <c r="B1194" s="7" t="s">
        <v>10</v>
      </c>
      <c r="C1194" s="8">
        <v>1888</v>
      </c>
      <c r="D1194" s="9">
        <v>45432</v>
      </c>
      <c r="E1194" s="13" t="str">
        <f>+HYPERLINK("http://trademark.i-assist.jp/data/china/image_1888th/77009510.pdf","77009510")</f>
        <v>77009510</v>
      </c>
      <c r="F1194" s="7" t="s">
        <v>3345</v>
      </c>
      <c r="G1194" s="7" t="s">
        <v>3346</v>
      </c>
      <c r="H1194" s="7" t="s">
        <v>3347</v>
      </c>
      <c r="I1194" s="9">
        <v>45350</v>
      </c>
    </row>
    <row r="1195" spans="1:9" x14ac:dyDescent="0.15">
      <c r="A1195" s="6">
        <v>1194</v>
      </c>
      <c r="B1195" s="7" t="s">
        <v>10</v>
      </c>
      <c r="C1195" s="8">
        <v>1888</v>
      </c>
      <c r="D1195" s="9">
        <v>45432</v>
      </c>
      <c r="E1195" s="13" t="str">
        <f>+HYPERLINK("http://trademark.i-assist.jp/data/china/image_1888th/77009709.pdf","77009709")</f>
        <v>77009709</v>
      </c>
      <c r="F1195" s="7" t="s">
        <v>3348</v>
      </c>
      <c r="G1195" s="7" t="s">
        <v>3147</v>
      </c>
      <c r="H1195" s="7" t="s">
        <v>3349</v>
      </c>
      <c r="I1195" s="9">
        <v>45350</v>
      </c>
    </row>
    <row r="1196" spans="1:9" x14ac:dyDescent="0.15">
      <c r="A1196" s="6">
        <v>1195</v>
      </c>
      <c r="B1196" s="7" t="s">
        <v>10</v>
      </c>
      <c r="C1196" s="8">
        <v>1888</v>
      </c>
      <c r="D1196" s="9">
        <v>45432</v>
      </c>
      <c r="E1196" s="13" t="str">
        <f>+HYPERLINK("http://trademark.i-assist.jp/data/china/image_1888th/77010089.pdf","77010089")</f>
        <v>77010089</v>
      </c>
      <c r="F1196" s="7" t="s">
        <v>3350</v>
      </c>
      <c r="G1196" s="7" t="s">
        <v>3351</v>
      </c>
      <c r="H1196" s="7" t="s">
        <v>3352</v>
      </c>
      <c r="I1196" s="9">
        <v>45350</v>
      </c>
    </row>
    <row r="1197" spans="1:9" x14ac:dyDescent="0.15">
      <c r="A1197" s="6">
        <v>1196</v>
      </c>
      <c r="B1197" s="7" t="s">
        <v>10</v>
      </c>
      <c r="C1197" s="8">
        <v>1888</v>
      </c>
      <c r="D1197" s="9">
        <v>45432</v>
      </c>
      <c r="E1197" s="13" t="str">
        <f>+HYPERLINK("http://trademark.i-assist.jp/data/china/image_1888th/77010530.pdf","77010530")</f>
        <v>77010530</v>
      </c>
      <c r="F1197" s="7" t="s">
        <v>3353</v>
      </c>
      <c r="G1197" s="7" t="s">
        <v>3354</v>
      </c>
      <c r="H1197" s="7" t="s">
        <v>3355</v>
      </c>
      <c r="I1197" s="9">
        <v>45350</v>
      </c>
    </row>
    <row r="1198" spans="1:9" x14ac:dyDescent="0.15">
      <c r="A1198" s="6">
        <v>1197</v>
      </c>
      <c r="B1198" s="7" t="s">
        <v>10</v>
      </c>
      <c r="C1198" s="8">
        <v>1888</v>
      </c>
      <c r="D1198" s="9">
        <v>45432</v>
      </c>
      <c r="E1198" s="13" t="str">
        <f>+HYPERLINK("http://trademark.i-assist.jp/data/china/image_1888th/77010612.pdf","77010612")</f>
        <v>77010612</v>
      </c>
      <c r="F1198" s="7" t="s">
        <v>3356</v>
      </c>
      <c r="G1198" s="7" t="s">
        <v>3357</v>
      </c>
      <c r="H1198" s="7" t="s">
        <v>3358</v>
      </c>
      <c r="I1198" s="9">
        <v>45350</v>
      </c>
    </row>
    <row r="1199" spans="1:9" x14ac:dyDescent="0.15">
      <c r="A1199" s="6">
        <v>1198</v>
      </c>
      <c r="B1199" s="7" t="s">
        <v>10</v>
      </c>
      <c r="C1199" s="8">
        <v>1888</v>
      </c>
      <c r="D1199" s="9">
        <v>45432</v>
      </c>
      <c r="E1199" s="13" t="str">
        <f>+HYPERLINK("http://trademark.i-assist.jp/data/china/image_1888th/77011177.pdf","77011177")</f>
        <v>77011177</v>
      </c>
      <c r="F1199" s="7" t="s">
        <v>3359</v>
      </c>
      <c r="G1199" s="7" t="s">
        <v>3360</v>
      </c>
      <c r="H1199" s="7" t="s">
        <v>3361</v>
      </c>
      <c r="I1199" s="9">
        <v>45350</v>
      </c>
    </row>
    <row r="1200" spans="1:9" x14ac:dyDescent="0.15">
      <c r="A1200" s="6">
        <v>1199</v>
      </c>
      <c r="B1200" s="7" t="s">
        <v>10</v>
      </c>
      <c r="C1200" s="8">
        <v>1888</v>
      </c>
      <c r="D1200" s="9">
        <v>45432</v>
      </c>
      <c r="E1200" s="13" t="str">
        <f>+HYPERLINK("http://trademark.i-assist.jp/data/china/image_1888th/77011319.pdf","77011319")</f>
        <v>77011319</v>
      </c>
      <c r="F1200" s="7" t="s">
        <v>3362</v>
      </c>
      <c r="G1200" s="7" t="s">
        <v>3363</v>
      </c>
      <c r="H1200" s="7" t="s">
        <v>3364</v>
      </c>
      <c r="I1200" s="9">
        <v>45350</v>
      </c>
    </row>
    <row r="1201" spans="1:9" x14ac:dyDescent="0.15">
      <c r="A1201" s="6">
        <v>1200</v>
      </c>
      <c r="B1201" s="7" t="s">
        <v>10</v>
      </c>
      <c r="C1201" s="8">
        <v>1888</v>
      </c>
      <c r="D1201" s="9">
        <v>45432</v>
      </c>
      <c r="E1201" s="13" t="str">
        <f>+HYPERLINK("http://trademark.i-assist.jp/data/china/image_1888th/77011433.pdf","77011433")</f>
        <v>77011433</v>
      </c>
      <c r="F1201" s="7" t="s">
        <v>3365</v>
      </c>
      <c r="G1201" s="7" t="s">
        <v>3366</v>
      </c>
      <c r="H1201" s="7" t="s">
        <v>3367</v>
      </c>
      <c r="I1201" s="9">
        <v>45350</v>
      </c>
    </row>
    <row r="1202" spans="1:9" x14ac:dyDescent="0.15">
      <c r="A1202" s="6">
        <v>1201</v>
      </c>
      <c r="B1202" s="7" t="s">
        <v>10</v>
      </c>
      <c r="C1202" s="8">
        <v>1888</v>
      </c>
      <c r="D1202" s="9">
        <v>45432</v>
      </c>
      <c r="E1202" s="13" t="str">
        <f>+HYPERLINK("http://trademark.i-assist.jp/data/china/image_1888th/77011596.pdf","77011596")</f>
        <v>77011596</v>
      </c>
      <c r="F1202" s="7" t="s">
        <v>3368</v>
      </c>
      <c r="G1202" s="7" t="s">
        <v>3369</v>
      </c>
      <c r="H1202" s="7" t="s">
        <v>3370</v>
      </c>
      <c r="I1202" s="9">
        <v>45350</v>
      </c>
    </row>
    <row r="1203" spans="1:9" x14ac:dyDescent="0.15">
      <c r="A1203" s="6">
        <v>1202</v>
      </c>
      <c r="B1203" s="7" t="s">
        <v>10</v>
      </c>
      <c r="C1203" s="8">
        <v>1888</v>
      </c>
      <c r="D1203" s="9">
        <v>45432</v>
      </c>
      <c r="E1203" s="13" t="str">
        <f>+HYPERLINK("http://trademark.i-assist.jp/data/china/image_1888th/77011789.pdf","77011789")</f>
        <v>77011789</v>
      </c>
      <c r="F1203" s="7" t="s">
        <v>3371</v>
      </c>
      <c r="G1203" s="7" t="s">
        <v>3372</v>
      </c>
      <c r="H1203" s="7" t="s">
        <v>3373</v>
      </c>
      <c r="I1203" s="9">
        <v>45350</v>
      </c>
    </row>
    <row r="1204" spans="1:9" x14ac:dyDescent="0.15">
      <c r="A1204" s="6">
        <v>1203</v>
      </c>
      <c r="B1204" s="7" t="s">
        <v>10</v>
      </c>
      <c r="C1204" s="8">
        <v>1888</v>
      </c>
      <c r="D1204" s="9">
        <v>45432</v>
      </c>
      <c r="E1204" s="13" t="str">
        <f>+HYPERLINK("http://trademark.i-assist.jp/data/china/image_1888th/77011850.pdf","77011850")</f>
        <v>77011850</v>
      </c>
      <c r="F1204" s="7" t="s">
        <v>3374</v>
      </c>
      <c r="G1204" s="7" t="s">
        <v>3375</v>
      </c>
      <c r="H1204" s="7" t="s">
        <v>3376</v>
      </c>
      <c r="I1204" s="9">
        <v>45350</v>
      </c>
    </row>
    <row r="1205" spans="1:9" x14ac:dyDescent="0.15">
      <c r="A1205" s="6">
        <v>1204</v>
      </c>
      <c r="B1205" s="7" t="s">
        <v>10</v>
      </c>
      <c r="C1205" s="8">
        <v>1888</v>
      </c>
      <c r="D1205" s="9">
        <v>45432</v>
      </c>
      <c r="E1205" s="13" t="str">
        <f>+HYPERLINK("http://trademark.i-assist.jp/data/china/image_1888th/77011952.pdf","77011952")</f>
        <v>77011952</v>
      </c>
      <c r="F1205" s="7" t="s">
        <v>3377</v>
      </c>
      <c r="G1205" s="7" t="s">
        <v>3378</v>
      </c>
      <c r="H1205" s="7" t="s">
        <v>3379</v>
      </c>
      <c r="I1205" s="9">
        <v>45350</v>
      </c>
    </row>
    <row r="1206" spans="1:9" x14ac:dyDescent="0.15">
      <c r="A1206" s="6">
        <v>1205</v>
      </c>
      <c r="B1206" s="7" t="s">
        <v>10</v>
      </c>
      <c r="C1206" s="8">
        <v>1888</v>
      </c>
      <c r="D1206" s="9">
        <v>45432</v>
      </c>
      <c r="E1206" s="13" t="str">
        <f>+HYPERLINK("http://trademark.i-assist.jp/data/china/image_1888th/77012033.pdf","77012033")</f>
        <v>77012033</v>
      </c>
      <c r="F1206" s="7" t="s">
        <v>3380</v>
      </c>
      <c r="G1206" s="7" t="s">
        <v>3237</v>
      </c>
      <c r="H1206" s="7" t="s">
        <v>3381</v>
      </c>
      <c r="I1206" s="9">
        <v>45350</v>
      </c>
    </row>
    <row r="1207" spans="1:9" x14ac:dyDescent="0.15">
      <c r="A1207" s="6">
        <v>1206</v>
      </c>
      <c r="B1207" s="7" t="s">
        <v>10</v>
      </c>
      <c r="C1207" s="8">
        <v>1888</v>
      </c>
      <c r="D1207" s="9">
        <v>45432</v>
      </c>
      <c r="E1207" s="13" t="str">
        <f>+HYPERLINK("http://trademark.i-assist.jp/data/china/image_1888th/77012658.pdf","77012658")</f>
        <v>77012658</v>
      </c>
      <c r="F1207" s="7" t="s">
        <v>3382</v>
      </c>
      <c r="G1207" s="7" t="s">
        <v>3383</v>
      </c>
      <c r="H1207" s="7" t="s">
        <v>3384</v>
      </c>
      <c r="I1207" s="9">
        <v>45350</v>
      </c>
    </row>
    <row r="1208" spans="1:9" x14ac:dyDescent="0.15">
      <c r="A1208" s="6">
        <v>1207</v>
      </c>
      <c r="B1208" s="7" t="s">
        <v>10</v>
      </c>
      <c r="C1208" s="8">
        <v>1888</v>
      </c>
      <c r="D1208" s="9">
        <v>45432</v>
      </c>
      <c r="E1208" s="13" t="str">
        <f>+HYPERLINK("http://trademark.i-assist.jp/data/china/image_1888th/77012770.pdf","77012770")</f>
        <v>77012770</v>
      </c>
      <c r="F1208" s="7" t="s">
        <v>3385</v>
      </c>
      <c r="G1208" s="7" t="s">
        <v>3386</v>
      </c>
      <c r="H1208" s="7" t="s">
        <v>3387</v>
      </c>
      <c r="I1208" s="9">
        <v>45350</v>
      </c>
    </row>
    <row r="1209" spans="1:9" x14ac:dyDescent="0.15">
      <c r="A1209" s="6">
        <v>1208</v>
      </c>
      <c r="B1209" s="7" t="s">
        <v>10</v>
      </c>
      <c r="C1209" s="8">
        <v>1888</v>
      </c>
      <c r="D1209" s="9">
        <v>45432</v>
      </c>
      <c r="E1209" s="13" t="str">
        <f>+HYPERLINK("http://trademark.i-assist.jp/data/china/image_1888th/77012918.pdf","77012918")</f>
        <v>77012918</v>
      </c>
      <c r="F1209" s="7" t="s">
        <v>76</v>
      </c>
      <c r="G1209" s="7" t="s">
        <v>3388</v>
      </c>
      <c r="H1209" s="7" t="s">
        <v>3389</v>
      </c>
      <c r="I1209" s="9">
        <v>45350</v>
      </c>
    </row>
    <row r="1210" spans="1:9" ht="27" x14ac:dyDescent="0.15">
      <c r="A1210" s="6">
        <v>1209</v>
      </c>
      <c r="B1210" s="7" t="s">
        <v>10</v>
      </c>
      <c r="C1210" s="8">
        <v>1888</v>
      </c>
      <c r="D1210" s="9">
        <v>45432</v>
      </c>
      <c r="E1210" s="13" t="str">
        <f>+HYPERLINK("http://trademark.i-assist.jp/data/china/image_1888th/77013024.pdf","77013024")</f>
        <v>77013024</v>
      </c>
      <c r="F1210" s="7" t="s">
        <v>3390</v>
      </c>
      <c r="G1210" s="7" t="s">
        <v>3391</v>
      </c>
      <c r="H1210" s="7" t="s">
        <v>3392</v>
      </c>
      <c r="I1210" s="9">
        <v>45350</v>
      </c>
    </row>
    <row r="1211" spans="1:9" x14ac:dyDescent="0.15">
      <c r="A1211" s="6">
        <v>1210</v>
      </c>
      <c r="B1211" s="7" t="s">
        <v>10</v>
      </c>
      <c r="C1211" s="8">
        <v>1888</v>
      </c>
      <c r="D1211" s="9">
        <v>45432</v>
      </c>
      <c r="E1211" s="13" t="str">
        <f>+HYPERLINK("http://trademark.i-assist.jp/data/china/image_1888th/77013124.pdf","77013124")</f>
        <v>77013124</v>
      </c>
      <c r="F1211" s="7" t="s">
        <v>3393</v>
      </c>
      <c r="G1211" s="7" t="s">
        <v>3394</v>
      </c>
      <c r="H1211" s="7" t="s">
        <v>3395</v>
      </c>
      <c r="I1211" s="9">
        <v>45350</v>
      </c>
    </row>
    <row r="1212" spans="1:9" x14ac:dyDescent="0.15">
      <c r="A1212" s="6">
        <v>1211</v>
      </c>
      <c r="B1212" s="7" t="s">
        <v>10</v>
      </c>
      <c r="C1212" s="8">
        <v>1888</v>
      </c>
      <c r="D1212" s="9">
        <v>45432</v>
      </c>
      <c r="E1212" s="13" t="str">
        <f>+HYPERLINK("http://trademark.i-assist.jp/data/china/image_1888th/77013192.pdf","77013192")</f>
        <v>77013192</v>
      </c>
      <c r="F1212" s="7" t="s">
        <v>76</v>
      </c>
      <c r="G1212" s="7" t="s">
        <v>3396</v>
      </c>
      <c r="H1212" s="7" t="s">
        <v>3397</v>
      </c>
      <c r="I1212" s="9">
        <v>45350</v>
      </c>
    </row>
    <row r="1213" spans="1:9" x14ac:dyDescent="0.15">
      <c r="A1213" s="6">
        <v>1212</v>
      </c>
      <c r="B1213" s="7" t="s">
        <v>10</v>
      </c>
      <c r="C1213" s="8">
        <v>1888</v>
      </c>
      <c r="D1213" s="9">
        <v>45432</v>
      </c>
      <c r="E1213" s="13" t="str">
        <f>+HYPERLINK("http://trademark.i-assist.jp/data/china/image_1888th/77013231.pdf","77013231")</f>
        <v>77013231</v>
      </c>
      <c r="F1213" s="7" t="s">
        <v>3398</v>
      </c>
      <c r="G1213" s="7" t="s">
        <v>3399</v>
      </c>
      <c r="H1213" s="7" t="s">
        <v>3400</v>
      </c>
      <c r="I1213" s="9">
        <v>45350</v>
      </c>
    </row>
    <row r="1214" spans="1:9" ht="27" x14ac:dyDescent="0.15">
      <c r="A1214" s="6">
        <v>1213</v>
      </c>
      <c r="B1214" s="7" t="s">
        <v>10</v>
      </c>
      <c r="C1214" s="8">
        <v>1888</v>
      </c>
      <c r="D1214" s="9">
        <v>45432</v>
      </c>
      <c r="E1214" s="13" t="str">
        <f>+HYPERLINK("http://trademark.i-assist.jp/data/china/image_1888th/77013486.pdf","77013486")</f>
        <v>77013486</v>
      </c>
      <c r="F1214" s="7" t="s">
        <v>3401</v>
      </c>
      <c r="G1214" s="7" t="s">
        <v>3290</v>
      </c>
      <c r="H1214" s="7" t="s">
        <v>3402</v>
      </c>
      <c r="I1214" s="9">
        <v>45350</v>
      </c>
    </row>
    <row r="1215" spans="1:9" x14ac:dyDescent="0.15">
      <c r="A1215" s="6">
        <v>1214</v>
      </c>
      <c r="B1215" s="7" t="s">
        <v>10</v>
      </c>
      <c r="C1215" s="8">
        <v>1888</v>
      </c>
      <c r="D1215" s="9">
        <v>45432</v>
      </c>
      <c r="E1215" s="13" t="str">
        <f>+HYPERLINK("http://trademark.i-assist.jp/data/china/image_1888th/77013517.pdf","77013517")</f>
        <v>77013517</v>
      </c>
      <c r="F1215" s="7" t="s">
        <v>3403</v>
      </c>
      <c r="G1215" s="7" t="s">
        <v>3404</v>
      </c>
      <c r="H1215" s="7" t="s">
        <v>3405</v>
      </c>
      <c r="I1215" s="9">
        <v>45350</v>
      </c>
    </row>
    <row r="1216" spans="1:9" x14ac:dyDescent="0.15">
      <c r="A1216" s="6">
        <v>1215</v>
      </c>
      <c r="B1216" s="7" t="s">
        <v>10</v>
      </c>
      <c r="C1216" s="8">
        <v>1888</v>
      </c>
      <c r="D1216" s="9">
        <v>45432</v>
      </c>
      <c r="E1216" s="13" t="str">
        <f>+HYPERLINK("http://trademark.i-assist.jp/data/china/image_1888th/77013576.pdf","77013576")</f>
        <v>77013576</v>
      </c>
      <c r="F1216" s="7" t="s">
        <v>3406</v>
      </c>
      <c r="G1216" s="7" t="s">
        <v>3407</v>
      </c>
      <c r="H1216" s="7" t="s">
        <v>3408</v>
      </c>
      <c r="I1216" s="9">
        <v>45350</v>
      </c>
    </row>
    <row r="1217" spans="1:9" ht="27" x14ac:dyDescent="0.15">
      <c r="A1217" s="6">
        <v>1216</v>
      </c>
      <c r="B1217" s="7" t="s">
        <v>10</v>
      </c>
      <c r="C1217" s="8">
        <v>1888</v>
      </c>
      <c r="D1217" s="9">
        <v>45432</v>
      </c>
      <c r="E1217" s="13" t="str">
        <f>+HYPERLINK("http://trademark.i-assist.jp/data/china/image_1888th/77013707.pdf","77013707")</f>
        <v>77013707</v>
      </c>
      <c r="F1217" s="7" t="s">
        <v>3409</v>
      </c>
      <c r="G1217" s="7" t="s">
        <v>3150</v>
      </c>
      <c r="H1217" s="7" t="s">
        <v>3410</v>
      </c>
      <c r="I1217" s="9">
        <v>45350</v>
      </c>
    </row>
    <row r="1218" spans="1:9" x14ac:dyDescent="0.15">
      <c r="A1218" s="6">
        <v>1217</v>
      </c>
      <c r="B1218" s="7" t="s">
        <v>10</v>
      </c>
      <c r="C1218" s="8">
        <v>1888</v>
      </c>
      <c r="D1218" s="9">
        <v>45432</v>
      </c>
      <c r="E1218" s="13" t="str">
        <f>+HYPERLINK("http://trademark.i-assist.jp/data/china/image_1888th/77013807.pdf","77013807")</f>
        <v>77013807</v>
      </c>
      <c r="F1218" s="7" t="s">
        <v>3411</v>
      </c>
      <c r="G1218" s="7" t="s">
        <v>3412</v>
      </c>
      <c r="H1218" s="7" t="s">
        <v>3413</v>
      </c>
      <c r="I1218" s="9">
        <v>45350</v>
      </c>
    </row>
    <row r="1219" spans="1:9" x14ac:dyDescent="0.15">
      <c r="A1219" s="6">
        <v>1218</v>
      </c>
      <c r="B1219" s="7" t="s">
        <v>10</v>
      </c>
      <c r="C1219" s="8">
        <v>1888</v>
      </c>
      <c r="D1219" s="9">
        <v>45432</v>
      </c>
      <c r="E1219" s="13" t="str">
        <f>+HYPERLINK("http://trademark.i-assist.jp/data/china/image_1888th/77013893.pdf","77013893")</f>
        <v>77013893</v>
      </c>
      <c r="F1219" s="7" t="s">
        <v>3414</v>
      </c>
      <c r="G1219" s="7" t="s">
        <v>3415</v>
      </c>
      <c r="H1219" s="7" t="s">
        <v>3416</v>
      </c>
      <c r="I1219" s="9">
        <v>45350</v>
      </c>
    </row>
    <row r="1220" spans="1:9" x14ac:dyDescent="0.15">
      <c r="A1220" s="6">
        <v>1219</v>
      </c>
      <c r="B1220" s="7" t="s">
        <v>10</v>
      </c>
      <c r="C1220" s="8">
        <v>1888</v>
      </c>
      <c r="D1220" s="9">
        <v>45432</v>
      </c>
      <c r="E1220" s="13" t="str">
        <f>+HYPERLINK("http://trademark.i-assist.jp/data/china/image_1888th/77013914.pdf","77013914")</f>
        <v>77013914</v>
      </c>
      <c r="F1220" s="7" t="s">
        <v>3417</v>
      </c>
      <c r="G1220" s="7" t="s">
        <v>3418</v>
      </c>
      <c r="H1220" s="7" t="s">
        <v>3419</v>
      </c>
      <c r="I1220" s="9">
        <v>45350</v>
      </c>
    </row>
    <row r="1221" spans="1:9" x14ac:dyDescent="0.15">
      <c r="A1221" s="6">
        <v>1220</v>
      </c>
      <c r="B1221" s="7" t="s">
        <v>10</v>
      </c>
      <c r="C1221" s="8">
        <v>1888</v>
      </c>
      <c r="D1221" s="9">
        <v>45432</v>
      </c>
      <c r="E1221" s="13" t="str">
        <f>+HYPERLINK("http://trademark.i-assist.jp/data/china/image_1888th/77013931.pdf","77013931")</f>
        <v>77013931</v>
      </c>
      <c r="F1221" s="7" t="s">
        <v>3420</v>
      </c>
      <c r="G1221" s="7" t="s">
        <v>3147</v>
      </c>
      <c r="H1221" s="7" t="s">
        <v>3421</v>
      </c>
      <c r="I1221" s="9">
        <v>45350</v>
      </c>
    </row>
    <row r="1222" spans="1:9" x14ac:dyDescent="0.15">
      <c r="A1222" s="6">
        <v>1221</v>
      </c>
      <c r="B1222" s="7" t="s">
        <v>10</v>
      </c>
      <c r="C1222" s="8">
        <v>1888</v>
      </c>
      <c r="D1222" s="9">
        <v>45432</v>
      </c>
      <c r="E1222" s="13" t="str">
        <f>+HYPERLINK("http://trademark.i-assist.jp/data/china/image_1888th/77014527.pdf","77014527")</f>
        <v>77014527</v>
      </c>
      <c r="F1222" s="7" t="s">
        <v>3422</v>
      </c>
      <c r="G1222" s="7" t="s">
        <v>3423</v>
      </c>
      <c r="H1222" s="7" t="s">
        <v>3424</v>
      </c>
      <c r="I1222" s="9">
        <v>45350</v>
      </c>
    </row>
    <row r="1223" spans="1:9" x14ac:dyDescent="0.15">
      <c r="A1223" s="6">
        <v>1222</v>
      </c>
      <c r="B1223" s="7" t="s">
        <v>10</v>
      </c>
      <c r="C1223" s="8">
        <v>1888</v>
      </c>
      <c r="D1223" s="9">
        <v>45432</v>
      </c>
      <c r="E1223" s="13" t="str">
        <f>+HYPERLINK("http://trademark.i-assist.jp/data/china/image_1888th/77014612.pdf","77014612")</f>
        <v>77014612</v>
      </c>
      <c r="F1223" s="7" t="s">
        <v>3425</v>
      </c>
      <c r="G1223" s="7" t="s">
        <v>3237</v>
      </c>
      <c r="H1223" s="7" t="s">
        <v>3426</v>
      </c>
      <c r="I1223" s="9">
        <v>45350</v>
      </c>
    </row>
    <row r="1224" spans="1:9" x14ac:dyDescent="0.15">
      <c r="A1224" s="6">
        <v>1223</v>
      </c>
      <c r="B1224" s="7" t="s">
        <v>10</v>
      </c>
      <c r="C1224" s="8">
        <v>1888</v>
      </c>
      <c r="D1224" s="9">
        <v>45432</v>
      </c>
      <c r="E1224" s="13" t="str">
        <f>+HYPERLINK("http://trademark.i-assist.jp/data/china/image_1888th/77014812.pdf","77014812")</f>
        <v>77014812</v>
      </c>
      <c r="F1224" s="7" t="s">
        <v>3427</v>
      </c>
      <c r="G1224" s="7" t="s">
        <v>3428</v>
      </c>
      <c r="H1224" s="7" t="s">
        <v>3429</v>
      </c>
      <c r="I1224" s="9">
        <v>45350</v>
      </c>
    </row>
    <row r="1225" spans="1:9" x14ac:dyDescent="0.15">
      <c r="A1225" s="6">
        <v>1224</v>
      </c>
      <c r="B1225" s="7" t="s">
        <v>10</v>
      </c>
      <c r="C1225" s="8">
        <v>1888</v>
      </c>
      <c r="D1225" s="9">
        <v>45432</v>
      </c>
      <c r="E1225" s="13" t="str">
        <f>+HYPERLINK("http://trademark.i-assist.jp/data/china/image_1888th/77016162.pdf","77016162")</f>
        <v>77016162</v>
      </c>
      <c r="F1225" s="7" t="s">
        <v>3430</v>
      </c>
      <c r="G1225" s="7" t="s">
        <v>3431</v>
      </c>
      <c r="H1225" s="7" t="s">
        <v>3432</v>
      </c>
      <c r="I1225" s="9">
        <v>45351</v>
      </c>
    </row>
    <row r="1226" spans="1:9" x14ac:dyDescent="0.15">
      <c r="A1226" s="6">
        <v>1225</v>
      </c>
      <c r="B1226" s="7" t="s">
        <v>10</v>
      </c>
      <c r="C1226" s="8">
        <v>1888</v>
      </c>
      <c r="D1226" s="9">
        <v>45432</v>
      </c>
      <c r="E1226" s="13" t="str">
        <f>+HYPERLINK("http://trademark.i-assist.jp/data/china/image_1888th/77016164.pdf","77016164")</f>
        <v>77016164</v>
      </c>
      <c r="F1226" s="7" t="s">
        <v>3433</v>
      </c>
      <c r="G1226" s="7" t="s">
        <v>3434</v>
      </c>
      <c r="H1226" s="7" t="s">
        <v>3435</v>
      </c>
      <c r="I1226" s="9">
        <v>45351</v>
      </c>
    </row>
    <row r="1227" spans="1:9" x14ac:dyDescent="0.15">
      <c r="A1227" s="6">
        <v>1226</v>
      </c>
      <c r="B1227" s="7" t="s">
        <v>10</v>
      </c>
      <c r="C1227" s="8">
        <v>1888</v>
      </c>
      <c r="D1227" s="9">
        <v>45432</v>
      </c>
      <c r="E1227" s="13" t="str">
        <f>+HYPERLINK("http://trademark.i-assist.jp/data/china/image_1888th/77016390.pdf","77016390")</f>
        <v>77016390</v>
      </c>
      <c r="F1227" s="7" t="s">
        <v>3436</v>
      </c>
      <c r="G1227" s="7" t="s">
        <v>3437</v>
      </c>
      <c r="H1227" s="7" t="s">
        <v>3438</v>
      </c>
      <c r="I1227" s="9">
        <v>45351</v>
      </c>
    </row>
    <row r="1228" spans="1:9" x14ac:dyDescent="0.15">
      <c r="A1228" s="6">
        <v>1227</v>
      </c>
      <c r="B1228" s="7" t="s">
        <v>10</v>
      </c>
      <c r="C1228" s="8">
        <v>1888</v>
      </c>
      <c r="D1228" s="9">
        <v>45432</v>
      </c>
      <c r="E1228" s="13" t="str">
        <f>+HYPERLINK("http://trademark.i-assist.jp/data/china/image_1888th/77016738.pdf","77016738")</f>
        <v>77016738</v>
      </c>
      <c r="F1228" s="7" t="s">
        <v>3439</v>
      </c>
      <c r="G1228" s="7" t="s">
        <v>3440</v>
      </c>
      <c r="H1228" s="7" t="s">
        <v>3441</v>
      </c>
      <c r="I1228" s="9">
        <v>45351</v>
      </c>
    </row>
    <row r="1229" spans="1:9" ht="27" x14ac:dyDescent="0.15">
      <c r="A1229" s="6">
        <v>1228</v>
      </c>
      <c r="B1229" s="7" t="s">
        <v>10</v>
      </c>
      <c r="C1229" s="8">
        <v>1888</v>
      </c>
      <c r="D1229" s="9">
        <v>45432</v>
      </c>
      <c r="E1229" s="13" t="str">
        <f>+HYPERLINK("http://trademark.i-assist.jp/data/china/image_1888th/77017005.pdf","77017005")</f>
        <v>77017005</v>
      </c>
      <c r="F1229" s="7" t="s">
        <v>76</v>
      </c>
      <c r="G1229" s="7" t="s">
        <v>3442</v>
      </c>
      <c r="H1229" s="7" t="s">
        <v>3443</v>
      </c>
      <c r="I1229" s="9">
        <v>45351</v>
      </c>
    </row>
    <row r="1230" spans="1:9" x14ac:dyDescent="0.15">
      <c r="A1230" s="6">
        <v>1229</v>
      </c>
      <c r="B1230" s="7" t="s">
        <v>10</v>
      </c>
      <c r="C1230" s="8">
        <v>1888</v>
      </c>
      <c r="D1230" s="9">
        <v>45432</v>
      </c>
      <c r="E1230" s="13" t="str">
        <f>+HYPERLINK("http://trademark.i-assist.jp/data/china/image_1888th/77017045.pdf","77017045")</f>
        <v>77017045</v>
      </c>
      <c r="F1230" s="7" t="s">
        <v>3444</v>
      </c>
      <c r="G1230" s="7" t="s">
        <v>3445</v>
      </c>
      <c r="H1230" s="7" t="s">
        <v>3446</v>
      </c>
      <c r="I1230" s="9">
        <v>45351</v>
      </c>
    </row>
    <row r="1231" spans="1:9" x14ac:dyDescent="0.15">
      <c r="A1231" s="6">
        <v>1230</v>
      </c>
      <c r="B1231" s="7" t="s">
        <v>10</v>
      </c>
      <c r="C1231" s="8">
        <v>1888</v>
      </c>
      <c r="D1231" s="9">
        <v>45432</v>
      </c>
      <c r="E1231" s="13" t="str">
        <f>+HYPERLINK("http://trademark.i-assist.jp/data/china/image_1888th/77017452.pdf","77017452")</f>
        <v>77017452</v>
      </c>
      <c r="F1231" s="7" t="s">
        <v>3447</v>
      </c>
      <c r="G1231" s="7" t="s">
        <v>3448</v>
      </c>
      <c r="H1231" s="7" t="s">
        <v>3449</v>
      </c>
      <c r="I1231" s="9">
        <v>45351</v>
      </c>
    </row>
    <row r="1232" spans="1:9" x14ac:dyDescent="0.15">
      <c r="A1232" s="6">
        <v>1231</v>
      </c>
      <c r="B1232" s="7" t="s">
        <v>10</v>
      </c>
      <c r="C1232" s="8">
        <v>1888</v>
      </c>
      <c r="D1232" s="9">
        <v>45432</v>
      </c>
      <c r="E1232" s="13" t="str">
        <f>+HYPERLINK("http://trademark.i-assist.jp/data/china/image_1888th/77017512.pdf","77017512")</f>
        <v>77017512</v>
      </c>
      <c r="F1232" s="7" t="s">
        <v>3450</v>
      </c>
      <c r="G1232" s="7" t="s">
        <v>3451</v>
      </c>
      <c r="H1232" s="7" t="s">
        <v>3452</v>
      </c>
      <c r="I1232" s="9">
        <v>45351</v>
      </c>
    </row>
    <row r="1233" spans="1:9" ht="27" x14ac:dyDescent="0.15">
      <c r="A1233" s="6">
        <v>1232</v>
      </c>
      <c r="B1233" s="7" t="s">
        <v>10</v>
      </c>
      <c r="C1233" s="8">
        <v>1888</v>
      </c>
      <c r="D1233" s="9">
        <v>45432</v>
      </c>
      <c r="E1233" s="13" t="str">
        <f>+HYPERLINK("http://trademark.i-assist.jp/data/china/image_1888th/77017627.pdf","77017627")</f>
        <v>77017627</v>
      </c>
      <c r="F1233" s="7" t="s">
        <v>3453</v>
      </c>
      <c r="G1233" s="7" t="s">
        <v>3442</v>
      </c>
      <c r="H1233" s="7" t="s">
        <v>3454</v>
      </c>
      <c r="I1233" s="9">
        <v>45351</v>
      </c>
    </row>
    <row r="1234" spans="1:9" x14ac:dyDescent="0.15">
      <c r="A1234" s="6">
        <v>1233</v>
      </c>
      <c r="B1234" s="7" t="s">
        <v>10</v>
      </c>
      <c r="C1234" s="8">
        <v>1888</v>
      </c>
      <c r="D1234" s="9">
        <v>45432</v>
      </c>
      <c r="E1234" s="13" t="str">
        <f>+HYPERLINK("http://trademark.i-assist.jp/data/china/image_1888th/77017728.pdf","77017728")</f>
        <v>77017728</v>
      </c>
      <c r="F1234" s="7" t="s">
        <v>3455</v>
      </c>
      <c r="G1234" s="7" t="s">
        <v>3456</v>
      </c>
      <c r="H1234" s="7" t="s">
        <v>3457</v>
      </c>
      <c r="I1234" s="9">
        <v>45351</v>
      </c>
    </row>
    <row r="1235" spans="1:9" x14ac:dyDescent="0.15">
      <c r="A1235" s="6">
        <v>1234</v>
      </c>
      <c r="B1235" s="7" t="s">
        <v>10</v>
      </c>
      <c r="C1235" s="8">
        <v>1888</v>
      </c>
      <c r="D1235" s="9">
        <v>45432</v>
      </c>
      <c r="E1235" s="13" t="str">
        <f>+HYPERLINK("http://trademark.i-assist.jp/data/china/image_1888th/77017806.pdf","77017806")</f>
        <v>77017806</v>
      </c>
      <c r="F1235" s="7" t="s">
        <v>3458</v>
      </c>
      <c r="G1235" s="7" t="s">
        <v>3459</v>
      </c>
      <c r="H1235" s="7" t="s">
        <v>3460</v>
      </c>
      <c r="I1235" s="9">
        <v>45351</v>
      </c>
    </row>
    <row r="1236" spans="1:9" ht="27" x14ac:dyDescent="0.15">
      <c r="A1236" s="6">
        <v>1235</v>
      </c>
      <c r="B1236" s="7" t="s">
        <v>10</v>
      </c>
      <c r="C1236" s="8">
        <v>1888</v>
      </c>
      <c r="D1236" s="9">
        <v>45432</v>
      </c>
      <c r="E1236" s="13" t="str">
        <f>+HYPERLINK("http://trademark.i-assist.jp/data/china/image_1888th/77017946.pdf","77017946")</f>
        <v>77017946</v>
      </c>
      <c r="F1236" s="7" t="s">
        <v>3461</v>
      </c>
      <c r="G1236" s="7" t="s">
        <v>3462</v>
      </c>
      <c r="H1236" s="7" t="s">
        <v>3463</v>
      </c>
      <c r="I1236" s="9">
        <v>45351</v>
      </c>
    </row>
    <row r="1237" spans="1:9" x14ac:dyDescent="0.15">
      <c r="A1237" s="6">
        <v>1236</v>
      </c>
      <c r="B1237" s="7" t="s">
        <v>10</v>
      </c>
      <c r="C1237" s="8">
        <v>1888</v>
      </c>
      <c r="D1237" s="9">
        <v>45432</v>
      </c>
      <c r="E1237" s="13" t="str">
        <f>+HYPERLINK("http://trademark.i-assist.jp/data/china/image_1888th/77018112.pdf","77018112")</f>
        <v>77018112</v>
      </c>
      <c r="F1237" s="7" t="s">
        <v>3464</v>
      </c>
      <c r="G1237" s="7" t="s">
        <v>3465</v>
      </c>
      <c r="H1237" s="7" t="s">
        <v>3466</v>
      </c>
      <c r="I1237" s="9">
        <v>45351</v>
      </c>
    </row>
    <row r="1238" spans="1:9" x14ac:dyDescent="0.15">
      <c r="A1238" s="6">
        <v>1237</v>
      </c>
      <c r="B1238" s="7" t="s">
        <v>10</v>
      </c>
      <c r="C1238" s="8">
        <v>1888</v>
      </c>
      <c r="D1238" s="9">
        <v>45432</v>
      </c>
      <c r="E1238" s="13" t="str">
        <f>+HYPERLINK("http://trademark.i-assist.jp/data/china/image_1888th/77018613.pdf","77018613")</f>
        <v>77018613</v>
      </c>
      <c r="F1238" s="7" t="s">
        <v>3467</v>
      </c>
      <c r="G1238" s="7" t="s">
        <v>3468</v>
      </c>
      <c r="H1238" s="7" t="s">
        <v>3469</v>
      </c>
      <c r="I1238" s="9">
        <v>45351</v>
      </c>
    </row>
    <row r="1239" spans="1:9" x14ac:dyDescent="0.15">
      <c r="A1239" s="6">
        <v>1238</v>
      </c>
      <c r="B1239" s="7" t="s">
        <v>10</v>
      </c>
      <c r="C1239" s="8">
        <v>1888</v>
      </c>
      <c r="D1239" s="9">
        <v>45432</v>
      </c>
      <c r="E1239" s="13" t="str">
        <f>+HYPERLINK("http://trademark.i-assist.jp/data/china/image_1888th/77018684.pdf","77018684")</f>
        <v>77018684</v>
      </c>
      <c r="F1239" s="7" t="s">
        <v>3470</v>
      </c>
      <c r="G1239" s="7" t="s">
        <v>3471</v>
      </c>
      <c r="H1239" s="7" t="s">
        <v>3472</v>
      </c>
      <c r="I1239" s="9">
        <v>45351</v>
      </c>
    </row>
    <row r="1240" spans="1:9" x14ac:dyDescent="0.15">
      <c r="A1240" s="6">
        <v>1239</v>
      </c>
      <c r="B1240" s="7" t="s">
        <v>10</v>
      </c>
      <c r="C1240" s="8">
        <v>1888</v>
      </c>
      <c r="D1240" s="9">
        <v>45432</v>
      </c>
      <c r="E1240" s="13" t="str">
        <f>+HYPERLINK("http://trademark.i-assist.jp/data/china/image_1888th/77018858.pdf","77018858")</f>
        <v>77018858</v>
      </c>
      <c r="F1240" s="7" t="s">
        <v>3473</v>
      </c>
      <c r="G1240" s="7" t="s">
        <v>3474</v>
      </c>
      <c r="H1240" s="7" t="s">
        <v>3475</v>
      </c>
      <c r="I1240" s="9">
        <v>45351</v>
      </c>
    </row>
    <row r="1241" spans="1:9" x14ac:dyDescent="0.15">
      <c r="A1241" s="6">
        <v>1240</v>
      </c>
      <c r="B1241" s="7" t="s">
        <v>10</v>
      </c>
      <c r="C1241" s="8">
        <v>1888</v>
      </c>
      <c r="D1241" s="9">
        <v>45432</v>
      </c>
      <c r="E1241" s="13" t="str">
        <f>+HYPERLINK("http://trademark.i-assist.jp/data/china/image_1888th/77019579.pdf","77019579")</f>
        <v>77019579</v>
      </c>
      <c r="F1241" s="7" t="s">
        <v>3476</v>
      </c>
      <c r="G1241" s="7" t="s">
        <v>3477</v>
      </c>
      <c r="H1241" s="7" t="s">
        <v>3478</v>
      </c>
      <c r="I1241" s="9">
        <v>45351</v>
      </c>
    </row>
    <row r="1242" spans="1:9" ht="27" x14ac:dyDescent="0.15">
      <c r="A1242" s="6">
        <v>1241</v>
      </c>
      <c r="B1242" s="7" t="s">
        <v>10</v>
      </c>
      <c r="C1242" s="8">
        <v>1888</v>
      </c>
      <c r="D1242" s="9">
        <v>45432</v>
      </c>
      <c r="E1242" s="13" t="str">
        <f>+HYPERLINK("http://trademark.i-assist.jp/data/china/image_1888th/77019945.pdf","77019945")</f>
        <v>77019945</v>
      </c>
      <c r="F1242" s="7" t="s">
        <v>3479</v>
      </c>
      <c r="G1242" s="7" t="s">
        <v>3479</v>
      </c>
      <c r="H1242" s="7" t="s">
        <v>3480</v>
      </c>
      <c r="I1242" s="9">
        <v>45351</v>
      </c>
    </row>
    <row r="1243" spans="1:9" x14ac:dyDescent="0.15">
      <c r="A1243" s="6">
        <v>1242</v>
      </c>
      <c r="B1243" s="7" t="s">
        <v>10</v>
      </c>
      <c r="C1243" s="8">
        <v>1888</v>
      </c>
      <c r="D1243" s="9">
        <v>45432</v>
      </c>
      <c r="E1243" s="13" t="str">
        <f>+HYPERLINK("http://trademark.i-assist.jp/data/china/image_1888th/77020415.pdf","77020415")</f>
        <v>77020415</v>
      </c>
      <c r="F1243" s="7" t="s">
        <v>3481</v>
      </c>
      <c r="G1243" s="7" t="s">
        <v>3482</v>
      </c>
      <c r="H1243" s="7" t="s">
        <v>3483</v>
      </c>
      <c r="I1243" s="9">
        <v>45351</v>
      </c>
    </row>
    <row r="1244" spans="1:9" x14ac:dyDescent="0.15">
      <c r="A1244" s="6">
        <v>1243</v>
      </c>
      <c r="B1244" s="7" t="s">
        <v>10</v>
      </c>
      <c r="C1244" s="8">
        <v>1888</v>
      </c>
      <c r="D1244" s="9">
        <v>45432</v>
      </c>
      <c r="E1244" s="13" t="str">
        <f>+HYPERLINK("http://trademark.i-assist.jp/data/china/image_1888th/77020697.pdf","77020697")</f>
        <v>77020697</v>
      </c>
      <c r="F1244" s="7" t="s">
        <v>3484</v>
      </c>
      <c r="G1244" s="7" t="s">
        <v>3485</v>
      </c>
      <c r="H1244" s="7" t="s">
        <v>3486</v>
      </c>
      <c r="I1244" s="9">
        <v>45351</v>
      </c>
    </row>
    <row r="1245" spans="1:9" ht="27" x14ac:dyDescent="0.15">
      <c r="A1245" s="6">
        <v>1244</v>
      </c>
      <c r="B1245" s="7" t="s">
        <v>10</v>
      </c>
      <c r="C1245" s="8">
        <v>1888</v>
      </c>
      <c r="D1245" s="9">
        <v>45432</v>
      </c>
      <c r="E1245" s="13" t="str">
        <f>+HYPERLINK("http://trademark.i-assist.jp/data/china/image_1888th/77020792.pdf","77020792")</f>
        <v>77020792</v>
      </c>
      <c r="F1245" s="7" t="s">
        <v>3487</v>
      </c>
      <c r="G1245" s="7" t="s">
        <v>3488</v>
      </c>
      <c r="H1245" s="7" t="s">
        <v>3489</v>
      </c>
      <c r="I1245" s="9">
        <v>45351</v>
      </c>
    </row>
    <row r="1246" spans="1:9" ht="27" x14ac:dyDescent="0.15">
      <c r="A1246" s="6">
        <v>1245</v>
      </c>
      <c r="B1246" s="7" t="s">
        <v>10</v>
      </c>
      <c r="C1246" s="8">
        <v>1888</v>
      </c>
      <c r="D1246" s="9">
        <v>45432</v>
      </c>
      <c r="E1246" s="13" t="str">
        <f>+HYPERLINK("http://trademark.i-assist.jp/data/china/image_1888th/77020864.pdf","77020864")</f>
        <v>77020864</v>
      </c>
      <c r="F1246" s="7" t="s">
        <v>3490</v>
      </c>
      <c r="G1246" s="7" t="s">
        <v>3491</v>
      </c>
      <c r="H1246" s="7" t="s">
        <v>3492</v>
      </c>
      <c r="I1246" s="9">
        <v>45351</v>
      </c>
    </row>
    <row r="1247" spans="1:9" x14ac:dyDescent="0.15">
      <c r="A1247" s="6">
        <v>1246</v>
      </c>
      <c r="B1247" s="7" t="s">
        <v>10</v>
      </c>
      <c r="C1247" s="8">
        <v>1888</v>
      </c>
      <c r="D1247" s="9">
        <v>45432</v>
      </c>
      <c r="E1247" s="13" t="str">
        <f>+HYPERLINK("http://trademark.i-assist.jp/data/china/image_1888th/77020941.pdf","77020941")</f>
        <v>77020941</v>
      </c>
      <c r="F1247" s="7" t="s">
        <v>3493</v>
      </c>
      <c r="G1247" s="7" t="s">
        <v>3494</v>
      </c>
      <c r="H1247" s="7" t="s">
        <v>3495</v>
      </c>
      <c r="I1247" s="9">
        <v>45351</v>
      </c>
    </row>
    <row r="1248" spans="1:9" x14ac:dyDescent="0.15">
      <c r="A1248" s="6">
        <v>1247</v>
      </c>
      <c r="B1248" s="7" t="s">
        <v>10</v>
      </c>
      <c r="C1248" s="8">
        <v>1888</v>
      </c>
      <c r="D1248" s="9">
        <v>45432</v>
      </c>
      <c r="E1248" s="13" t="str">
        <f>+HYPERLINK("http://trademark.i-assist.jp/data/china/image_1888th/77021000.pdf","77021000")</f>
        <v>77021000</v>
      </c>
      <c r="F1248" s="7" t="s">
        <v>3496</v>
      </c>
      <c r="G1248" s="7" t="s">
        <v>3497</v>
      </c>
      <c r="H1248" s="7" t="s">
        <v>3498</v>
      </c>
      <c r="I1248" s="9">
        <v>45351</v>
      </c>
    </row>
    <row r="1249" spans="1:9" x14ac:dyDescent="0.15">
      <c r="A1249" s="6">
        <v>1248</v>
      </c>
      <c r="B1249" s="7" t="s">
        <v>10</v>
      </c>
      <c r="C1249" s="8">
        <v>1888</v>
      </c>
      <c r="D1249" s="9">
        <v>45432</v>
      </c>
      <c r="E1249" s="13" t="str">
        <f>+HYPERLINK("http://trademark.i-assist.jp/data/china/image_1888th/77021183.pdf","77021183")</f>
        <v>77021183</v>
      </c>
      <c r="F1249" s="7" t="s">
        <v>3499</v>
      </c>
      <c r="G1249" s="7" t="s">
        <v>3500</v>
      </c>
      <c r="H1249" s="7" t="s">
        <v>3501</v>
      </c>
      <c r="I1249" s="9">
        <v>45351</v>
      </c>
    </row>
    <row r="1250" spans="1:9" x14ac:dyDescent="0.15">
      <c r="A1250" s="6">
        <v>1249</v>
      </c>
      <c r="B1250" s="7" t="s">
        <v>10</v>
      </c>
      <c r="C1250" s="8">
        <v>1888</v>
      </c>
      <c r="D1250" s="9">
        <v>45432</v>
      </c>
      <c r="E1250" s="13" t="str">
        <f>+HYPERLINK("http://trademark.i-assist.jp/data/china/image_1888th/77021342.pdf","77021342")</f>
        <v>77021342</v>
      </c>
      <c r="F1250" s="7" t="s">
        <v>3502</v>
      </c>
      <c r="G1250" s="7" t="s">
        <v>3503</v>
      </c>
      <c r="H1250" s="7" t="s">
        <v>3504</v>
      </c>
      <c r="I1250" s="9">
        <v>45351</v>
      </c>
    </row>
    <row r="1251" spans="1:9" x14ac:dyDescent="0.15">
      <c r="A1251" s="6">
        <v>1250</v>
      </c>
      <c r="B1251" s="7" t="s">
        <v>10</v>
      </c>
      <c r="C1251" s="8">
        <v>1888</v>
      </c>
      <c r="D1251" s="9">
        <v>45432</v>
      </c>
      <c r="E1251" s="13" t="str">
        <f>+HYPERLINK("http://trademark.i-assist.jp/data/china/image_1888th/77021731.pdf","77021731")</f>
        <v>77021731</v>
      </c>
      <c r="F1251" s="7" t="s">
        <v>3505</v>
      </c>
      <c r="G1251" s="7" t="s">
        <v>3506</v>
      </c>
      <c r="H1251" s="7" t="s">
        <v>3507</v>
      </c>
      <c r="I1251" s="9">
        <v>45351</v>
      </c>
    </row>
    <row r="1252" spans="1:9" ht="27" x14ac:dyDescent="0.15">
      <c r="A1252" s="6">
        <v>1251</v>
      </c>
      <c r="B1252" s="7" t="s">
        <v>10</v>
      </c>
      <c r="C1252" s="8">
        <v>1888</v>
      </c>
      <c r="D1252" s="9">
        <v>45432</v>
      </c>
      <c r="E1252" s="13" t="str">
        <f>+HYPERLINK("http://trademark.i-assist.jp/data/china/image_1888th/77021858.pdf","77021858")</f>
        <v>77021858</v>
      </c>
      <c r="F1252" s="7" t="s">
        <v>3508</v>
      </c>
      <c r="G1252" s="7" t="s">
        <v>3442</v>
      </c>
      <c r="H1252" s="7" t="s">
        <v>3509</v>
      </c>
      <c r="I1252" s="9">
        <v>45351</v>
      </c>
    </row>
    <row r="1253" spans="1:9" x14ac:dyDescent="0.15">
      <c r="A1253" s="6">
        <v>1252</v>
      </c>
      <c r="B1253" s="7" t="s">
        <v>10</v>
      </c>
      <c r="C1253" s="8">
        <v>1888</v>
      </c>
      <c r="D1253" s="9">
        <v>45432</v>
      </c>
      <c r="E1253" s="13" t="str">
        <f>+HYPERLINK("http://trademark.i-assist.jp/data/china/image_1888th/77021976.pdf","77021976")</f>
        <v>77021976</v>
      </c>
      <c r="F1253" s="7" t="s">
        <v>3510</v>
      </c>
      <c r="G1253" s="7" t="s">
        <v>3511</v>
      </c>
      <c r="H1253" s="7" t="s">
        <v>3512</v>
      </c>
      <c r="I1253" s="9">
        <v>45351</v>
      </c>
    </row>
    <row r="1254" spans="1:9" x14ac:dyDescent="0.15">
      <c r="A1254" s="6">
        <v>1253</v>
      </c>
      <c r="B1254" s="7" t="s">
        <v>10</v>
      </c>
      <c r="C1254" s="8">
        <v>1888</v>
      </c>
      <c r="D1254" s="9">
        <v>45432</v>
      </c>
      <c r="E1254" s="13" t="str">
        <f>+HYPERLINK("http://trademark.i-assist.jp/data/china/image_1888th/77022325.pdf","77022325")</f>
        <v>77022325</v>
      </c>
      <c r="F1254" s="7" t="s">
        <v>3513</v>
      </c>
      <c r="G1254" s="7" t="s">
        <v>3514</v>
      </c>
      <c r="H1254" s="7" t="s">
        <v>3515</v>
      </c>
      <c r="I1254" s="9">
        <v>45351</v>
      </c>
    </row>
    <row r="1255" spans="1:9" x14ac:dyDescent="0.15">
      <c r="A1255" s="6">
        <v>1254</v>
      </c>
      <c r="B1255" s="7" t="s">
        <v>10</v>
      </c>
      <c r="C1255" s="8">
        <v>1888</v>
      </c>
      <c r="D1255" s="9">
        <v>45432</v>
      </c>
      <c r="E1255" s="13" t="str">
        <f>+HYPERLINK("http://trademark.i-assist.jp/data/china/image_1888th/77022725.pdf","77022725")</f>
        <v>77022725</v>
      </c>
      <c r="F1255" s="7" t="s">
        <v>3516</v>
      </c>
      <c r="G1255" s="7" t="s">
        <v>3517</v>
      </c>
      <c r="H1255" s="7" t="s">
        <v>3518</v>
      </c>
      <c r="I1255" s="9">
        <v>45351</v>
      </c>
    </row>
    <row r="1256" spans="1:9" x14ac:dyDescent="0.15">
      <c r="A1256" s="6">
        <v>1255</v>
      </c>
      <c r="B1256" s="7" t="s">
        <v>10</v>
      </c>
      <c r="C1256" s="8">
        <v>1888</v>
      </c>
      <c r="D1256" s="9">
        <v>45432</v>
      </c>
      <c r="E1256" s="13" t="str">
        <f>+HYPERLINK("http://trademark.i-assist.jp/data/china/image_1888th/77022896.pdf","77022896")</f>
        <v>77022896</v>
      </c>
      <c r="F1256" s="7" t="s">
        <v>3519</v>
      </c>
      <c r="G1256" s="7" t="s">
        <v>3520</v>
      </c>
      <c r="H1256" s="7" t="s">
        <v>3521</v>
      </c>
      <c r="I1256" s="9">
        <v>45351</v>
      </c>
    </row>
    <row r="1257" spans="1:9" x14ac:dyDescent="0.15">
      <c r="A1257" s="6">
        <v>1256</v>
      </c>
      <c r="B1257" s="7" t="s">
        <v>10</v>
      </c>
      <c r="C1257" s="8">
        <v>1888</v>
      </c>
      <c r="D1257" s="9">
        <v>45432</v>
      </c>
      <c r="E1257" s="13" t="str">
        <f>+HYPERLINK("http://trademark.i-assist.jp/data/china/image_1888th/77023490.pdf","77023490")</f>
        <v>77023490</v>
      </c>
      <c r="F1257" s="7" t="s">
        <v>3522</v>
      </c>
      <c r="G1257" s="7" t="s">
        <v>3523</v>
      </c>
      <c r="H1257" s="7" t="s">
        <v>3524</v>
      </c>
      <c r="I1257" s="9">
        <v>45351</v>
      </c>
    </row>
    <row r="1258" spans="1:9" x14ac:dyDescent="0.15">
      <c r="A1258" s="6">
        <v>1257</v>
      </c>
      <c r="B1258" s="7" t="s">
        <v>10</v>
      </c>
      <c r="C1258" s="8">
        <v>1888</v>
      </c>
      <c r="D1258" s="9">
        <v>45432</v>
      </c>
      <c r="E1258" s="13" t="str">
        <f>+HYPERLINK("http://trademark.i-assist.jp/data/china/image_1888th/77023498.pdf","77023498")</f>
        <v>77023498</v>
      </c>
      <c r="F1258" s="7" t="s">
        <v>3525</v>
      </c>
      <c r="G1258" s="7" t="s">
        <v>3526</v>
      </c>
      <c r="H1258" s="7" t="s">
        <v>3527</v>
      </c>
      <c r="I1258" s="9">
        <v>45351</v>
      </c>
    </row>
    <row r="1259" spans="1:9" x14ac:dyDescent="0.15">
      <c r="A1259" s="6">
        <v>1258</v>
      </c>
      <c r="B1259" s="7" t="s">
        <v>10</v>
      </c>
      <c r="C1259" s="8">
        <v>1888</v>
      </c>
      <c r="D1259" s="9">
        <v>45432</v>
      </c>
      <c r="E1259" s="13" t="str">
        <f>+HYPERLINK("http://trademark.i-assist.jp/data/china/image_1888th/77023980.pdf","77023980")</f>
        <v>77023980</v>
      </c>
      <c r="F1259" s="7" t="s">
        <v>3528</v>
      </c>
      <c r="G1259" s="7" t="s">
        <v>3529</v>
      </c>
      <c r="H1259" s="7" t="s">
        <v>3530</v>
      </c>
      <c r="I1259" s="9">
        <v>45351</v>
      </c>
    </row>
    <row r="1260" spans="1:9" x14ac:dyDescent="0.15">
      <c r="A1260" s="6">
        <v>1259</v>
      </c>
      <c r="B1260" s="7" t="s">
        <v>10</v>
      </c>
      <c r="C1260" s="8">
        <v>1888</v>
      </c>
      <c r="D1260" s="9">
        <v>45432</v>
      </c>
      <c r="E1260" s="13" t="str">
        <f>+HYPERLINK("http://trademark.i-assist.jp/data/china/image_1888th/77024152.pdf","77024152")</f>
        <v>77024152</v>
      </c>
      <c r="F1260" s="7" t="s">
        <v>3531</v>
      </c>
      <c r="G1260" s="7" t="s">
        <v>3532</v>
      </c>
      <c r="H1260" s="7" t="s">
        <v>3533</v>
      </c>
      <c r="I1260" s="9">
        <v>45351</v>
      </c>
    </row>
    <row r="1261" spans="1:9" x14ac:dyDescent="0.15">
      <c r="A1261" s="6">
        <v>1260</v>
      </c>
      <c r="B1261" s="7" t="s">
        <v>10</v>
      </c>
      <c r="C1261" s="8">
        <v>1888</v>
      </c>
      <c r="D1261" s="9">
        <v>45432</v>
      </c>
      <c r="E1261" s="13" t="str">
        <f>+HYPERLINK("http://trademark.i-assist.jp/data/china/image_1888th/77024192.pdf","77024192")</f>
        <v>77024192</v>
      </c>
      <c r="F1261" s="7" t="s">
        <v>3534</v>
      </c>
      <c r="G1261" s="7" t="s">
        <v>3535</v>
      </c>
      <c r="H1261" s="7" t="s">
        <v>3536</v>
      </c>
      <c r="I1261" s="9">
        <v>45351</v>
      </c>
    </row>
    <row r="1262" spans="1:9" ht="27" x14ac:dyDescent="0.15">
      <c r="A1262" s="6">
        <v>1261</v>
      </c>
      <c r="B1262" s="7" t="s">
        <v>10</v>
      </c>
      <c r="C1262" s="8">
        <v>1888</v>
      </c>
      <c r="D1262" s="9">
        <v>45432</v>
      </c>
      <c r="E1262" s="13" t="str">
        <f>+HYPERLINK("http://trademark.i-assist.jp/data/china/image_1888th/77024304.pdf","77024304")</f>
        <v>77024304</v>
      </c>
      <c r="F1262" s="7" t="s">
        <v>3487</v>
      </c>
      <c r="G1262" s="7" t="s">
        <v>3488</v>
      </c>
      <c r="H1262" s="7" t="s">
        <v>3537</v>
      </c>
      <c r="I1262" s="9">
        <v>45351</v>
      </c>
    </row>
    <row r="1263" spans="1:9" x14ac:dyDescent="0.15">
      <c r="A1263" s="6">
        <v>1262</v>
      </c>
      <c r="B1263" s="7" t="s">
        <v>10</v>
      </c>
      <c r="C1263" s="8">
        <v>1888</v>
      </c>
      <c r="D1263" s="9">
        <v>45432</v>
      </c>
      <c r="E1263" s="13" t="str">
        <f>+HYPERLINK("http://trademark.i-assist.jp/data/china/image_1888th/77024366.pdf","77024366")</f>
        <v>77024366</v>
      </c>
      <c r="F1263" s="7" t="s">
        <v>3538</v>
      </c>
      <c r="G1263" s="7" t="s">
        <v>3539</v>
      </c>
      <c r="H1263" s="7" t="s">
        <v>3540</v>
      </c>
      <c r="I1263" s="9">
        <v>45351</v>
      </c>
    </row>
    <row r="1264" spans="1:9" x14ac:dyDescent="0.15">
      <c r="A1264" s="6">
        <v>1263</v>
      </c>
      <c r="B1264" s="7" t="s">
        <v>10</v>
      </c>
      <c r="C1264" s="8">
        <v>1888</v>
      </c>
      <c r="D1264" s="9">
        <v>45432</v>
      </c>
      <c r="E1264" s="13" t="str">
        <f>+HYPERLINK("http://trademark.i-assist.jp/data/china/image_1888th/77024391.pdf","77024391")</f>
        <v>77024391</v>
      </c>
      <c r="F1264" s="7" t="s">
        <v>3541</v>
      </c>
      <c r="G1264" s="7" t="s">
        <v>3542</v>
      </c>
      <c r="H1264" s="7" t="s">
        <v>3543</v>
      </c>
      <c r="I1264" s="9">
        <v>45351</v>
      </c>
    </row>
    <row r="1265" spans="1:9" x14ac:dyDescent="0.15">
      <c r="A1265" s="6">
        <v>1264</v>
      </c>
      <c r="B1265" s="7" t="s">
        <v>10</v>
      </c>
      <c r="C1265" s="8">
        <v>1888</v>
      </c>
      <c r="D1265" s="9">
        <v>45432</v>
      </c>
      <c r="E1265" s="13" t="str">
        <f>+HYPERLINK("http://trademark.i-assist.jp/data/china/image_1888th/77024426.pdf","77024426")</f>
        <v>77024426</v>
      </c>
      <c r="F1265" s="7" t="s">
        <v>3544</v>
      </c>
      <c r="G1265" s="7" t="s">
        <v>3545</v>
      </c>
      <c r="H1265" s="7" t="s">
        <v>3546</v>
      </c>
      <c r="I1265" s="9">
        <v>45351</v>
      </c>
    </row>
    <row r="1266" spans="1:9" ht="27" x14ac:dyDescent="0.15">
      <c r="A1266" s="6">
        <v>1265</v>
      </c>
      <c r="B1266" s="7" t="s">
        <v>10</v>
      </c>
      <c r="C1266" s="8">
        <v>1888</v>
      </c>
      <c r="D1266" s="9">
        <v>45432</v>
      </c>
      <c r="E1266" s="13" t="str">
        <f>+HYPERLINK("http://trademark.i-assist.jp/data/china/image_1888th/77024936.pdf","77024936")</f>
        <v>77024936</v>
      </c>
      <c r="F1266" s="7" t="s">
        <v>3547</v>
      </c>
      <c r="G1266" s="7" t="s">
        <v>3548</v>
      </c>
      <c r="H1266" s="7" t="s">
        <v>3549</v>
      </c>
      <c r="I1266" s="9">
        <v>45351</v>
      </c>
    </row>
    <row r="1267" spans="1:9" ht="27" x14ac:dyDescent="0.15">
      <c r="A1267" s="6">
        <v>1266</v>
      </c>
      <c r="B1267" s="7" t="s">
        <v>10</v>
      </c>
      <c r="C1267" s="8">
        <v>1888</v>
      </c>
      <c r="D1267" s="9">
        <v>45432</v>
      </c>
      <c r="E1267" s="13" t="str">
        <f>+HYPERLINK("http://trademark.i-assist.jp/data/china/image_1888th/77024953.pdf","77024953")</f>
        <v>77024953</v>
      </c>
      <c r="F1267" s="7" t="s">
        <v>3550</v>
      </c>
      <c r="G1267" s="7" t="s">
        <v>3551</v>
      </c>
      <c r="H1267" s="7" t="s">
        <v>3552</v>
      </c>
      <c r="I1267" s="9">
        <v>45351</v>
      </c>
    </row>
    <row r="1268" spans="1:9" x14ac:dyDescent="0.15">
      <c r="A1268" s="6">
        <v>1267</v>
      </c>
      <c r="B1268" s="7" t="s">
        <v>10</v>
      </c>
      <c r="C1268" s="8">
        <v>1888</v>
      </c>
      <c r="D1268" s="9">
        <v>45432</v>
      </c>
      <c r="E1268" s="13" t="str">
        <f>+HYPERLINK("http://trademark.i-assist.jp/data/china/image_1888th/77024990.pdf","77024990")</f>
        <v>77024990</v>
      </c>
      <c r="F1268" s="7" t="s">
        <v>3553</v>
      </c>
      <c r="G1268" s="7" t="s">
        <v>3554</v>
      </c>
      <c r="H1268" s="7" t="s">
        <v>3555</v>
      </c>
      <c r="I1268" s="9">
        <v>45351</v>
      </c>
    </row>
    <row r="1269" spans="1:9" x14ac:dyDescent="0.15">
      <c r="A1269" s="6">
        <v>1268</v>
      </c>
      <c r="B1269" s="7" t="s">
        <v>10</v>
      </c>
      <c r="C1269" s="8">
        <v>1888</v>
      </c>
      <c r="D1269" s="9">
        <v>45432</v>
      </c>
      <c r="E1269" s="13" t="str">
        <f>+HYPERLINK("http://trademark.i-assist.jp/data/china/image_1888th/77025010.pdf","77025010")</f>
        <v>77025010</v>
      </c>
      <c r="F1269" s="7" t="s">
        <v>3556</v>
      </c>
      <c r="G1269" s="7" t="s">
        <v>3557</v>
      </c>
      <c r="H1269" s="7" t="s">
        <v>3558</v>
      </c>
      <c r="I1269" s="9">
        <v>45351</v>
      </c>
    </row>
    <row r="1270" spans="1:9" x14ac:dyDescent="0.15">
      <c r="A1270" s="6">
        <v>1269</v>
      </c>
      <c r="B1270" s="7" t="s">
        <v>10</v>
      </c>
      <c r="C1270" s="8">
        <v>1888</v>
      </c>
      <c r="D1270" s="9">
        <v>45432</v>
      </c>
      <c r="E1270" s="13" t="str">
        <f>+HYPERLINK("http://trademark.i-assist.jp/data/china/image_1888th/77025056.pdf","77025056")</f>
        <v>77025056</v>
      </c>
      <c r="F1270" s="7" t="s">
        <v>3559</v>
      </c>
      <c r="G1270" s="7" t="s">
        <v>3560</v>
      </c>
      <c r="H1270" s="7" t="s">
        <v>3561</v>
      </c>
      <c r="I1270" s="9">
        <v>45351</v>
      </c>
    </row>
    <row r="1271" spans="1:9" x14ac:dyDescent="0.15">
      <c r="A1271" s="6">
        <v>1270</v>
      </c>
      <c r="B1271" s="7" t="s">
        <v>10</v>
      </c>
      <c r="C1271" s="8">
        <v>1888</v>
      </c>
      <c r="D1271" s="9">
        <v>45432</v>
      </c>
      <c r="E1271" s="13" t="str">
        <f>+HYPERLINK("http://trademark.i-assist.jp/data/china/image_1888th/77025200.pdf","77025200")</f>
        <v>77025200</v>
      </c>
      <c r="F1271" s="7" t="s">
        <v>3562</v>
      </c>
      <c r="G1271" s="7" t="s">
        <v>3545</v>
      </c>
      <c r="H1271" s="7" t="s">
        <v>3563</v>
      </c>
      <c r="I1271" s="9">
        <v>45351</v>
      </c>
    </row>
    <row r="1272" spans="1:9" ht="27" x14ac:dyDescent="0.15">
      <c r="A1272" s="6">
        <v>1271</v>
      </c>
      <c r="B1272" s="7" t="s">
        <v>10</v>
      </c>
      <c r="C1272" s="8">
        <v>1888</v>
      </c>
      <c r="D1272" s="9">
        <v>45432</v>
      </c>
      <c r="E1272" s="13" t="str">
        <f>+HYPERLINK("http://trademark.i-assist.jp/data/china/image_1888th/77025442.pdf","77025442")</f>
        <v>77025442</v>
      </c>
      <c r="F1272" s="7" t="s">
        <v>3564</v>
      </c>
      <c r="G1272" s="7" t="s">
        <v>3565</v>
      </c>
      <c r="H1272" s="7" t="s">
        <v>3566</v>
      </c>
      <c r="I1272" s="9">
        <v>45351</v>
      </c>
    </row>
    <row r="1273" spans="1:9" x14ac:dyDescent="0.15">
      <c r="A1273" s="6">
        <v>1272</v>
      </c>
      <c r="B1273" s="7" t="s">
        <v>10</v>
      </c>
      <c r="C1273" s="8">
        <v>1888</v>
      </c>
      <c r="D1273" s="9">
        <v>45432</v>
      </c>
      <c r="E1273" s="13" t="str">
        <f>+HYPERLINK("http://trademark.i-assist.jp/data/china/image_1888th/77025461.pdf","77025461")</f>
        <v>77025461</v>
      </c>
      <c r="F1273" s="7" t="s">
        <v>3567</v>
      </c>
      <c r="G1273" s="7" t="s">
        <v>3568</v>
      </c>
      <c r="H1273" s="7" t="s">
        <v>3569</v>
      </c>
      <c r="I1273" s="9">
        <v>45351</v>
      </c>
    </row>
    <row r="1274" spans="1:9" x14ac:dyDescent="0.15">
      <c r="A1274" s="6">
        <v>1273</v>
      </c>
      <c r="B1274" s="7" t="s">
        <v>10</v>
      </c>
      <c r="C1274" s="8">
        <v>1888</v>
      </c>
      <c r="D1274" s="9">
        <v>45432</v>
      </c>
      <c r="E1274" s="13" t="str">
        <f>+HYPERLINK("http://trademark.i-assist.jp/data/china/image_1888th/77025490.pdf","77025490")</f>
        <v>77025490</v>
      </c>
      <c r="F1274" s="7" t="s">
        <v>3570</v>
      </c>
      <c r="G1274" s="7" t="s">
        <v>3571</v>
      </c>
      <c r="H1274" s="7" t="s">
        <v>3572</v>
      </c>
      <c r="I1274" s="9">
        <v>45351</v>
      </c>
    </row>
    <row r="1275" spans="1:9" x14ac:dyDescent="0.15">
      <c r="A1275" s="6">
        <v>1274</v>
      </c>
      <c r="B1275" s="7" t="s">
        <v>10</v>
      </c>
      <c r="C1275" s="8">
        <v>1888</v>
      </c>
      <c r="D1275" s="9">
        <v>45432</v>
      </c>
      <c r="E1275" s="13" t="str">
        <f>+HYPERLINK("http://trademark.i-assist.jp/data/china/image_1888th/77025822.pdf","77025822")</f>
        <v>77025822</v>
      </c>
      <c r="F1275" s="7" t="s">
        <v>3573</v>
      </c>
      <c r="G1275" s="7" t="s">
        <v>3574</v>
      </c>
      <c r="H1275" s="7" t="s">
        <v>3575</v>
      </c>
      <c r="I1275" s="9">
        <v>45351</v>
      </c>
    </row>
    <row r="1276" spans="1:9" x14ac:dyDescent="0.15">
      <c r="A1276" s="6">
        <v>1275</v>
      </c>
      <c r="B1276" s="7" t="s">
        <v>10</v>
      </c>
      <c r="C1276" s="8">
        <v>1888</v>
      </c>
      <c r="D1276" s="9">
        <v>45432</v>
      </c>
      <c r="E1276" s="13" t="str">
        <f>+HYPERLINK("http://trademark.i-assist.jp/data/china/image_1888th/77026618.pdf","77026618")</f>
        <v>77026618</v>
      </c>
      <c r="F1276" s="7" t="s">
        <v>3576</v>
      </c>
      <c r="G1276" s="7" t="s">
        <v>3577</v>
      </c>
      <c r="H1276" s="7" t="s">
        <v>3578</v>
      </c>
      <c r="I1276" s="9">
        <v>45351</v>
      </c>
    </row>
    <row r="1277" spans="1:9" x14ac:dyDescent="0.15">
      <c r="A1277" s="6">
        <v>1276</v>
      </c>
      <c r="B1277" s="7" t="s">
        <v>10</v>
      </c>
      <c r="C1277" s="8">
        <v>1888</v>
      </c>
      <c r="D1277" s="9">
        <v>45432</v>
      </c>
      <c r="E1277" s="13" t="str">
        <f>+HYPERLINK("http://trademark.i-assist.jp/data/china/image_1888th/77026938.pdf","77026938")</f>
        <v>77026938</v>
      </c>
      <c r="F1277" s="7" t="s">
        <v>3579</v>
      </c>
      <c r="G1277" s="7" t="s">
        <v>3580</v>
      </c>
      <c r="H1277" s="7" t="s">
        <v>3581</v>
      </c>
      <c r="I1277" s="9">
        <v>45351</v>
      </c>
    </row>
    <row r="1278" spans="1:9" x14ac:dyDescent="0.15">
      <c r="A1278" s="6">
        <v>1277</v>
      </c>
      <c r="B1278" s="7" t="s">
        <v>10</v>
      </c>
      <c r="C1278" s="8">
        <v>1888</v>
      </c>
      <c r="D1278" s="9">
        <v>45432</v>
      </c>
      <c r="E1278" s="13" t="str">
        <f>+HYPERLINK("http://trademark.i-assist.jp/data/china/image_1888th/77026985.pdf","77026985")</f>
        <v>77026985</v>
      </c>
      <c r="F1278" s="7" t="s">
        <v>76</v>
      </c>
      <c r="G1278" s="7" t="s">
        <v>3582</v>
      </c>
      <c r="H1278" s="7" t="s">
        <v>3583</v>
      </c>
      <c r="I1278" s="9">
        <v>45351</v>
      </c>
    </row>
    <row r="1279" spans="1:9" x14ac:dyDescent="0.15">
      <c r="A1279" s="6">
        <v>1278</v>
      </c>
      <c r="B1279" s="7" t="s">
        <v>10</v>
      </c>
      <c r="C1279" s="8">
        <v>1888</v>
      </c>
      <c r="D1279" s="9">
        <v>45432</v>
      </c>
      <c r="E1279" s="13" t="str">
        <f>+HYPERLINK("http://trademark.i-assist.jp/data/china/image_1888th/77028096.pdf","77028096")</f>
        <v>77028096</v>
      </c>
      <c r="F1279" s="7" t="s">
        <v>3584</v>
      </c>
      <c r="G1279" s="7" t="s">
        <v>3585</v>
      </c>
      <c r="H1279" s="7" t="s">
        <v>3586</v>
      </c>
      <c r="I1279" s="9">
        <v>45351</v>
      </c>
    </row>
    <row r="1280" spans="1:9" ht="27" x14ac:dyDescent="0.15">
      <c r="A1280" s="6">
        <v>1279</v>
      </c>
      <c r="B1280" s="7" t="s">
        <v>10</v>
      </c>
      <c r="C1280" s="8">
        <v>1888</v>
      </c>
      <c r="D1280" s="9">
        <v>45432</v>
      </c>
      <c r="E1280" s="13" t="str">
        <f>+HYPERLINK("http://trademark.i-assist.jp/data/china/image_1888th/77028121.pdf","77028121")</f>
        <v>77028121</v>
      </c>
      <c r="F1280" s="7" t="s">
        <v>3587</v>
      </c>
      <c r="G1280" s="7" t="s">
        <v>3588</v>
      </c>
      <c r="H1280" s="7" t="s">
        <v>3589</v>
      </c>
      <c r="I1280" s="9">
        <v>45351</v>
      </c>
    </row>
    <row r="1281" spans="1:9" x14ac:dyDescent="0.15">
      <c r="A1281" s="6">
        <v>1280</v>
      </c>
      <c r="B1281" s="7" t="s">
        <v>10</v>
      </c>
      <c r="C1281" s="8">
        <v>1888</v>
      </c>
      <c r="D1281" s="9">
        <v>45432</v>
      </c>
      <c r="E1281" s="13" t="str">
        <f>+HYPERLINK("http://trademark.i-assist.jp/data/china/image_1888th/77028336.pdf","77028336")</f>
        <v>77028336</v>
      </c>
      <c r="F1281" s="7" t="s">
        <v>3590</v>
      </c>
      <c r="G1281" s="7" t="s">
        <v>3571</v>
      </c>
      <c r="H1281" s="7" t="s">
        <v>3591</v>
      </c>
      <c r="I1281" s="9">
        <v>45351</v>
      </c>
    </row>
    <row r="1282" spans="1:9" ht="27" x14ac:dyDescent="0.15">
      <c r="A1282" s="6">
        <v>1281</v>
      </c>
      <c r="B1282" s="7" t="s">
        <v>10</v>
      </c>
      <c r="C1282" s="8">
        <v>1888</v>
      </c>
      <c r="D1282" s="9">
        <v>45432</v>
      </c>
      <c r="E1282" s="13" t="str">
        <f>+HYPERLINK("http://trademark.i-assist.jp/data/china/image_1888th/77028338.pdf","77028338")</f>
        <v>77028338</v>
      </c>
      <c r="F1282" s="7" t="s">
        <v>3592</v>
      </c>
      <c r="G1282" s="7" t="s">
        <v>3442</v>
      </c>
      <c r="H1282" s="7" t="s">
        <v>3593</v>
      </c>
      <c r="I1282" s="9">
        <v>45351</v>
      </c>
    </row>
    <row r="1283" spans="1:9" x14ac:dyDescent="0.15">
      <c r="A1283" s="6">
        <v>1282</v>
      </c>
      <c r="B1283" s="7" t="s">
        <v>10</v>
      </c>
      <c r="C1283" s="8">
        <v>1888</v>
      </c>
      <c r="D1283" s="9">
        <v>45432</v>
      </c>
      <c r="E1283" s="13" t="str">
        <f>+HYPERLINK("http://trademark.i-assist.jp/data/china/image_1888th/77028502.pdf","77028502")</f>
        <v>77028502</v>
      </c>
      <c r="F1283" s="7" t="s">
        <v>3594</v>
      </c>
      <c r="G1283" s="7" t="s">
        <v>3595</v>
      </c>
      <c r="H1283" s="7" t="s">
        <v>3596</v>
      </c>
      <c r="I1283" s="9">
        <v>45351</v>
      </c>
    </row>
    <row r="1284" spans="1:9" x14ac:dyDescent="0.15">
      <c r="A1284" s="6">
        <v>1283</v>
      </c>
      <c r="B1284" s="7" t="s">
        <v>10</v>
      </c>
      <c r="C1284" s="8">
        <v>1888</v>
      </c>
      <c r="D1284" s="9">
        <v>45432</v>
      </c>
      <c r="E1284" s="13" t="str">
        <f>+HYPERLINK("http://trademark.i-assist.jp/data/china/image_1888th/77028579.pdf","77028579")</f>
        <v>77028579</v>
      </c>
      <c r="F1284" s="7" t="s">
        <v>3597</v>
      </c>
      <c r="G1284" s="7" t="s">
        <v>3598</v>
      </c>
      <c r="H1284" s="7" t="s">
        <v>3599</v>
      </c>
      <c r="I1284" s="9">
        <v>45351</v>
      </c>
    </row>
    <row r="1285" spans="1:9" x14ac:dyDescent="0.15">
      <c r="A1285" s="6">
        <v>1284</v>
      </c>
      <c r="B1285" s="7" t="s">
        <v>10</v>
      </c>
      <c r="C1285" s="8">
        <v>1888</v>
      </c>
      <c r="D1285" s="9">
        <v>45432</v>
      </c>
      <c r="E1285" s="13" t="str">
        <f>+HYPERLINK("http://trademark.i-assist.jp/data/china/image_1888th/77028620.pdf","77028620")</f>
        <v>77028620</v>
      </c>
      <c r="F1285" s="7" t="s">
        <v>3600</v>
      </c>
      <c r="G1285" s="7" t="s">
        <v>3601</v>
      </c>
      <c r="H1285" s="7" t="s">
        <v>3602</v>
      </c>
      <c r="I1285" s="9">
        <v>45351</v>
      </c>
    </row>
    <row r="1286" spans="1:9" x14ac:dyDescent="0.15">
      <c r="A1286" s="6">
        <v>1285</v>
      </c>
      <c r="B1286" s="7" t="s">
        <v>10</v>
      </c>
      <c r="C1286" s="8">
        <v>1888</v>
      </c>
      <c r="D1286" s="9">
        <v>45432</v>
      </c>
      <c r="E1286" s="13" t="str">
        <f>+HYPERLINK("http://trademark.i-assist.jp/data/china/image_1888th/77028876.pdf","77028876")</f>
        <v>77028876</v>
      </c>
      <c r="F1286" s="7" t="s">
        <v>3603</v>
      </c>
      <c r="G1286" s="7" t="s">
        <v>3604</v>
      </c>
      <c r="H1286" s="7" t="s">
        <v>3605</v>
      </c>
      <c r="I1286" s="9">
        <v>45351</v>
      </c>
    </row>
    <row r="1287" spans="1:9" x14ac:dyDescent="0.15">
      <c r="A1287" s="6">
        <v>1286</v>
      </c>
      <c r="B1287" s="7" t="s">
        <v>10</v>
      </c>
      <c r="C1287" s="8">
        <v>1888</v>
      </c>
      <c r="D1287" s="9">
        <v>45432</v>
      </c>
      <c r="E1287" s="13" t="str">
        <f>+HYPERLINK("http://trademark.i-assist.jp/data/china/image_1888th/77029560.pdf","77029560")</f>
        <v>77029560</v>
      </c>
      <c r="F1287" s="7" t="s">
        <v>3606</v>
      </c>
      <c r="G1287" s="7" t="s">
        <v>3607</v>
      </c>
      <c r="H1287" s="7" t="s">
        <v>3608</v>
      </c>
      <c r="I1287" s="9">
        <v>45351</v>
      </c>
    </row>
    <row r="1288" spans="1:9" x14ac:dyDescent="0.15">
      <c r="A1288" s="6">
        <v>1287</v>
      </c>
      <c r="B1288" s="7" t="s">
        <v>10</v>
      </c>
      <c r="C1288" s="8">
        <v>1888</v>
      </c>
      <c r="D1288" s="9">
        <v>45432</v>
      </c>
      <c r="E1288" s="13" t="str">
        <f>+HYPERLINK("http://trademark.i-assist.jp/data/china/image_1888th/77029665.pdf","77029665")</f>
        <v>77029665</v>
      </c>
      <c r="F1288" s="7" t="s">
        <v>3609</v>
      </c>
      <c r="G1288" s="7" t="s">
        <v>760</v>
      </c>
      <c r="H1288" s="7" t="s">
        <v>3610</v>
      </c>
      <c r="I1288" s="9">
        <v>45351</v>
      </c>
    </row>
    <row r="1289" spans="1:9" x14ac:dyDescent="0.15">
      <c r="A1289" s="6">
        <v>1288</v>
      </c>
      <c r="B1289" s="7" t="s">
        <v>10</v>
      </c>
      <c r="C1289" s="8">
        <v>1888</v>
      </c>
      <c r="D1289" s="9">
        <v>45432</v>
      </c>
      <c r="E1289" s="13" t="str">
        <f>+HYPERLINK("http://trademark.i-assist.jp/data/china/image_1888th/77030023.pdf","77030023")</f>
        <v>77030023</v>
      </c>
      <c r="F1289" s="7" t="s">
        <v>3611</v>
      </c>
      <c r="G1289" s="7" t="s">
        <v>3612</v>
      </c>
      <c r="H1289" s="7" t="s">
        <v>3613</v>
      </c>
      <c r="I1289" s="9">
        <v>45351</v>
      </c>
    </row>
    <row r="1290" spans="1:9" x14ac:dyDescent="0.15">
      <c r="A1290" s="6">
        <v>1289</v>
      </c>
      <c r="B1290" s="7" t="s">
        <v>10</v>
      </c>
      <c r="C1290" s="8">
        <v>1888</v>
      </c>
      <c r="D1290" s="9">
        <v>45432</v>
      </c>
      <c r="E1290" s="13" t="str">
        <f>+HYPERLINK("http://trademark.i-assist.jp/data/china/image_1888th/77030281.pdf","77030281")</f>
        <v>77030281</v>
      </c>
      <c r="F1290" s="7" t="s">
        <v>3614</v>
      </c>
      <c r="G1290" s="7" t="s">
        <v>974</v>
      </c>
      <c r="H1290" s="7" t="s">
        <v>3615</v>
      </c>
      <c r="I1290" s="9">
        <v>45351</v>
      </c>
    </row>
    <row r="1291" spans="1:9" x14ac:dyDescent="0.15">
      <c r="A1291" s="6">
        <v>1290</v>
      </c>
      <c r="B1291" s="7" t="s">
        <v>10</v>
      </c>
      <c r="C1291" s="8">
        <v>1888</v>
      </c>
      <c r="D1291" s="9">
        <v>45432</v>
      </c>
      <c r="E1291" s="13" t="str">
        <f>+HYPERLINK("http://trademark.i-assist.jp/data/china/image_1888th/77030496.pdf","77030496")</f>
        <v>77030496</v>
      </c>
      <c r="F1291" s="7" t="s">
        <v>3616</v>
      </c>
      <c r="G1291" s="7" t="s">
        <v>3617</v>
      </c>
      <c r="H1291" s="7" t="s">
        <v>3618</v>
      </c>
      <c r="I1291" s="9">
        <v>45351</v>
      </c>
    </row>
    <row r="1292" spans="1:9" x14ac:dyDescent="0.15">
      <c r="A1292" s="6">
        <v>1291</v>
      </c>
      <c r="B1292" s="7" t="s">
        <v>10</v>
      </c>
      <c r="C1292" s="8">
        <v>1888</v>
      </c>
      <c r="D1292" s="9">
        <v>45432</v>
      </c>
      <c r="E1292" s="13" t="str">
        <f>+HYPERLINK("http://trademark.i-assist.jp/data/china/image_1888th/77030813.pdf","77030813")</f>
        <v>77030813</v>
      </c>
      <c r="F1292" s="7" t="s">
        <v>3619</v>
      </c>
      <c r="G1292" s="7" t="s">
        <v>2895</v>
      </c>
      <c r="H1292" s="7" t="s">
        <v>3620</v>
      </c>
      <c r="I1292" s="9">
        <v>45351</v>
      </c>
    </row>
    <row r="1293" spans="1:9" ht="27" x14ac:dyDescent="0.15">
      <c r="A1293" s="6">
        <v>1292</v>
      </c>
      <c r="B1293" s="7" t="s">
        <v>10</v>
      </c>
      <c r="C1293" s="8">
        <v>1888</v>
      </c>
      <c r="D1293" s="9">
        <v>45432</v>
      </c>
      <c r="E1293" s="13" t="str">
        <f>+HYPERLINK("http://trademark.i-assist.jp/data/china/image_1888th/77031042.pdf","77031042")</f>
        <v>77031042</v>
      </c>
      <c r="F1293" s="7" t="s">
        <v>3621</v>
      </c>
      <c r="G1293" s="7" t="s">
        <v>3622</v>
      </c>
      <c r="H1293" s="7" t="s">
        <v>3623</v>
      </c>
      <c r="I1293" s="9">
        <v>45351</v>
      </c>
    </row>
    <row r="1294" spans="1:9" x14ac:dyDescent="0.15">
      <c r="A1294" s="6">
        <v>1293</v>
      </c>
      <c r="B1294" s="7" t="s">
        <v>10</v>
      </c>
      <c r="C1294" s="8">
        <v>1888</v>
      </c>
      <c r="D1294" s="9">
        <v>45432</v>
      </c>
      <c r="E1294" s="13" t="str">
        <f>+HYPERLINK("http://trademark.i-assist.jp/data/china/image_1888th/77031076.pdf","77031076")</f>
        <v>77031076</v>
      </c>
      <c r="F1294" s="7" t="s">
        <v>3624</v>
      </c>
      <c r="G1294" s="7" t="s">
        <v>3625</v>
      </c>
      <c r="H1294" s="7" t="s">
        <v>3626</v>
      </c>
      <c r="I1294" s="9">
        <v>45351</v>
      </c>
    </row>
    <row r="1295" spans="1:9" x14ac:dyDescent="0.15">
      <c r="A1295" s="6">
        <v>1294</v>
      </c>
      <c r="B1295" s="7" t="s">
        <v>10</v>
      </c>
      <c r="C1295" s="8">
        <v>1888</v>
      </c>
      <c r="D1295" s="9">
        <v>45432</v>
      </c>
      <c r="E1295" s="13" t="str">
        <f>+HYPERLINK("http://trademark.i-assist.jp/data/china/image_1888th/77031356.pdf","77031356")</f>
        <v>77031356</v>
      </c>
      <c r="F1295" s="7" t="s">
        <v>3627</v>
      </c>
      <c r="G1295" s="7" t="s">
        <v>3628</v>
      </c>
      <c r="H1295" s="7" t="s">
        <v>3629</v>
      </c>
      <c r="I1295" s="9">
        <v>45351</v>
      </c>
    </row>
    <row r="1296" spans="1:9" x14ac:dyDescent="0.15">
      <c r="A1296" s="6">
        <v>1295</v>
      </c>
      <c r="B1296" s="7" t="s">
        <v>10</v>
      </c>
      <c r="C1296" s="8">
        <v>1888</v>
      </c>
      <c r="D1296" s="9">
        <v>45432</v>
      </c>
      <c r="E1296" s="13" t="str">
        <f>+HYPERLINK("http://trademark.i-assist.jp/data/china/image_1888th/77031580.pdf","77031580")</f>
        <v>77031580</v>
      </c>
      <c r="F1296" s="7" t="s">
        <v>3630</v>
      </c>
      <c r="G1296" s="7" t="s">
        <v>3631</v>
      </c>
      <c r="H1296" s="7" t="s">
        <v>3632</v>
      </c>
      <c r="I1296" s="9">
        <v>45351</v>
      </c>
    </row>
    <row r="1297" spans="1:9" x14ac:dyDescent="0.15">
      <c r="A1297" s="6">
        <v>1296</v>
      </c>
      <c r="B1297" s="7" t="s">
        <v>10</v>
      </c>
      <c r="C1297" s="8">
        <v>1888</v>
      </c>
      <c r="D1297" s="9">
        <v>45432</v>
      </c>
      <c r="E1297" s="13" t="str">
        <f>+HYPERLINK("http://trademark.i-assist.jp/data/china/image_1888th/77032017.pdf","77032017")</f>
        <v>77032017</v>
      </c>
      <c r="F1297" s="7" t="s">
        <v>3633</v>
      </c>
      <c r="G1297" s="7" t="s">
        <v>3554</v>
      </c>
      <c r="H1297" s="7" t="s">
        <v>3634</v>
      </c>
      <c r="I1297" s="9">
        <v>45351</v>
      </c>
    </row>
    <row r="1298" spans="1:9" x14ac:dyDescent="0.15">
      <c r="A1298" s="6">
        <v>1297</v>
      </c>
      <c r="B1298" s="7" t="s">
        <v>10</v>
      </c>
      <c r="C1298" s="8">
        <v>1888</v>
      </c>
      <c r="D1298" s="9">
        <v>45432</v>
      </c>
      <c r="E1298" s="13" t="str">
        <f>+HYPERLINK("http://trademark.i-assist.jp/data/china/image_1888th/77033135.pdf","77033135")</f>
        <v>77033135</v>
      </c>
      <c r="F1298" s="7" t="s">
        <v>3635</v>
      </c>
      <c r="G1298" s="7" t="s">
        <v>3636</v>
      </c>
      <c r="H1298" s="7" t="s">
        <v>3637</v>
      </c>
      <c r="I1298" s="9">
        <v>45351</v>
      </c>
    </row>
    <row r="1299" spans="1:9" x14ac:dyDescent="0.15">
      <c r="A1299" s="6">
        <v>1298</v>
      </c>
      <c r="B1299" s="7" t="s">
        <v>10</v>
      </c>
      <c r="C1299" s="8">
        <v>1888</v>
      </c>
      <c r="D1299" s="9">
        <v>45432</v>
      </c>
      <c r="E1299" s="13" t="str">
        <f>+HYPERLINK("http://trademark.i-assist.jp/data/china/image_1888th/77033301.pdf","77033301")</f>
        <v>77033301</v>
      </c>
      <c r="F1299" s="7" t="s">
        <v>3638</v>
      </c>
      <c r="G1299" s="7" t="s">
        <v>3639</v>
      </c>
      <c r="H1299" s="7" t="s">
        <v>3640</v>
      </c>
      <c r="I1299" s="9">
        <v>45351</v>
      </c>
    </row>
    <row r="1300" spans="1:9" x14ac:dyDescent="0.15">
      <c r="A1300" s="6">
        <v>1299</v>
      </c>
      <c r="B1300" s="7" t="s">
        <v>10</v>
      </c>
      <c r="C1300" s="8">
        <v>1888</v>
      </c>
      <c r="D1300" s="9">
        <v>45432</v>
      </c>
      <c r="E1300" s="13" t="str">
        <f>+HYPERLINK("http://trademark.i-assist.jp/data/china/image_1888th/77033448.pdf","77033448")</f>
        <v>77033448</v>
      </c>
      <c r="F1300" s="7" t="s">
        <v>3641</v>
      </c>
      <c r="G1300" s="7" t="s">
        <v>3642</v>
      </c>
      <c r="H1300" s="7" t="s">
        <v>3643</v>
      </c>
      <c r="I1300" s="9">
        <v>45351</v>
      </c>
    </row>
    <row r="1301" spans="1:9" x14ac:dyDescent="0.15">
      <c r="A1301" s="6">
        <v>1300</v>
      </c>
      <c r="B1301" s="7" t="s">
        <v>10</v>
      </c>
      <c r="C1301" s="8">
        <v>1888</v>
      </c>
      <c r="D1301" s="9">
        <v>45432</v>
      </c>
      <c r="E1301" s="13" t="str">
        <f>+HYPERLINK("http://trademark.i-assist.jp/data/china/image_1888th/77033602.pdf","77033602")</f>
        <v>77033602</v>
      </c>
      <c r="F1301" s="7" t="s">
        <v>3644</v>
      </c>
      <c r="G1301" s="7" t="s">
        <v>3645</v>
      </c>
      <c r="H1301" s="7" t="s">
        <v>3646</v>
      </c>
      <c r="I1301" s="9">
        <v>45351</v>
      </c>
    </row>
    <row r="1302" spans="1:9" x14ac:dyDescent="0.15">
      <c r="A1302" s="6">
        <v>1301</v>
      </c>
      <c r="B1302" s="7" t="s">
        <v>10</v>
      </c>
      <c r="C1302" s="8">
        <v>1888</v>
      </c>
      <c r="D1302" s="9">
        <v>45432</v>
      </c>
      <c r="E1302" s="13" t="str">
        <f>+HYPERLINK("http://trademark.i-assist.jp/data/china/image_1888th/77033608.pdf","77033608")</f>
        <v>77033608</v>
      </c>
      <c r="F1302" s="7" t="s">
        <v>3647</v>
      </c>
      <c r="G1302" s="7" t="s">
        <v>3648</v>
      </c>
      <c r="H1302" s="7" t="s">
        <v>3649</v>
      </c>
      <c r="I1302" s="9">
        <v>45351</v>
      </c>
    </row>
    <row r="1303" spans="1:9" x14ac:dyDescent="0.15">
      <c r="A1303" s="6">
        <v>1302</v>
      </c>
      <c r="B1303" s="7" t="s">
        <v>10</v>
      </c>
      <c r="C1303" s="8">
        <v>1888</v>
      </c>
      <c r="D1303" s="9">
        <v>45432</v>
      </c>
      <c r="E1303" s="13" t="str">
        <f>+HYPERLINK("http://trademark.i-assist.jp/data/china/image_1888th/77033710.pdf","77033710")</f>
        <v>77033710</v>
      </c>
      <c r="F1303" s="7" t="s">
        <v>3650</v>
      </c>
      <c r="G1303" s="7" t="s">
        <v>3651</v>
      </c>
      <c r="H1303" s="7" t="s">
        <v>3652</v>
      </c>
      <c r="I1303" s="9">
        <v>45351</v>
      </c>
    </row>
    <row r="1304" spans="1:9" x14ac:dyDescent="0.15">
      <c r="A1304" s="6">
        <v>1303</v>
      </c>
      <c r="B1304" s="7" t="s">
        <v>10</v>
      </c>
      <c r="C1304" s="8">
        <v>1888</v>
      </c>
      <c r="D1304" s="9">
        <v>45432</v>
      </c>
      <c r="E1304" s="13" t="str">
        <f>+HYPERLINK("http://trademark.i-assist.jp/data/china/image_1888th/77033906.pdf","77033906")</f>
        <v>77033906</v>
      </c>
      <c r="F1304" s="7" t="s">
        <v>3653</v>
      </c>
      <c r="G1304" s="7" t="s">
        <v>3654</v>
      </c>
      <c r="H1304" s="7" t="s">
        <v>3655</v>
      </c>
      <c r="I1304" s="9">
        <v>45351</v>
      </c>
    </row>
    <row r="1305" spans="1:9" ht="27" x14ac:dyDescent="0.15">
      <c r="A1305" s="6">
        <v>1304</v>
      </c>
      <c r="B1305" s="7" t="s">
        <v>10</v>
      </c>
      <c r="C1305" s="8">
        <v>1888</v>
      </c>
      <c r="D1305" s="9">
        <v>45432</v>
      </c>
      <c r="E1305" s="13" t="str">
        <f>+HYPERLINK("http://trademark.i-assist.jp/data/china/image_1888th/77034213.pdf","77034213")</f>
        <v>77034213</v>
      </c>
      <c r="F1305" s="7" t="s">
        <v>3656</v>
      </c>
      <c r="G1305" s="7" t="s">
        <v>3657</v>
      </c>
      <c r="H1305" s="7" t="s">
        <v>3658</v>
      </c>
      <c r="I1305" s="9">
        <v>45351</v>
      </c>
    </row>
    <row r="1306" spans="1:9" ht="27" x14ac:dyDescent="0.15">
      <c r="A1306" s="6">
        <v>1305</v>
      </c>
      <c r="B1306" s="7" t="s">
        <v>10</v>
      </c>
      <c r="C1306" s="8">
        <v>1888</v>
      </c>
      <c r="D1306" s="9">
        <v>45432</v>
      </c>
      <c r="E1306" s="13" t="str">
        <f>+HYPERLINK("http://trademark.i-assist.jp/data/china/image_1888th/77034253.pdf","77034253")</f>
        <v>77034253</v>
      </c>
      <c r="F1306" s="7" t="s">
        <v>3659</v>
      </c>
      <c r="G1306" s="7" t="s">
        <v>3442</v>
      </c>
      <c r="H1306" s="7" t="s">
        <v>3660</v>
      </c>
      <c r="I1306" s="9">
        <v>45351</v>
      </c>
    </row>
    <row r="1307" spans="1:9" ht="27" x14ac:dyDescent="0.15">
      <c r="A1307" s="6">
        <v>1306</v>
      </c>
      <c r="B1307" s="7" t="s">
        <v>10</v>
      </c>
      <c r="C1307" s="8">
        <v>1888</v>
      </c>
      <c r="D1307" s="9">
        <v>45432</v>
      </c>
      <c r="E1307" s="13" t="str">
        <f>+HYPERLINK("http://trademark.i-assist.jp/data/china/image_1888th/77034314.pdf","77034314")</f>
        <v>77034314</v>
      </c>
      <c r="F1307" s="7" t="s">
        <v>3661</v>
      </c>
      <c r="G1307" s="7" t="s">
        <v>3442</v>
      </c>
      <c r="H1307" s="7" t="s">
        <v>3662</v>
      </c>
      <c r="I1307" s="9">
        <v>45351</v>
      </c>
    </row>
    <row r="1308" spans="1:9" x14ac:dyDescent="0.15">
      <c r="A1308" s="6">
        <v>1307</v>
      </c>
      <c r="B1308" s="7" t="s">
        <v>10</v>
      </c>
      <c r="C1308" s="8">
        <v>1888</v>
      </c>
      <c r="D1308" s="9">
        <v>45432</v>
      </c>
      <c r="E1308" s="13" t="str">
        <f>+HYPERLINK("http://trademark.i-assist.jp/data/china/image_1888th/77034640.pdf","77034640")</f>
        <v>77034640</v>
      </c>
      <c r="F1308" s="7" t="s">
        <v>3663</v>
      </c>
      <c r="G1308" s="7" t="s">
        <v>1376</v>
      </c>
      <c r="H1308" s="7" t="s">
        <v>3664</v>
      </c>
      <c r="I1308" s="9">
        <v>45351</v>
      </c>
    </row>
    <row r="1309" spans="1:9" x14ac:dyDescent="0.15">
      <c r="A1309" s="6">
        <v>1308</v>
      </c>
      <c r="B1309" s="7" t="s">
        <v>10</v>
      </c>
      <c r="C1309" s="8">
        <v>1888</v>
      </c>
      <c r="D1309" s="9">
        <v>45432</v>
      </c>
      <c r="E1309" s="13" t="str">
        <f>+HYPERLINK("http://trademark.i-assist.jp/data/china/image_1888th/77035124.pdf","77035124")</f>
        <v>77035124</v>
      </c>
      <c r="F1309" s="7" t="s">
        <v>3665</v>
      </c>
      <c r="G1309" s="7" t="s">
        <v>3448</v>
      </c>
      <c r="H1309" s="7" t="s">
        <v>3666</v>
      </c>
      <c r="I1309" s="9">
        <v>45351</v>
      </c>
    </row>
    <row r="1310" spans="1:9" x14ac:dyDescent="0.15">
      <c r="A1310" s="6">
        <v>1309</v>
      </c>
      <c r="B1310" s="7" t="s">
        <v>10</v>
      </c>
      <c r="C1310" s="8">
        <v>1888</v>
      </c>
      <c r="D1310" s="9">
        <v>45432</v>
      </c>
      <c r="E1310" s="13" t="str">
        <f>+HYPERLINK("http://trademark.i-assist.jp/data/china/image_1888th/77035265.pdf","77035265")</f>
        <v>77035265</v>
      </c>
      <c r="F1310" s="7" t="s">
        <v>3667</v>
      </c>
      <c r="G1310" s="7" t="s">
        <v>3668</v>
      </c>
      <c r="H1310" s="7" t="s">
        <v>3669</v>
      </c>
      <c r="I1310" s="9">
        <v>45351</v>
      </c>
    </row>
    <row r="1311" spans="1:9" x14ac:dyDescent="0.15">
      <c r="A1311" s="6">
        <v>1310</v>
      </c>
      <c r="B1311" s="7" t="s">
        <v>10</v>
      </c>
      <c r="C1311" s="8">
        <v>1888</v>
      </c>
      <c r="D1311" s="9">
        <v>45432</v>
      </c>
      <c r="E1311" s="13" t="str">
        <f>+HYPERLINK("http://trademark.i-assist.jp/data/china/image_1888th/77035651.pdf","77035651")</f>
        <v>77035651</v>
      </c>
      <c r="F1311" s="7" t="s">
        <v>3670</v>
      </c>
      <c r="G1311" s="7" t="s">
        <v>3671</v>
      </c>
      <c r="H1311" s="7" t="s">
        <v>3672</v>
      </c>
      <c r="I1311" s="9">
        <v>45351</v>
      </c>
    </row>
    <row r="1312" spans="1:9" x14ac:dyDescent="0.15">
      <c r="A1312" s="6">
        <v>1311</v>
      </c>
      <c r="B1312" s="7" t="s">
        <v>10</v>
      </c>
      <c r="C1312" s="8">
        <v>1888</v>
      </c>
      <c r="D1312" s="9">
        <v>45432</v>
      </c>
      <c r="E1312" s="13" t="str">
        <f>+HYPERLINK("http://trademark.i-assist.jp/data/china/image_1888th/77035821.pdf","77035821")</f>
        <v>77035821</v>
      </c>
      <c r="F1312" s="7" t="s">
        <v>3673</v>
      </c>
      <c r="G1312" s="7" t="s">
        <v>3674</v>
      </c>
      <c r="H1312" s="7" t="s">
        <v>3675</v>
      </c>
      <c r="I1312" s="9">
        <v>45351</v>
      </c>
    </row>
    <row r="1313" spans="1:9" ht="27" x14ac:dyDescent="0.15">
      <c r="A1313" s="6">
        <v>1312</v>
      </c>
      <c r="B1313" s="7" t="s">
        <v>10</v>
      </c>
      <c r="C1313" s="8">
        <v>1888</v>
      </c>
      <c r="D1313" s="9">
        <v>45432</v>
      </c>
      <c r="E1313" s="13" t="str">
        <f>+HYPERLINK("http://trademark.i-assist.jp/data/china/image_1888th/77036437.pdf","77036437")</f>
        <v>77036437</v>
      </c>
      <c r="F1313" s="7" t="s">
        <v>3676</v>
      </c>
      <c r="G1313" s="7" t="s">
        <v>3677</v>
      </c>
      <c r="H1313" s="7" t="s">
        <v>3678</v>
      </c>
      <c r="I1313" s="9">
        <v>45351</v>
      </c>
    </row>
    <row r="1314" spans="1:9" ht="27" x14ac:dyDescent="0.15">
      <c r="A1314" s="6">
        <v>1313</v>
      </c>
      <c r="B1314" s="7" t="s">
        <v>10</v>
      </c>
      <c r="C1314" s="8">
        <v>1888</v>
      </c>
      <c r="D1314" s="9">
        <v>45432</v>
      </c>
      <c r="E1314" s="13" t="str">
        <f>+HYPERLINK("http://trademark.i-assist.jp/data/china/image_1888th/77036601.pdf","77036601")</f>
        <v>77036601</v>
      </c>
      <c r="F1314" s="7" t="s">
        <v>3679</v>
      </c>
      <c r="G1314" s="7" t="s">
        <v>3680</v>
      </c>
      <c r="H1314" s="7" t="s">
        <v>3681</v>
      </c>
      <c r="I1314" s="9">
        <v>45351</v>
      </c>
    </row>
    <row r="1315" spans="1:9" ht="27" x14ac:dyDescent="0.15">
      <c r="A1315" s="6">
        <v>1314</v>
      </c>
      <c r="B1315" s="7" t="s">
        <v>10</v>
      </c>
      <c r="C1315" s="8">
        <v>1888</v>
      </c>
      <c r="D1315" s="9">
        <v>45432</v>
      </c>
      <c r="E1315" s="13" t="str">
        <f>+HYPERLINK("http://trademark.i-assist.jp/data/china/image_1888th/77036644.pdf","77036644")</f>
        <v>77036644</v>
      </c>
      <c r="F1315" s="7" t="s">
        <v>3682</v>
      </c>
      <c r="G1315" s="7" t="s">
        <v>3442</v>
      </c>
      <c r="H1315" s="7" t="s">
        <v>3683</v>
      </c>
      <c r="I1315" s="9">
        <v>45351</v>
      </c>
    </row>
    <row r="1316" spans="1:9" x14ac:dyDescent="0.15">
      <c r="A1316" s="6">
        <v>1315</v>
      </c>
      <c r="B1316" s="7" t="s">
        <v>10</v>
      </c>
      <c r="C1316" s="8">
        <v>1888</v>
      </c>
      <c r="D1316" s="9">
        <v>45432</v>
      </c>
      <c r="E1316" s="13" t="str">
        <f>+HYPERLINK("http://trademark.i-assist.jp/data/china/image_1888th/77036807.pdf","77036807")</f>
        <v>77036807</v>
      </c>
      <c r="F1316" s="7" t="s">
        <v>3684</v>
      </c>
      <c r="G1316" s="7" t="s">
        <v>3685</v>
      </c>
      <c r="H1316" s="7" t="s">
        <v>3686</v>
      </c>
      <c r="I1316" s="9">
        <v>45351</v>
      </c>
    </row>
    <row r="1317" spans="1:9" x14ac:dyDescent="0.15">
      <c r="A1317" s="6">
        <v>1316</v>
      </c>
      <c r="B1317" s="7" t="s">
        <v>10</v>
      </c>
      <c r="C1317" s="8">
        <v>1888</v>
      </c>
      <c r="D1317" s="9">
        <v>45432</v>
      </c>
      <c r="E1317" s="13" t="str">
        <f>+HYPERLINK("http://trademark.i-assist.jp/data/china/image_1888th/77036813.pdf","77036813")</f>
        <v>77036813</v>
      </c>
      <c r="F1317" s="7" t="s">
        <v>3687</v>
      </c>
      <c r="G1317" s="7" t="s">
        <v>3651</v>
      </c>
      <c r="H1317" s="7" t="s">
        <v>3688</v>
      </c>
      <c r="I1317" s="9">
        <v>45351</v>
      </c>
    </row>
    <row r="1318" spans="1:9" x14ac:dyDescent="0.15">
      <c r="A1318" s="6">
        <v>1317</v>
      </c>
      <c r="B1318" s="7" t="s">
        <v>10</v>
      </c>
      <c r="C1318" s="8">
        <v>1888</v>
      </c>
      <c r="D1318" s="9">
        <v>45432</v>
      </c>
      <c r="E1318" s="13" t="str">
        <f>+HYPERLINK("http://trademark.i-assist.jp/data/china/image_1888th/77036821.pdf","77036821")</f>
        <v>77036821</v>
      </c>
      <c r="F1318" s="7" t="s">
        <v>3689</v>
      </c>
      <c r="G1318" s="7" t="s">
        <v>3685</v>
      </c>
      <c r="H1318" s="7" t="s">
        <v>3690</v>
      </c>
      <c r="I1318" s="9">
        <v>45351</v>
      </c>
    </row>
    <row r="1319" spans="1:9" x14ac:dyDescent="0.15">
      <c r="A1319" s="6">
        <v>1318</v>
      </c>
      <c r="B1319" s="7" t="s">
        <v>10</v>
      </c>
      <c r="C1319" s="8">
        <v>1888</v>
      </c>
      <c r="D1319" s="9">
        <v>45432</v>
      </c>
      <c r="E1319" s="13" t="str">
        <f>+HYPERLINK("http://trademark.i-assist.jp/data/china/image_1888th/77037146.pdf","77037146")</f>
        <v>77037146</v>
      </c>
      <c r="F1319" s="7" t="s">
        <v>3691</v>
      </c>
      <c r="G1319" s="7" t="s">
        <v>3685</v>
      </c>
      <c r="H1319" s="7" t="s">
        <v>3692</v>
      </c>
      <c r="I1319" s="9">
        <v>45351</v>
      </c>
    </row>
    <row r="1320" spans="1:9" x14ac:dyDescent="0.15">
      <c r="A1320" s="6">
        <v>1319</v>
      </c>
      <c r="B1320" s="7" t="s">
        <v>10</v>
      </c>
      <c r="C1320" s="8">
        <v>1888</v>
      </c>
      <c r="D1320" s="9">
        <v>45432</v>
      </c>
      <c r="E1320" s="13" t="str">
        <f>+HYPERLINK("http://trademark.i-assist.jp/data/china/image_1888th/77037564.pdf","77037564")</f>
        <v>77037564</v>
      </c>
      <c r="F1320" s="7" t="s">
        <v>3693</v>
      </c>
      <c r="G1320" s="7" t="s">
        <v>3694</v>
      </c>
      <c r="H1320" s="7" t="s">
        <v>3695</v>
      </c>
      <c r="I1320" s="9">
        <v>45351</v>
      </c>
    </row>
    <row r="1321" spans="1:9" ht="27" x14ac:dyDescent="0.15">
      <c r="A1321" s="6">
        <v>1320</v>
      </c>
      <c r="B1321" s="7" t="s">
        <v>10</v>
      </c>
      <c r="C1321" s="8">
        <v>1888</v>
      </c>
      <c r="D1321" s="9">
        <v>45432</v>
      </c>
      <c r="E1321" s="13" t="str">
        <f>+HYPERLINK("http://trademark.i-assist.jp/data/china/image_1888th/77037777.pdf","77037777")</f>
        <v>77037777</v>
      </c>
      <c r="F1321" s="7" t="s">
        <v>3696</v>
      </c>
      <c r="G1321" s="7" t="s">
        <v>3442</v>
      </c>
      <c r="H1321" s="7" t="s">
        <v>3697</v>
      </c>
      <c r="I1321" s="9">
        <v>45351</v>
      </c>
    </row>
    <row r="1322" spans="1:9" x14ac:dyDescent="0.15">
      <c r="A1322" s="6">
        <v>1321</v>
      </c>
      <c r="B1322" s="7" t="s">
        <v>10</v>
      </c>
      <c r="C1322" s="8">
        <v>1888</v>
      </c>
      <c r="D1322" s="9">
        <v>45432</v>
      </c>
      <c r="E1322" s="13" t="str">
        <f>+HYPERLINK("http://trademark.i-assist.jp/data/china/image_1888th/77038333.pdf","77038333")</f>
        <v>77038333</v>
      </c>
      <c r="F1322" s="7" t="s">
        <v>3698</v>
      </c>
      <c r="G1322" s="7" t="s">
        <v>3699</v>
      </c>
      <c r="H1322" s="7" t="s">
        <v>3700</v>
      </c>
      <c r="I1322" s="9">
        <v>45351</v>
      </c>
    </row>
    <row r="1323" spans="1:9" x14ac:dyDescent="0.15">
      <c r="A1323" s="6">
        <v>1322</v>
      </c>
      <c r="B1323" s="7" t="s">
        <v>10</v>
      </c>
      <c r="C1323" s="8">
        <v>1888</v>
      </c>
      <c r="D1323" s="9">
        <v>45432</v>
      </c>
      <c r="E1323" s="13" t="str">
        <f>+HYPERLINK("http://trademark.i-assist.jp/data/china/image_1888th/77038344.pdf","77038344")</f>
        <v>77038344</v>
      </c>
      <c r="F1323" s="7" t="s">
        <v>3701</v>
      </c>
      <c r="G1323" s="7" t="s">
        <v>3702</v>
      </c>
      <c r="H1323" s="7" t="s">
        <v>3703</v>
      </c>
      <c r="I1323" s="9">
        <v>45351</v>
      </c>
    </row>
    <row r="1324" spans="1:9" x14ac:dyDescent="0.15">
      <c r="A1324" s="6">
        <v>1323</v>
      </c>
      <c r="B1324" s="7" t="s">
        <v>10</v>
      </c>
      <c r="C1324" s="8">
        <v>1888</v>
      </c>
      <c r="D1324" s="9">
        <v>45432</v>
      </c>
      <c r="E1324" s="13" t="str">
        <f>+HYPERLINK("http://trademark.i-assist.jp/data/china/image_1888th/77038803.pdf","77038803")</f>
        <v>77038803</v>
      </c>
      <c r="F1324" s="7" t="s">
        <v>3704</v>
      </c>
      <c r="G1324" s="7" t="s">
        <v>3705</v>
      </c>
      <c r="H1324" s="7" t="s">
        <v>3706</v>
      </c>
      <c r="I1324" s="9">
        <v>45352</v>
      </c>
    </row>
    <row r="1325" spans="1:9" x14ac:dyDescent="0.15">
      <c r="A1325" s="6">
        <v>1324</v>
      </c>
      <c r="B1325" s="7" t="s">
        <v>10</v>
      </c>
      <c r="C1325" s="8">
        <v>1888</v>
      </c>
      <c r="D1325" s="9">
        <v>45432</v>
      </c>
      <c r="E1325" s="13" t="str">
        <f>+HYPERLINK("http://trademark.i-assist.jp/data/china/image_1888th/77038847.pdf","77038847")</f>
        <v>77038847</v>
      </c>
      <c r="F1325" s="7" t="s">
        <v>3707</v>
      </c>
      <c r="G1325" s="7" t="s">
        <v>3708</v>
      </c>
      <c r="H1325" s="7" t="s">
        <v>3709</v>
      </c>
      <c r="I1325" s="9">
        <v>45352</v>
      </c>
    </row>
    <row r="1326" spans="1:9" x14ac:dyDescent="0.15">
      <c r="A1326" s="6">
        <v>1325</v>
      </c>
      <c r="B1326" s="7" t="s">
        <v>10</v>
      </c>
      <c r="C1326" s="8">
        <v>1888</v>
      </c>
      <c r="D1326" s="9">
        <v>45432</v>
      </c>
      <c r="E1326" s="13" t="str">
        <f>+HYPERLINK("http://trademark.i-assist.jp/data/china/image_1888th/77039114.pdf","77039114")</f>
        <v>77039114</v>
      </c>
      <c r="F1326" s="7" t="s">
        <v>3710</v>
      </c>
      <c r="G1326" s="7" t="s">
        <v>3711</v>
      </c>
      <c r="H1326" s="7" t="s">
        <v>3712</v>
      </c>
      <c r="I1326" s="9">
        <v>45352</v>
      </c>
    </row>
    <row r="1327" spans="1:9" ht="27" x14ac:dyDescent="0.15">
      <c r="A1327" s="6">
        <v>1326</v>
      </c>
      <c r="B1327" s="7" t="s">
        <v>10</v>
      </c>
      <c r="C1327" s="8">
        <v>1888</v>
      </c>
      <c r="D1327" s="9">
        <v>45432</v>
      </c>
      <c r="E1327" s="13" t="str">
        <f>+HYPERLINK("http://trademark.i-assist.jp/data/china/image_1888th/77039299.pdf","77039299")</f>
        <v>77039299</v>
      </c>
      <c r="F1327" s="7" t="s">
        <v>3713</v>
      </c>
      <c r="G1327" s="7" t="s">
        <v>3714</v>
      </c>
      <c r="H1327" s="7" t="s">
        <v>3715</v>
      </c>
      <c r="I1327" s="9">
        <v>45352</v>
      </c>
    </row>
    <row r="1328" spans="1:9" x14ac:dyDescent="0.15">
      <c r="A1328" s="6">
        <v>1327</v>
      </c>
      <c r="B1328" s="7" t="s">
        <v>10</v>
      </c>
      <c r="C1328" s="8">
        <v>1888</v>
      </c>
      <c r="D1328" s="9">
        <v>45432</v>
      </c>
      <c r="E1328" s="13" t="str">
        <f>+HYPERLINK("http://trademark.i-assist.jp/data/china/image_1888th/77039538.pdf","77039538")</f>
        <v>77039538</v>
      </c>
      <c r="F1328" s="7" t="s">
        <v>3716</v>
      </c>
      <c r="G1328" s="7" t="s">
        <v>3717</v>
      </c>
      <c r="H1328" s="7" t="s">
        <v>3718</v>
      </c>
      <c r="I1328" s="9">
        <v>45352</v>
      </c>
    </row>
    <row r="1329" spans="1:9" x14ac:dyDescent="0.15">
      <c r="A1329" s="6">
        <v>1328</v>
      </c>
      <c r="B1329" s="7" t="s">
        <v>10</v>
      </c>
      <c r="C1329" s="8">
        <v>1888</v>
      </c>
      <c r="D1329" s="9">
        <v>45432</v>
      </c>
      <c r="E1329" s="13" t="str">
        <f>+HYPERLINK("http://trademark.i-assist.jp/data/china/image_1888th/77039718.pdf","77039718")</f>
        <v>77039718</v>
      </c>
      <c r="F1329" s="7" t="s">
        <v>3719</v>
      </c>
      <c r="G1329" s="7" t="s">
        <v>3720</v>
      </c>
      <c r="H1329" s="7" t="s">
        <v>3721</v>
      </c>
      <c r="I1329" s="9">
        <v>45352</v>
      </c>
    </row>
    <row r="1330" spans="1:9" x14ac:dyDescent="0.15">
      <c r="A1330" s="6">
        <v>1329</v>
      </c>
      <c r="B1330" s="7" t="s">
        <v>10</v>
      </c>
      <c r="C1330" s="8">
        <v>1888</v>
      </c>
      <c r="D1330" s="9">
        <v>45432</v>
      </c>
      <c r="E1330" s="13" t="str">
        <f>+HYPERLINK("http://trademark.i-assist.jp/data/china/image_1888th/77039804.pdf","77039804")</f>
        <v>77039804</v>
      </c>
      <c r="F1330" s="7" t="s">
        <v>3722</v>
      </c>
      <c r="G1330" s="7" t="s">
        <v>3723</v>
      </c>
      <c r="H1330" s="7" t="s">
        <v>3724</v>
      </c>
      <c r="I1330" s="9">
        <v>45352</v>
      </c>
    </row>
    <row r="1331" spans="1:9" x14ac:dyDescent="0.15">
      <c r="A1331" s="6">
        <v>1330</v>
      </c>
      <c r="B1331" s="7" t="s">
        <v>10</v>
      </c>
      <c r="C1331" s="8">
        <v>1888</v>
      </c>
      <c r="D1331" s="9">
        <v>45432</v>
      </c>
      <c r="E1331" s="13" t="str">
        <f>+HYPERLINK("http://trademark.i-assist.jp/data/china/image_1888th/77040361.pdf","77040361")</f>
        <v>77040361</v>
      </c>
      <c r="F1331" s="7" t="s">
        <v>3725</v>
      </c>
      <c r="G1331" s="7" t="s">
        <v>3726</v>
      </c>
      <c r="H1331" s="7" t="s">
        <v>3727</v>
      </c>
      <c r="I1331" s="9">
        <v>45352</v>
      </c>
    </row>
    <row r="1332" spans="1:9" x14ac:dyDescent="0.15">
      <c r="A1332" s="6">
        <v>1331</v>
      </c>
      <c r="B1332" s="7" t="s">
        <v>10</v>
      </c>
      <c r="C1332" s="8">
        <v>1888</v>
      </c>
      <c r="D1332" s="9">
        <v>45432</v>
      </c>
      <c r="E1332" s="13" t="str">
        <f>+HYPERLINK("http://trademark.i-assist.jp/data/china/image_1888th/77040612.pdf","77040612")</f>
        <v>77040612</v>
      </c>
      <c r="F1332" s="7" t="s">
        <v>76</v>
      </c>
      <c r="G1332" s="7" t="s">
        <v>3728</v>
      </c>
      <c r="H1332" s="7" t="s">
        <v>3729</v>
      </c>
      <c r="I1332" s="9">
        <v>45352</v>
      </c>
    </row>
    <row r="1333" spans="1:9" x14ac:dyDescent="0.15">
      <c r="A1333" s="6">
        <v>1332</v>
      </c>
      <c r="B1333" s="7" t="s">
        <v>10</v>
      </c>
      <c r="C1333" s="8">
        <v>1888</v>
      </c>
      <c r="D1333" s="9">
        <v>45432</v>
      </c>
      <c r="E1333" s="13" t="str">
        <f>+HYPERLINK("http://trademark.i-assist.jp/data/china/image_1888th/77040942.pdf","77040942")</f>
        <v>77040942</v>
      </c>
      <c r="F1333" s="7" t="s">
        <v>3730</v>
      </c>
      <c r="G1333" s="7" t="s">
        <v>3731</v>
      </c>
      <c r="H1333" s="7" t="s">
        <v>3732</v>
      </c>
      <c r="I1333" s="9">
        <v>45352</v>
      </c>
    </row>
    <row r="1334" spans="1:9" x14ac:dyDescent="0.15">
      <c r="A1334" s="6">
        <v>1333</v>
      </c>
      <c r="B1334" s="7" t="s">
        <v>10</v>
      </c>
      <c r="C1334" s="8">
        <v>1888</v>
      </c>
      <c r="D1334" s="9">
        <v>45432</v>
      </c>
      <c r="E1334" s="13" t="str">
        <f>+HYPERLINK("http://trademark.i-assist.jp/data/china/image_1888th/77041980.pdf","77041980")</f>
        <v>77041980</v>
      </c>
      <c r="F1334" s="7" t="s">
        <v>3733</v>
      </c>
      <c r="G1334" s="7" t="s">
        <v>3734</v>
      </c>
      <c r="H1334" s="7" t="s">
        <v>3735</v>
      </c>
      <c r="I1334" s="9">
        <v>45352</v>
      </c>
    </row>
    <row r="1335" spans="1:9" x14ac:dyDescent="0.15">
      <c r="A1335" s="6">
        <v>1334</v>
      </c>
      <c r="B1335" s="7" t="s">
        <v>10</v>
      </c>
      <c r="C1335" s="8">
        <v>1888</v>
      </c>
      <c r="D1335" s="9">
        <v>45432</v>
      </c>
      <c r="E1335" s="13" t="str">
        <f>+HYPERLINK("http://trademark.i-assist.jp/data/china/image_1888th/77042140.pdf","77042140")</f>
        <v>77042140</v>
      </c>
      <c r="F1335" s="7" t="s">
        <v>3736</v>
      </c>
      <c r="G1335" s="7" t="s">
        <v>3737</v>
      </c>
      <c r="H1335" s="7" t="s">
        <v>3738</v>
      </c>
      <c r="I1335" s="9">
        <v>45352</v>
      </c>
    </row>
    <row r="1336" spans="1:9" x14ac:dyDescent="0.15">
      <c r="A1336" s="6">
        <v>1335</v>
      </c>
      <c r="B1336" s="7" t="s">
        <v>10</v>
      </c>
      <c r="C1336" s="8">
        <v>1888</v>
      </c>
      <c r="D1336" s="9">
        <v>45432</v>
      </c>
      <c r="E1336" s="13" t="str">
        <f>+HYPERLINK("http://trademark.i-assist.jp/data/china/image_1888th/77042237.pdf","77042237")</f>
        <v>77042237</v>
      </c>
      <c r="F1336" s="7" t="s">
        <v>3739</v>
      </c>
      <c r="G1336" s="7" t="s">
        <v>3740</v>
      </c>
      <c r="H1336" s="7" t="s">
        <v>3741</v>
      </c>
      <c r="I1336" s="9">
        <v>45352</v>
      </c>
    </row>
    <row r="1337" spans="1:9" x14ac:dyDescent="0.15">
      <c r="A1337" s="6">
        <v>1336</v>
      </c>
      <c r="B1337" s="7" t="s">
        <v>10</v>
      </c>
      <c r="C1337" s="8">
        <v>1888</v>
      </c>
      <c r="D1337" s="9">
        <v>45432</v>
      </c>
      <c r="E1337" s="13" t="str">
        <f>+HYPERLINK("http://trademark.i-assist.jp/data/china/image_1888th/77042396.pdf","77042396")</f>
        <v>77042396</v>
      </c>
      <c r="F1337" s="7" t="s">
        <v>3742</v>
      </c>
      <c r="G1337" s="7" t="s">
        <v>3743</v>
      </c>
      <c r="H1337" s="7" t="s">
        <v>3744</v>
      </c>
      <c r="I1337" s="9">
        <v>45352</v>
      </c>
    </row>
    <row r="1338" spans="1:9" ht="27" x14ac:dyDescent="0.15">
      <c r="A1338" s="6">
        <v>1337</v>
      </c>
      <c r="B1338" s="7" t="s">
        <v>10</v>
      </c>
      <c r="C1338" s="8">
        <v>1888</v>
      </c>
      <c r="D1338" s="9">
        <v>45432</v>
      </c>
      <c r="E1338" s="13" t="str">
        <f>+HYPERLINK("http://trademark.i-assist.jp/data/china/image_1888th/77042472.pdf","77042472")</f>
        <v>77042472</v>
      </c>
      <c r="F1338" s="7" t="s">
        <v>3745</v>
      </c>
      <c r="G1338" s="7" t="s">
        <v>3746</v>
      </c>
      <c r="H1338" s="7" t="s">
        <v>3747</v>
      </c>
      <c r="I1338" s="9">
        <v>45352</v>
      </c>
    </row>
    <row r="1339" spans="1:9" ht="27" x14ac:dyDescent="0.15">
      <c r="A1339" s="6">
        <v>1338</v>
      </c>
      <c r="B1339" s="7" t="s">
        <v>10</v>
      </c>
      <c r="C1339" s="8">
        <v>1888</v>
      </c>
      <c r="D1339" s="9">
        <v>45432</v>
      </c>
      <c r="E1339" s="13" t="str">
        <f>+HYPERLINK("http://trademark.i-assist.jp/data/china/image_1888th/77042650.pdf","77042650")</f>
        <v>77042650</v>
      </c>
      <c r="F1339" s="7" t="s">
        <v>3748</v>
      </c>
      <c r="G1339" s="7" t="s">
        <v>3749</v>
      </c>
      <c r="H1339" s="7" t="s">
        <v>3750</v>
      </c>
      <c r="I1339" s="9">
        <v>45352</v>
      </c>
    </row>
    <row r="1340" spans="1:9" x14ac:dyDescent="0.15">
      <c r="A1340" s="6">
        <v>1339</v>
      </c>
      <c r="B1340" s="7" t="s">
        <v>10</v>
      </c>
      <c r="C1340" s="8">
        <v>1888</v>
      </c>
      <c r="D1340" s="9">
        <v>45432</v>
      </c>
      <c r="E1340" s="13" t="str">
        <f>+HYPERLINK("http://trademark.i-assist.jp/data/china/image_1888th/77042672.pdf","77042672")</f>
        <v>77042672</v>
      </c>
      <c r="F1340" s="7" t="s">
        <v>76</v>
      </c>
      <c r="G1340" s="7" t="s">
        <v>3751</v>
      </c>
      <c r="H1340" s="7" t="s">
        <v>3752</v>
      </c>
      <c r="I1340" s="9">
        <v>45352</v>
      </c>
    </row>
    <row r="1341" spans="1:9" x14ac:dyDescent="0.15">
      <c r="A1341" s="6">
        <v>1340</v>
      </c>
      <c r="B1341" s="7" t="s">
        <v>10</v>
      </c>
      <c r="C1341" s="8">
        <v>1888</v>
      </c>
      <c r="D1341" s="9">
        <v>45432</v>
      </c>
      <c r="E1341" s="13" t="str">
        <f>+HYPERLINK("http://trademark.i-assist.jp/data/china/image_1888th/77042781.pdf","77042781")</f>
        <v>77042781</v>
      </c>
      <c r="F1341" s="7" t="s">
        <v>3753</v>
      </c>
      <c r="G1341" s="7" t="s">
        <v>3754</v>
      </c>
      <c r="H1341" s="7" t="s">
        <v>3755</v>
      </c>
      <c r="I1341" s="9">
        <v>45352</v>
      </c>
    </row>
    <row r="1342" spans="1:9" x14ac:dyDescent="0.15">
      <c r="A1342" s="6">
        <v>1341</v>
      </c>
      <c r="B1342" s="7" t="s">
        <v>10</v>
      </c>
      <c r="C1342" s="8">
        <v>1888</v>
      </c>
      <c r="D1342" s="9">
        <v>45432</v>
      </c>
      <c r="E1342" s="13" t="str">
        <f>+HYPERLINK("http://trademark.i-assist.jp/data/china/image_1888th/77043125.pdf","77043125")</f>
        <v>77043125</v>
      </c>
      <c r="F1342" s="7" t="s">
        <v>76</v>
      </c>
      <c r="G1342" s="7" t="s">
        <v>3756</v>
      </c>
      <c r="H1342" s="7" t="s">
        <v>3757</v>
      </c>
      <c r="I1342" s="9">
        <v>45352</v>
      </c>
    </row>
    <row r="1343" spans="1:9" x14ac:dyDescent="0.15">
      <c r="A1343" s="6">
        <v>1342</v>
      </c>
      <c r="B1343" s="7" t="s">
        <v>10</v>
      </c>
      <c r="C1343" s="8">
        <v>1888</v>
      </c>
      <c r="D1343" s="9">
        <v>45432</v>
      </c>
      <c r="E1343" s="13" t="str">
        <f>+HYPERLINK("http://trademark.i-assist.jp/data/china/image_1888th/77043416.pdf","77043416")</f>
        <v>77043416</v>
      </c>
      <c r="F1343" s="7" t="s">
        <v>3758</v>
      </c>
      <c r="G1343" s="7" t="s">
        <v>3759</v>
      </c>
      <c r="H1343" s="7" t="s">
        <v>3760</v>
      </c>
      <c r="I1343" s="9">
        <v>45352</v>
      </c>
    </row>
    <row r="1344" spans="1:9" x14ac:dyDescent="0.15">
      <c r="A1344" s="6">
        <v>1343</v>
      </c>
      <c r="B1344" s="7" t="s">
        <v>10</v>
      </c>
      <c r="C1344" s="8">
        <v>1888</v>
      </c>
      <c r="D1344" s="9">
        <v>45432</v>
      </c>
      <c r="E1344" s="13" t="str">
        <f>+HYPERLINK("http://trademark.i-assist.jp/data/china/image_1888th/77043947.pdf","77043947")</f>
        <v>77043947</v>
      </c>
      <c r="F1344" s="7" t="s">
        <v>3761</v>
      </c>
      <c r="G1344" s="7" t="s">
        <v>3762</v>
      </c>
      <c r="H1344" s="7" t="s">
        <v>3763</v>
      </c>
      <c r="I1344" s="9">
        <v>45352</v>
      </c>
    </row>
    <row r="1345" spans="1:9" x14ac:dyDescent="0.15">
      <c r="A1345" s="6">
        <v>1344</v>
      </c>
      <c r="B1345" s="7" t="s">
        <v>10</v>
      </c>
      <c r="C1345" s="8">
        <v>1888</v>
      </c>
      <c r="D1345" s="9">
        <v>45432</v>
      </c>
      <c r="E1345" s="13" t="str">
        <f>+HYPERLINK("http://trademark.i-assist.jp/data/china/image_1888th/77043976.pdf","77043976")</f>
        <v>77043976</v>
      </c>
      <c r="F1345" s="7" t="s">
        <v>3764</v>
      </c>
      <c r="G1345" s="7" t="s">
        <v>3765</v>
      </c>
      <c r="H1345" s="7" t="s">
        <v>3766</v>
      </c>
      <c r="I1345" s="9">
        <v>45352</v>
      </c>
    </row>
    <row r="1346" spans="1:9" x14ac:dyDescent="0.15">
      <c r="A1346" s="6">
        <v>1345</v>
      </c>
      <c r="B1346" s="7" t="s">
        <v>10</v>
      </c>
      <c r="C1346" s="8">
        <v>1888</v>
      </c>
      <c r="D1346" s="9">
        <v>45432</v>
      </c>
      <c r="E1346" s="13" t="str">
        <f>+HYPERLINK("http://trademark.i-assist.jp/data/china/image_1888th/77044263.pdf","77044263")</f>
        <v>77044263</v>
      </c>
      <c r="F1346" s="7" t="s">
        <v>3767</v>
      </c>
      <c r="G1346" s="7" t="s">
        <v>3768</v>
      </c>
      <c r="H1346" s="7" t="s">
        <v>3769</v>
      </c>
      <c r="I1346" s="9">
        <v>45352</v>
      </c>
    </row>
    <row r="1347" spans="1:9" x14ac:dyDescent="0.15">
      <c r="A1347" s="6">
        <v>1346</v>
      </c>
      <c r="B1347" s="7" t="s">
        <v>10</v>
      </c>
      <c r="C1347" s="8">
        <v>1888</v>
      </c>
      <c r="D1347" s="9">
        <v>45432</v>
      </c>
      <c r="E1347" s="13" t="str">
        <f>+HYPERLINK("http://trademark.i-assist.jp/data/china/image_1888th/77045778.pdf","77045778")</f>
        <v>77045778</v>
      </c>
      <c r="F1347" s="7" t="s">
        <v>3770</v>
      </c>
      <c r="G1347" s="7" t="s">
        <v>3771</v>
      </c>
      <c r="H1347" s="7" t="s">
        <v>3772</v>
      </c>
      <c r="I1347" s="9">
        <v>45352</v>
      </c>
    </row>
    <row r="1348" spans="1:9" x14ac:dyDescent="0.15">
      <c r="A1348" s="6">
        <v>1347</v>
      </c>
      <c r="B1348" s="7" t="s">
        <v>10</v>
      </c>
      <c r="C1348" s="8">
        <v>1888</v>
      </c>
      <c r="D1348" s="9">
        <v>45432</v>
      </c>
      <c r="E1348" s="13" t="str">
        <f>+HYPERLINK("http://trademark.i-assist.jp/data/china/image_1888th/77045869.pdf","77045869")</f>
        <v>77045869</v>
      </c>
      <c r="F1348" s="7" t="s">
        <v>3773</v>
      </c>
      <c r="G1348" s="7" t="s">
        <v>3774</v>
      </c>
      <c r="H1348" s="7" t="s">
        <v>3775</v>
      </c>
      <c r="I1348" s="9">
        <v>45352</v>
      </c>
    </row>
    <row r="1349" spans="1:9" x14ac:dyDescent="0.15">
      <c r="A1349" s="6">
        <v>1348</v>
      </c>
      <c r="B1349" s="7" t="s">
        <v>10</v>
      </c>
      <c r="C1349" s="8">
        <v>1888</v>
      </c>
      <c r="D1349" s="9">
        <v>45432</v>
      </c>
      <c r="E1349" s="13" t="str">
        <f>+HYPERLINK("http://trademark.i-assist.jp/data/china/image_1888th/77046105.pdf","77046105")</f>
        <v>77046105</v>
      </c>
      <c r="F1349" s="7" t="s">
        <v>3776</v>
      </c>
      <c r="G1349" s="7" t="s">
        <v>3723</v>
      </c>
      <c r="H1349" s="7" t="s">
        <v>3777</v>
      </c>
      <c r="I1349" s="9">
        <v>45352</v>
      </c>
    </row>
    <row r="1350" spans="1:9" x14ac:dyDescent="0.15">
      <c r="A1350" s="6">
        <v>1349</v>
      </c>
      <c r="B1350" s="7" t="s">
        <v>10</v>
      </c>
      <c r="C1350" s="8">
        <v>1888</v>
      </c>
      <c r="D1350" s="9">
        <v>45432</v>
      </c>
      <c r="E1350" s="13" t="str">
        <f>+HYPERLINK("http://trademark.i-assist.jp/data/china/image_1888th/77046106.pdf","77046106")</f>
        <v>77046106</v>
      </c>
      <c r="F1350" s="7" t="s">
        <v>3778</v>
      </c>
      <c r="G1350" s="7" t="s">
        <v>3779</v>
      </c>
      <c r="H1350" s="7" t="s">
        <v>3780</v>
      </c>
      <c r="I1350" s="9">
        <v>45352</v>
      </c>
    </row>
    <row r="1351" spans="1:9" x14ac:dyDescent="0.15">
      <c r="A1351" s="6">
        <v>1350</v>
      </c>
      <c r="B1351" s="7" t="s">
        <v>10</v>
      </c>
      <c r="C1351" s="8">
        <v>1888</v>
      </c>
      <c r="D1351" s="9">
        <v>45432</v>
      </c>
      <c r="E1351" s="13" t="str">
        <f>+HYPERLINK("http://trademark.i-assist.jp/data/china/image_1888th/77046347.pdf","77046347")</f>
        <v>77046347</v>
      </c>
      <c r="F1351" s="7" t="s">
        <v>3781</v>
      </c>
      <c r="G1351" s="7" t="s">
        <v>3782</v>
      </c>
      <c r="H1351" s="7" t="s">
        <v>3783</v>
      </c>
      <c r="I1351" s="9">
        <v>45352</v>
      </c>
    </row>
    <row r="1352" spans="1:9" x14ac:dyDescent="0.15">
      <c r="A1352" s="6">
        <v>1351</v>
      </c>
      <c r="B1352" s="7" t="s">
        <v>10</v>
      </c>
      <c r="C1352" s="8">
        <v>1888</v>
      </c>
      <c r="D1352" s="9">
        <v>45432</v>
      </c>
      <c r="E1352" s="13" t="str">
        <f>+HYPERLINK("http://trademark.i-assist.jp/data/china/image_1888th/77046558.pdf","77046558")</f>
        <v>77046558</v>
      </c>
      <c r="F1352" s="7" t="s">
        <v>3784</v>
      </c>
      <c r="G1352" s="7" t="s">
        <v>3785</v>
      </c>
      <c r="H1352" s="7" t="s">
        <v>3786</v>
      </c>
      <c r="I1352" s="9">
        <v>45352</v>
      </c>
    </row>
    <row r="1353" spans="1:9" ht="27" x14ac:dyDescent="0.15">
      <c r="A1353" s="6">
        <v>1352</v>
      </c>
      <c r="B1353" s="7" t="s">
        <v>10</v>
      </c>
      <c r="C1353" s="8">
        <v>1888</v>
      </c>
      <c r="D1353" s="9">
        <v>45432</v>
      </c>
      <c r="E1353" s="13" t="str">
        <f>+HYPERLINK("http://trademark.i-assist.jp/data/china/image_1888th/77047333.pdf","77047333")</f>
        <v>77047333</v>
      </c>
      <c r="F1353" s="7" t="s">
        <v>3787</v>
      </c>
      <c r="G1353" s="7" t="s">
        <v>3788</v>
      </c>
      <c r="H1353" s="7" t="s">
        <v>3789</v>
      </c>
      <c r="I1353" s="9">
        <v>45352</v>
      </c>
    </row>
    <row r="1354" spans="1:9" x14ac:dyDescent="0.15">
      <c r="A1354" s="6">
        <v>1353</v>
      </c>
      <c r="B1354" s="7" t="s">
        <v>10</v>
      </c>
      <c r="C1354" s="8">
        <v>1888</v>
      </c>
      <c r="D1354" s="9">
        <v>45432</v>
      </c>
      <c r="E1354" s="13" t="str">
        <f>+HYPERLINK("http://trademark.i-assist.jp/data/china/image_1888th/77047393.pdf","77047393")</f>
        <v>77047393</v>
      </c>
      <c r="F1354" s="7" t="s">
        <v>3790</v>
      </c>
      <c r="G1354" s="7" t="s">
        <v>3791</v>
      </c>
      <c r="H1354" s="7" t="s">
        <v>3792</v>
      </c>
      <c r="I1354" s="9">
        <v>45352</v>
      </c>
    </row>
    <row r="1355" spans="1:9" x14ac:dyDescent="0.15">
      <c r="A1355" s="6">
        <v>1354</v>
      </c>
      <c r="B1355" s="7" t="s">
        <v>10</v>
      </c>
      <c r="C1355" s="8">
        <v>1888</v>
      </c>
      <c r="D1355" s="9">
        <v>45432</v>
      </c>
      <c r="E1355" s="13" t="str">
        <f>+HYPERLINK("http://trademark.i-assist.jp/data/china/image_1888th/77047420.pdf","77047420")</f>
        <v>77047420</v>
      </c>
      <c r="F1355" s="7" t="s">
        <v>3793</v>
      </c>
      <c r="G1355" s="7" t="s">
        <v>3794</v>
      </c>
      <c r="H1355" s="7" t="s">
        <v>3795</v>
      </c>
      <c r="I1355" s="9">
        <v>45352</v>
      </c>
    </row>
    <row r="1356" spans="1:9" ht="27" x14ac:dyDescent="0.15">
      <c r="A1356" s="6">
        <v>1355</v>
      </c>
      <c r="B1356" s="7" t="s">
        <v>10</v>
      </c>
      <c r="C1356" s="8">
        <v>1888</v>
      </c>
      <c r="D1356" s="9">
        <v>45432</v>
      </c>
      <c r="E1356" s="13" t="str">
        <f>+HYPERLINK("http://trademark.i-assist.jp/data/china/image_1888th/77047440.pdf","77047440")</f>
        <v>77047440</v>
      </c>
      <c r="F1356" s="7" t="s">
        <v>3796</v>
      </c>
      <c r="G1356" s="7" t="s">
        <v>3797</v>
      </c>
      <c r="H1356" s="7" t="s">
        <v>3798</v>
      </c>
      <c r="I1356" s="9">
        <v>45352</v>
      </c>
    </row>
    <row r="1357" spans="1:9" x14ac:dyDescent="0.15">
      <c r="A1357" s="6">
        <v>1356</v>
      </c>
      <c r="B1357" s="7" t="s">
        <v>10</v>
      </c>
      <c r="C1357" s="8">
        <v>1888</v>
      </c>
      <c r="D1357" s="9">
        <v>45432</v>
      </c>
      <c r="E1357" s="13" t="str">
        <f>+HYPERLINK("http://trademark.i-assist.jp/data/china/image_1888th/77047612.pdf","77047612")</f>
        <v>77047612</v>
      </c>
      <c r="F1357" s="7" t="s">
        <v>3799</v>
      </c>
      <c r="G1357" s="7" t="s">
        <v>3800</v>
      </c>
      <c r="H1357" s="7" t="s">
        <v>3801</v>
      </c>
      <c r="I1357" s="9">
        <v>45352</v>
      </c>
    </row>
    <row r="1358" spans="1:9" x14ac:dyDescent="0.15">
      <c r="A1358" s="6">
        <v>1357</v>
      </c>
      <c r="B1358" s="7" t="s">
        <v>10</v>
      </c>
      <c r="C1358" s="8">
        <v>1888</v>
      </c>
      <c r="D1358" s="9">
        <v>45432</v>
      </c>
      <c r="E1358" s="13" t="str">
        <f>+HYPERLINK("http://trademark.i-assist.jp/data/china/image_1888th/77047870.pdf","77047870")</f>
        <v>77047870</v>
      </c>
      <c r="F1358" s="7" t="s">
        <v>3802</v>
      </c>
      <c r="G1358" s="7" t="s">
        <v>3803</v>
      </c>
      <c r="H1358" s="7" t="s">
        <v>3804</v>
      </c>
      <c r="I1358" s="9">
        <v>45352</v>
      </c>
    </row>
    <row r="1359" spans="1:9" x14ac:dyDescent="0.15">
      <c r="A1359" s="6">
        <v>1358</v>
      </c>
      <c r="B1359" s="7" t="s">
        <v>10</v>
      </c>
      <c r="C1359" s="8">
        <v>1888</v>
      </c>
      <c r="D1359" s="9">
        <v>45432</v>
      </c>
      <c r="E1359" s="13" t="str">
        <f>+HYPERLINK("http://trademark.i-assist.jp/data/china/image_1888th/77048080.pdf","77048080")</f>
        <v>77048080</v>
      </c>
      <c r="F1359" s="7" t="s">
        <v>3805</v>
      </c>
      <c r="G1359" s="7" t="s">
        <v>3806</v>
      </c>
      <c r="H1359" s="7" t="s">
        <v>3807</v>
      </c>
      <c r="I1359" s="9">
        <v>45352</v>
      </c>
    </row>
    <row r="1360" spans="1:9" x14ac:dyDescent="0.15">
      <c r="A1360" s="6">
        <v>1359</v>
      </c>
      <c r="B1360" s="7" t="s">
        <v>10</v>
      </c>
      <c r="C1360" s="8">
        <v>1888</v>
      </c>
      <c r="D1360" s="9">
        <v>45432</v>
      </c>
      <c r="E1360" s="13" t="str">
        <f>+HYPERLINK("http://trademark.i-assist.jp/data/china/image_1888th/77048288.pdf","77048288")</f>
        <v>77048288</v>
      </c>
      <c r="F1360" s="7" t="s">
        <v>3808</v>
      </c>
      <c r="G1360" s="7" t="s">
        <v>3809</v>
      </c>
      <c r="H1360" s="7" t="s">
        <v>3810</v>
      </c>
      <c r="I1360" s="9">
        <v>45352</v>
      </c>
    </row>
    <row r="1361" spans="1:9" x14ac:dyDescent="0.15">
      <c r="A1361" s="6">
        <v>1360</v>
      </c>
      <c r="B1361" s="7" t="s">
        <v>10</v>
      </c>
      <c r="C1361" s="8">
        <v>1888</v>
      </c>
      <c r="D1361" s="9">
        <v>45432</v>
      </c>
      <c r="E1361" s="13" t="str">
        <f>+HYPERLINK("http://trademark.i-assist.jp/data/china/image_1888th/77048563.pdf","77048563")</f>
        <v>77048563</v>
      </c>
      <c r="F1361" s="7" t="s">
        <v>3811</v>
      </c>
      <c r="G1361" s="7" t="s">
        <v>3812</v>
      </c>
      <c r="H1361" s="7" t="s">
        <v>3813</v>
      </c>
      <c r="I1361" s="9">
        <v>45352</v>
      </c>
    </row>
    <row r="1362" spans="1:9" x14ac:dyDescent="0.15">
      <c r="A1362" s="6">
        <v>1361</v>
      </c>
      <c r="B1362" s="7" t="s">
        <v>10</v>
      </c>
      <c r="C1362" s="8">
        <v>1888</v>
      </c>
      <c r="D1362" s="9">
        <v>45432</v>
      </c>
      <c r="E1362" s="13" t="str">
        <f>+HYPERLINK("http://trademark.i-assist.jp/data/china/image_1888th/77048619.pdf","77048619")</f>
        <v>77048619</v>
      </c>
      <c r="F1362" s="7" t="s">
        <v>3814</v>
      </c>
      <c r="G1362" s="7" t="s">
        <v>3815</v>
      </c>
      <c r="H1362" s="7" t="s">
        <v>3816</v>
      </c>
      <c r="I1362" s="9">
        <v>45352</v>
      </c>
    </row>
    <row r="1363" spans="1:9" x14ac:dyDescent="0.15">
      <c r="A1363" s="6">
        <v>1362</v>
      </c>
      <c r="B1363" s="7" t="s">
        <v>10</v>
      </c>
      <c r="C1363" s="8">
        <v>1888</v>
      </c>
      <c r="D1363" s="9">
        <v>45432</v>
      </c>
      <c r="E1363" s="13" t="str">
        <f>+HYPERLINK("http://trademark.i-assist.jp/data/china/image_1888th/77048660.pdf","77048660")</f>
        <v>77048660</v>
      </c>
      <c r="F1363" s="7" t="s">
        <v>3817</v>
      </c>
      <c r="G1363" s="7" t="s">
        <v>3765</v>
      </c>
      <c r="H1363" s="7" t="s">
        <v>3818</v>
      </c>
      <c r="I1363" s="9">
        <v>45352</v>
      </c>
    </row>
    <row r="1364" spans="1:9" x14ac:dyDescent="0.15">
      <c r="A1364" s="6">
        <v>1363</v>
      </c>
      <c r="B1364" s="7" t="s">
        <v>10</v>
      </c>
      <c r="C1364" s="8">
        <v>1888</v>
      </c>
      <c r="D1364" s="9">
        <v>45432</v>
      </c>
      <c r="E1364" s="13" t="str">
        <f>+HYPERLINK("http://trademark.i-assist.jp/data/china/image_1888th/77048680.pdf","77048680")</f>
        <v>77048680</v>
      </c>
      <c r="F1364" s="7" t="s">
        <v>3819</v>
      </c>
      <c r="G1364" s="7" t="s">
        <v>3820</v>
      </c>
      <c r="H1364" s="7" t="s">
        <v>3821</v>
      </c>
      <c r="I1364" s="9">
        <v>45352</v>
      </c>
    </row>
    <row r="1365" spans="1:9" x14ac:dyDescent="0.15">
      <c r="A1365" s="6">
        <v>1364</v>
      </c>
      <c r="B1365" s="7" t="s">
        <v>10</v>
      </c>
      <c r="C1365" s="8">
        <v>1888</v>
      </c>
      <c r="D1365" s="9">
        <v>45432</v>
      </c>
      <c r="E1365" s="13" t="str">
        <f>+HYPERLINK("http://trademark.i-assist.jp/data/china/image_1888th/77048769.pdf","77048769")</f>
        <v>77048769</v>
      </c>
      <c r="F1365" s="7" t="s">
        <v>3822</v>
      </c>
      <c r="G1365" s="7" t="s">
        <v>3823</v>
      </c>
      <c r="H1365" s="7" t="s">
        <v>3824</v>
      </c>
      <c r="I1365" s="9">
        <v>45352</v>
      </c>
    </row>
    <row r="1366" spans="1:9" ht="27" x14ac:dyDescent="0.15">
      <c r="A1366" s="6">
        <v>1365</v>
      </c>
      <c r="B1366" s="7" t="s">
        <v>10</v>
      </c>
      <c r="C1366" s="8">
        <v>1888</v>
      </c>
      <c r="D1366" s="9">
        <v>45432</v>
      </c>
      <c r="E1366" s="13" t="str">
        <f>+HYPERLINK("http://trademark.i-assist.jp/data/china/image_1888th/77049210.pdf","77049210")</f>
        <v>77049210</v>
      </c>
      <c r="F1366" s="7" t="s">
        <v>3825</v>
      </c>
      <c r="G1366" s="7" t="s">
        <v>3826</v>
      </c>
      <c r="H1366" s="7" t="s">
        <v>3827</v>
      </c>
      <c r="I1366" s="9">
        <v>45352</v>
      </c>
    </row>
    <row r="1367" spans="1:9" ht="27" x14ac:dyDescent="0.15">
      <c r="A1367" s="6">
        <v>1366</v>
      </c>
      <c r="B1367" s="7" t="s">
        <v>10</v>
      </c>
      <c r="C1367" s="8">
        <v>1888</v>
      </c>
      <c r="D1367" s="9">
        <v>45432</v>
      </c>
      <c r="E1367" s="13" t="str">
        <f>+HYPERLINK("http://trademark.i-assist.jp/data/china/image_1888th/77049276.pdf","77049276")</f>
        <v>77049276</v>
      </c>
      <c r="F1367" s="7" t="s">
        <v>3828</v>
      </c>
      <c r="G1367" s="7" t="s">
        <v>3829</v>
      </c>
      <c r="H1367" s="7" t="s">
        <v>3830</v>
      </c>
      <c r="I1367" s="9">
        <v>45352</v>
      </c>
    </row>
    <row r="1368" spans="1:9" x14ac:dyDescent="0.15">
      <c r="A1368" s="6">
        <v>1367</v>
      </c>
      <c r="B1368" s="7" t="s">
        <v>10</v>
      </c>
      <c r="C1368" s="8">
        <v>1888</v>
      </c>
      <c r="D1368" s="9">
        <v>45432</v>
      </c>
      <c r="E1368" s="13" t="str">
        <f>+HYPERLINK("http://trademark.i-assist.jp/data/china/image_1888th/77049362.pdf","77049362")</f>
        <v>77049362</v>
      </c>
      <c r="F1368" s="7" t="s">
        <v>3831</v>
      </c>
      <c r="G1368" s="7" t="s">
        <v>3832</v>
      </c>
      <c r="H1368" s="7" t="s">
        <v>3833</v>
      </c>
      <c r="I1368" s="9">
        <v>45352</v>
      </c>
    </row>
    <row r="1369" spans="1:9" x14ac:dyDescent="0.15">
      <c r="A1369" s="6">
        <v>1368</v>
      </c>
      <c r="B1369" s="7" t="s">
        <v>10</v>
      </c>
      <c r="C1369" s="8">
        <v>1888</v>
      </c>
      <c r="D1369" s="9">
        <v>45432</v>
      </c>
      <c r="E1369" s="13" t="str">
        <f>+HYPERLINK("http://trademark.i-assist.jp/data/china/image_1888th/77049723.pdf","77049723")</f>
        <v>77049723</v>
      </c>
      <c r="F1369" s="7" t="s">
        <v>3834</v>
      </c>
      <c r="G1369" s="7" t="s">
        <v>3835</v>
      </c>
      <c r="H1369" s="7" t="s">
        <v>3836</v>
      </c>
      <c r="I1369" s="9">
        <v>45352</v>
      </c>
    </row>
    <row r="1370" spans="1:9" x14ac:dyDescent="0.15">
      <c r="A1370" s="6">
        <v>1369</v>
      </c>
      <c r="B1370" s="7" t="s">
        <v>10</v>
      </c>
      <c r="C1370" s="8">
        <v>1888</v>
      </c>
      <c r="D1370" s="9">
        <v>45432</v>
      </c>
      <c r="E1370" s="13" t="str">
        <f>+HYPERLINK("http://trademark.i-assist.jp/data/china/image_1888th/77049742.pdf","77049742")</f>
        <v>77049742</v>
      </c>
      <c r="F1370" s="7" t="s">
        <v>3837</v>
      </c>
      <c r="G1370" s="7" t="s">
        <v>3835</v>
      </c>
      <c r="H1370" s="7" t="s">
        <v>3838</v>
      </c>
      <c r="I1370" s="9">
        <v>45352</v>
      </c>
    </row>
    <row r="1371" spans="1:9" x14ac:dyDescent="0.15">
      <c r="A1371" s="6">
        <v>1370</v>
      </c>
      <c r="B1371" s="7" t="s">
        <v>10</v>
      </c>
      <c r="C1371" s="8">
        <v>1888</v>
      </c>
      <c r="D1371" s="9">
        <v>45432</v>
      </c>
      <c r="E1371" s="13" t="str">
        <f>+HYPERLINK("http://trademark.i-assist.jp/data/china/image_1888th/77050655.pdf","77050655")</f>
        <v>77050655</v>
      </c>
      <c r="F1371" s="7" t="s">
        <v>3839</v>
      </c>
      <c r="G1371" s="7" t="s">
        <v>3840</v>
      </c>
      <c r="H1371" s="7" t="s">
        <v>3841</v>
      </c>
      <c r="I1371" s="9">
        <v>45352</v>
      </c>
    </row>
    <row r="1372" spans="1:9" x14ac:dyDescent="0.15">
      <c r="A1372" s="6">
        <v>1371</v>
      </c>
      <c r="B1372" s="7" t="s">
        <v>10</v>
      </c>
      <c r="C1372" s="8">
        <v>1888</v>
      </c>
      <c r="D1372" s="9">
        <v>45432</v>
      </c>
      <c r="E1372" s="13" t="str">
        <f>+HYPERLINK("http://trademark.i-assist.jp/data/china/image_1888th/77050980.pdf","77050980")</f>
        <v>77050980</v>
      </c>
      <c r="F1372" s="7" t="s">
        <v>3842</v>
      </c>
      <c r="G1372" s="7" t="s">
        <v>3843</v>
      </c>
      <c r="H1372" s="7" t="s">
        <v>3844</v>
      </c>
      <c r="I1372" s="9">
        <v>45352</v>
      </c>
    </row>
    <row r="1373" spans="1:9" x14ac:dyDescent="0.15">
      <c r="A1373" s="6">
        <v>1372</v>
      </c>
      <c r="B1373" s="7" t="s">
        <v>10</v>
      </c>
      <c r="C1373" s="8">
        <v>1888</v>
      </c>
      <c r="D1373" s="9">
        <v>45432</v>
      </c>
      <c r="E1373" s="13" t="str">
        <f>+HYPERLINK("http://trademark.i-assist.jp/data/china/image_1888th/77051489.pdf","77051489")</f>
        <v>77051489</v>
      </c>
      <c r="F1373" s="7" t="s">
        <v>3845</v>
      </c>
      <c r="G1373" s="7" t="s">
        <v>3846</v>
      </c>
      <c r="H1373" s="7" t="s">
        <v>3847</v>
      </c>
      <c r="I1373" s="9">
        <v>45352</v>
      </c>
    </row>
    <row r="1374" spans="1:9" ht="27" x14ac:dyDescent="0.15">
      <c r="A1374" s="6">
        <v>1373</v>
      </c>
      <c r="B1374" s="7" t="s">
        <v>10</v>
      </c>
      <c r="C1374" s="8">
        <v>1888</v>
      </c>
      <c r="D1374" s="9">
        <v>45432</v>
      </c>
      <c r="E1374" s="13" t="str">
        <f>+HYPERLINK("http://trademark.i-assist.jp/data/china/image_1888th/77051533.pdf","77051533")</f>
        <v>77051533</v>
      </c>
      <c r="F1374" s="7" t="s">
        <v>3848</v>
      </c>
      <c r="G1374" s="7" t="s">
        <v>3849</v>
      </c>
      <c r="H1374" s="7" t="s">
        <v>3850</v>
      </c>
      <c r="I1374" s="9">
        <v>45352</v>
      </c>
    </row>
    <row r="1375" spans="1:9" x14ac:dyDescent="0.15">
      <c r="A1375" s="6">
        <v>1374</v>
      </c>
      <c r="B1375" s="7" t="s">
        <v>10</v>
      </c>
      <c r="C1375" s="8">
        <v>1888</v>
      </c>
      <c r="D1375" s="9">
        <v>45432</v>
      </c>
      <c r="E1375" s="13" t="str">
        <f>+HYPERLINK("http://trademark.i-assist.jp/data/china/image_1888th/77051779.pdf","77051779")</f>
        <v>77051779</v>
      </c>
      <c r="F1375" s="7" t="s">
        <v>3851</v>
      </c>
      <c r="G1375" s="7" t="s">
        <v>3852</v>
      </c>
      <c r="H1375" s="7" t="s">
        <v>3853</v>
      </c>
      <c r="I1375" s="9">
        <v>45352</v>
      </c>
    </row>
    <row r="1376" spans="1:9" x14ac:dyDescent="0.15">
      <c r="A1376" s="6">
        <v>1375</v>
      </c>
      <c r="B1376" s="7" t="s">
        <v>10</v>
      </c>
      <c r="C1376" s="8">
        <v>1888</v>
      </c>
      <c r="D1376" s="9">
        <v>45432</v>
      </c>
      <c r="E1376" s="13" t="str">
        <f>+HYPERLINK("http://trademark.i-assist.jp/data/china/image_1888th/77051798.pdf","77051798")</f>
        <v>77051798</v>
      </c>
      <c r="F1376" s="7" t="s">
        <v>3854</v>
      </c>
      <c r="G1376" s="7" t="s">
        <v>3855</v>
      </c>
      <c r="H1376" s="7" t="s">
        <v>3856</v>
      </c>
      <c r="I1376" s="9">
        <v>45352</v>
      </c>
    </row>
    <row r="1377" spans="1:9" x14ac:dyDescent="0.15">
      <c r="A1377" s="6">
        <v>1376</v>
      </c>
      <c r="B1377" s="7" t="s">
        <v>10</v>
      </c>
      <c r="C1377" s="8">
        <v>1888</v>
      </c>
      <c r="D1377" s="9">
        <v>45432</v>
      </c>
      <c r="E1377" s="13" t="str">
        <f>+HYPERLINK("http://trademark.i-assist.jp/data/china/image_1888th/77051933.pdf","77051933")</f>
        <v>77051933</v>
      </c>
      <c r="F1377" s="7" t="s">
        <v>3857</v>
      </c>
      <c r="G1377" s="7" t="s">
        <v>3858</v>
      </c>
      <c r="H1377" s="7" t="s">
        <v>3859</v>
      </c>
      <c r="I1377" s="9">
        <v>45352</v>
      </c>
    </row>
    <row r="1378" spans="1:9" x14ac:dyDescent="0.15">
      <c r="A1378" s="6">
        <v>1377</v>
      </c>
      <c r="B1378" s="7" t="s">
        <v>10</v>
      </c>
      <c r="C1378" s="8">
        <v>1888</v>
      </c>
      <c r="D1378" s="9">
        <v>45432</v>
      </c>
      <c r="E1378" s="13" t="str">
        <f>+HYPERLINK("http://trademark.i-assist.jp/data/china/image_1888th/77052213.pdf","77052213")</f>
        <v>77052213</v>
      </c>
      <c r="F1378" s="7" t="s">
        <v>3860</v>
      </c>
      <c r="G1378" s="7" t="s">
        <v>3861</v>
      </c>
      <c r="H1378" s="7" t="s">
        <v>3862</v>
      </c>
      <c r="I1378" s="9">
        <v>45352</v>
      </c>
    </row>
    <row r="1379" spans="1:9" x14ac:dyDescent="0.15">
      <c r="A1379" s="6">
        <v>1378</v>
      </c>
      <c r="B1379" s="7" t="s">
        <v>10</v>
      </c>
      <c r="C1379" s="8">
        <v>1888</v>
      </c>
      <c r="D1379" s="9">
        <v>45432</v>
      </c>
      <c r="E1379" s="13" t="str">
        <f>+HYPERLINK("http://trademark.i-assist.jp/data/china/image_1888th/77052217.pdf","77052217")</f>
        <v>77052217</v>
      </c>
      <c r="F1379" s="7" t="s">
        <v>3863</v>
      </c>
      <c r="G1379" s="7" t="s">
        <v>3861</v>
      </c>
      <c r="H1379" s="7" t="s">
        <v>3864</v>
      </c>
      <c r="I1379" s="9">
        <v>45352</v>
      </c>
    </row>
    <row r="1380" spans="1:9" x14ac:dyDescent="0.15">
      <c r="A1380" s="6">
        <v>1379</v>
      </c>
      <c r="B1380" s="7" t="s">
        <v>10</v>
      </c>
      <c r="C1380" s="8">
        <v>1888</v>
      </c>
      <c r="D1380" s="9">
        <v>45432</v>
      </c>
      <c r="E1380" s="13" t="str">
        <f>+HYPERLINK("http://trademark.i-assist.jp/data/china/image_1888th/77052436.pdf","77052436")</f>
        <v>77052436</v>
      </c>
      <c r="F1380" s="7" t="s">
        <v>3865</v>
      </c>
      <c r="G1380" s="7" t="s">
        <v>3866</v>
      </c>
      <c r="H1380" s="7" t="s">
        <v>3867</v>
      </c>
      <c r="I1380" s="9">
        <v>45352</v>
      </c>
    </row>
    <row r="1381" spans="1:9" x14ac:dyDescent="0.15">
      <c r="A1381" s="6">
        <v>1380</v>
      </c>
      <c r="B1381" s="7" t="s">
        <v>10</v>
      </c>
      <c r="C1381" s="8">
        <v>1888</v>
      </c>
      <c r="D1381" s="9">
        <v>45432</v>
      </c>
      <c r="E1381" s="13" t="str">
        <f>+HYPERLINK("http://trademark.i-assist.jp/data/china/image_1888th/77052910.pdf","77052910")</f>
        <v>77052910</v>
      </c>
      <c r="F1381" s="7" t="s">
        <v>3868</v>
      </c>
      <c r="G1381" s="7" t="s">
        <v>3869</v>
      </c>
      <c r="H1381" s="7" t="s">
        <v>3870</v>
      </c>
      <c r="I1381" s="9">
        <v>45352</v>
      </c>
    </row>
    <row r="1382" spans="1:9" x14ac:dyDescent="0.15">
      <c r="A1382" s="6">
        <v>1381</v>
      </c>
      <c r="B1382" s="7" t="s">
        <v>10</v>
      </c>
      <c r="C1382" s="8">
        <v>1888</v>
      </c>
      <c r="D1382" s="9">
        <v>45432</v>
      </c>
      <c r="E1382" s="13" t="str">
        <f>+HYPERLINK("http://trademark.i-assist.jp/data/china/image_1888th/77052923.pdf","77052923")</f>
        <v>77052923</v>
      </c>
      <c r="F1382" s="7" t="s">
        <v>3871</v>
      </c>
      <c r="G1382" s="7" t="s">
        <v>3872</v>
      </c>
      <c r="H1382" s="7" t="s">
        <v>3873</v>
      </c>
      <c r="I1382" s="9">
        <v>45352</v>
      </c>
    </row>
    <row r="1383" spans="1:9" x14ac:dyDescent="0.15">
      <c r="A1383" s="6">
        <v>1382</v>
      </c>
      <c r="B1383" s="7" t="s">
        <v>10</v>
      </c>
      <c r="C1383" s="8">
        <v>1888</v>
      </c>
      <c r="D1383" s="9">
        <v>45432</v>
      </c>
      <c r="E1383" s="13" t="str">
        <f>+HYPERLINK("http://trademark.i-assist.jp/data/china/image_1888th/77053640.pdf","77053640")</f>
        <v>77053640</v>
      </c>
      <c r="F1383" s="7" t="s">
        <v>3874</v>
      </c>
      <c r="G1383" s="7" t="s">
        <v>3875</v>
      </c>
      <c r="H1383" s="7" t="s">
        <v>3876</v>
      </c>
      <c r="I1383" s="9">
        <v>45352</v>
      </c>
    </row>
    <row r="1384" spans="1:9" x14ac:dyDescent="0.15">
      <c r="A1384" s="6">
        <v>1383</v>
      </c>
      <c r="B1384" s="7" t="s">
        <v>10</v>
      </c>
      <c r="C1384" s="8">
        <v>1888</v>
      </c>
      <c r="D1384" s="9">
        <v>45432</v>
      </c>
      <c r="E1384" s="13" t="str">
        <f>+HYPERLINK("http://trademark.i-assist.jp/data/china/image_1888th/77054203.pdf","77054203")</f>
        <v>77054203</v>
      </c>
      <c r="F1384" s="7" t="s">
        <v>3877</v>
      </c>
      <c r="G1384" s="7" t="s">
        <v>3878</v>
      </c>
      <c r="H1384" s="7" t="s">
        <v>3879</v>
      </c>
      <c r="I1384" s="9">
        <v>45352</v>
      </c>
    </row>
    <row r="1385" spans="1:9" x14ac:dyDescent="0.15">
      <c r="A1385" s="6">
        <v>1384</v>
      </c>
      <c r="B1385" s="7" t="s">
        <v>10</v>
      </c>
      <c r="C1385" s="8">
        <v>1888</v>
      </c>
      <c r="D1385" s="9">
        <v>45432</v>
      </c>
      <c r="E1385" s="13" t="str">
        <f>+HYPERLINK("http://trademark.i-assist.jp/data/china/image_1888th/77054319.pdf","77054319")</f>
        <v>77054319</v>
      </c>
      <c r="F1385" s="7" t="s">
        <v>3880</v>
      </c>
      <c r="G1385" s="7" t="s">
        <v>3881</v>
      </c>
      <c r="H1385" s="7" t="s">
        <v>3882</v>
      </c>
      <c r="I1385" s="9">
        <v>45352</v>
      </c>
    </row>
    <row r="1386" spans="1:9" x14ac:dyDescent="0.15">
      <c r="A1386" s="6">
        <v>1385</v>
      </c>
      <c r="B1386" s="7" t="s">
        <v>10</v>
      </c>
      <c r="C1386" s="8">
        <v>1888</v>
      </c>
      <c r="D1386" s="9">
        <v>45432</v>
      </c>
      <c r="E1386" s="13" t="str">
        <f>+HYPERLINK("http://trademark.i-assist.jp/data/china/image_1888th/77054352.pdf","77054352")</f>
        <v>77054352</v>
      </c>
      <c r="F1386" s="7" t="s">
        <v>3883</v>
      </c>
      <c r="G1386" s="7" t="s">
        <v>3815</v>
      </c>
      <c r="H1386" s="7" t="s">
        <v>3884</v>
      </c>
      <c r="I1386" s="9">
        <v>45352</v>
      </c>
    </row>
    <row r="1387" spans="1:9" x14ac:dyDescent="0.15">
      <c r="A1387" s="6">
        <v>1386</v>
      </c>
      <c r="B1387" s="7" t="s">
        <v>10</v>
      </c>
      <c r="C1387" s="8">
        <v>1888</v>
      </c>
      <c r="D1387" s="9">
        <v>45432</v>
      </c>
      <c r="E1387" s="13" t="str">
        <f>+HYPERLINK("http://trademark.i-assist.jp/data/china/image_1888th/77054444.pdf","77054444")</f>
        <v>77054444</v>
      </c>
      <c r="F1387" s="7" t="s">
        <v>3885</v>
      </c>
      <c r="G1387" s="7" t="s">
        <v>3886</v>
      </c>
      <c r="H1387" s="7" t="s">
        <v>3887</v>
      </c>
      <c r="I1387" s="9">
        <v>45352</v>
      </c>
    </row>
    <row r="1388" spans="1:9" x14ac:dyDescent="0.15">
      <c r="A1388" s="6">
        <v>1387</v>
      </c>
      <c r="B1388" s="7" t="s">
        <v>10</v>
      </c>
      <c r="C1388" s="8">
        <v>1888</v>
      </c>
      <c r="D1388" s="9">
        <v>45432</v>
      </c>
      <c r="E1388" s="13" t="str">
        <f>+HYPERLINK("http://trademark.i-assist.jp/data/china/image_1888th/77054730.pdf","77054730")</f>
        <v>77054730</v>
      </c>
      <c r="F1388" s="7" t="s">
        <v>3888</v>
      </c>
      <c r="G1388" s="7" t="s">
        <v>3889</v>
      </c>
      <c r="H1388" s="7" t="s">
        <v>3890</v>
      </c>
      <c r="I1388" s="9">
        <v>45352</v>
      </c>
    </row>
    <row r="1389" spans="1:9" ht="27" x14ac:dyDescent="0.15">
      <c r="A1389" s="6">
        <v>1388</v>
      </c>
      <c r="B1389" s="7" t="s">
        <v>10</v>
      </c>
      <c r="C1389" s="8">
        <v>1888</v>
      </c>
      <c r="D1389" s="9">
        <v>45432</v>
      </c>
      <c r="E1389" s="13" t="str">
        <f>+HYPERLINK("http://trademark.i-assist.jp/data/china/image_1888th/77054818.pdf","77054818")</f>
        <v>77054818</v>
      </c>
      <c r="F1389" s="7" t="s">
        <v>3891</v>
      </c>
      <c r="G1389" s="7" t="s">
        <v>3892</v>
      </c>
      <c r="H1389" s="7" t="s">
        <v>3893</v>
      </c>
      <c r="I1389" s="9">
        <v>45352</v>
      </c>
    </row>
    <row r="1390" spans="1:9" x14ac:dyDescent="0.15">
      <c r="A1390" s="6">
        <v>1389</v>
      </c>
      <c r="B1390" s="7" t="s">
        <v>10</v>
      </c>
      <c r="C1390" s="8">
        <v>1888</v>
      </c>
      <c r="D1390" s="9">
        <v>45432</v>
      </c>
      <c r="E1390" s="13" t="str">
        <f>+HYPERLINK("http://trademark.i-assist.jp/data/china/image_1888th/77055173.pdf","77055173")</f>
        <v>77055173</v>
      </c>
      <c r="F1390" s="7" t="s">
        <v>3894</v>
      </c>
      <c r="G1390" s="7" t="s">
        <v>3895</v>
      </c>
      <c r="H1390" s="7" t="s">
        <v>3896</v>
      </c>
      <c r="I1390" s="9">
        <v>45352</v>
      </c>
    </row>
    <row r="1391" spans="1:9" ht="27" x14ac:dyDescent="0.15">
      <c r="A1391" s="6">
        <v>1390</v>
      </c>
      <c r="B1391" s="7" t="s">
        <v>10</v>
      </c>
      <c r="C1391" s="8">
        <v>1888</v>
      </c>
      <c r="D1391" s="9">
        <v>45432</v>
      </c>
      <c r="E1391" s="13" t="str">
        <f>+HYPERLINK("http://trademark.i-assist.jp/data/china/image_1888th/77055939.pdf","77055939")</f>
        <v>77055939</v>
      </c>
      <c r="F1391" s="7" t="s">
        <v>3897</v>
      </c>
      <c r="G1391" s="7" t="s">
        <v>3898</v>
      </c>
      <c r="H1391" s="7" t="s">
        <v>3899</v>
      </c>
      <c r="I1391" s="9">
        <v>45352</v>
      </c>
    </row>
    <row r="1392" spans="1:9" x14ac:dyDescent="0.15">
      <c r="A1392" s="6">
        <v>1391</v>
      </c>
      <c r="B1392" s="7" t="s">
        <v>10</v>
      </c>
      <c r="C1392" s="8">
        <v>1888</v>
      </c>
      <c r="D1392" s="9">
        <v>45432</v>
      </c>
      <c r="E1392" s="13" t="str">
        <f>+HYPERLINK("http://trademark.i-assist.jp/data/china/image_1888th/77056327.pdf","77056327")</f>
        <v>77056327</v>
      </c>
      <c r="F1392" s="7" t="s">
        <v>3900</v>
      </c>
      <c r="G1392" s="7" t="s">
        <v>3901</v>
      </c>
      <c r="H1392" s="7" t="s">
        <v>3902</v>
      </c>
      <c r="I1392" s="9">
        <v>45352</v>
      </c>
    </row>
    <row r="1393" spans="1:9" x14ac:dyDescent="0.15">
      <c r="A1393" s="6">
        <v>1392</v>
      </c>
      <c r="B1393" s="7" t="s">
        <v>10</v>
      </c>
      <c r="C1393" s="8">
        <v>1888</v>
      </c>
      <c r="D1393" s="9">
        <v>45432</v>
      </c>
      <c r="E1393" s="13" t="str">
        <f>+HYPERLINK("http://trademark.i-assist.jp/data/china/image_1888th/77056515.pdf","77056515")</f>
        <v>77056515</v>
      </c>
      <c r="F1393" s="7" t="s">
        <v>3903</v>
      </c>
      <c r="G1393" s="7" t="s">
        <v>3904</v>
      </c>
      <c r="H1393" s="7" t="s">
        <v>3905</v>
      </c>
      <c r="I1393" s="9">
        <v>45352</v>
      </c>
    </row>
    <row r="1394" spans="1:9" x14ac:dyDescent="0.15">
      <c r="A1394" s="6">
        <v>1393</v>
      </c>
      <c r="B1394" s="7" t="s">
        <v>10</v>
      </c>
      <c r="C1394" s="8">
        <v>1888</v>
      </c>
      <c r="D1394" s="9">
        <v>45432</v>
      </c>
      <c r="E1394" s="13" t="str">
        <f>+HYPERLINK("http://trademark.i-assist.jp/data/china/image_1888th/77056751.pdf","77056751")</f>
        <v>77056751</v>
      </c>
      <c r="F1394" s="7" t="s">
        <v>3906</v>
      </c>
      <c r="G1394" s="7" t="s">
        <v>3907</v>
      </c>
      <c r="H1394" s="7" t="s">
        <v>3908</v>
      </c>
      <c r="I1394" s="9">
        <v>45352</v>
      </c>
    </row>
    <row r="1395" spans="1:9" x14ac:dyDescent="0.15">
      <c r="A1395" s="6">
        <v>1394</v>
      </c>
      <c r="B1395" s="7" t="s">
        <v>10</v>
      </c>
      <c r="C1395" s="8">
        <v>1888</v>
      </c>
      <c r="D1395" s="9">
        <v>45432</v>
      </c>
      <c r="E1395" s="13" t="str">
        <f>+HYPERLINK("http://trademark.i-assist.jp/data/china/image_1888th/77056884.pdf","77056884")</f>
        <v>77056884</v>
      </c>
      <c r="F1395" s="7" t="s">
        <v>3909</v>
      </c>
      <c r="G1395" s="7" t="s">
        <v>3910</v>
      </c>
      <c r="H1395" s="7" t="s">
        <v>3911</v>
      </c>
      <c r="I1395" s="9">
        <v>45352</v>
      </c>
    </row>
    <row r="1396" spans="1:9" x14ac:dyDescent="0.15">
      <c r="A1396" s="6">
        <v>1395</v>
      </c>
      <c r="B1396" s="7" t="s">
        <v>10</v>
      </c>
      <c r="C1396" s="8">
        <v>1888</v>
      </c>
      <c r="D1396" s="9">
        <v>45432</v>
      </c>
      <c r="E1396" s="13" t="str">
        <f>+HYPERLINK("http://trademark.i-assist.jp/data/china/image_1888th/77056885.pdf","77056885")</f>
        <v>77056885</v>
      </c>
      <c r="F1396" s="7" t="s">
        <v>3912</v>
      </c>
      <c r="G1396" s="7" t="s">
        <v>3913</v>
      </c>
      <c r="H1396" s="7" t="s">
        <v>3914</v>
      </c>
      <c r="I1396" s="9">
        <v>45352</v>
      </c>
    </row>
    <row r="1397" spans="1:9" x14ac:dyDescent="0.15">
      <c r="A1397" s="6">
        <v>1396</v>
      </c>
      <c r="B1397" s="7" t="s">
        <v>10</v>
      </c>
      <c r="C1397" s="8">
        <v>1888</v>
      </c>
      <c r="D1397" s="9">
        <v>45432</v>
      </c>
      <c r="E1397" s="13" t="str">
        <f>+HYPERLINK("http://trademark.i-assist.jp/data/china/image_1888th/77056894.pdf","77056894")</f>
        <v>77056894</v>
      </c>
      <c r="F1397" s="7" t="s">
        <v>3915</v>
      </c>
      <c r="G1397" s="7" t="s">
        <v>3913</v>
      </c>
      <c r="H1397" s="7" t="s">
        <v>3916</v>
      </c>
      <c r="I1397" s="9">
        <v>45352</v>
      </c>
    </row>
    <row r="1398" spans="1:9" x14ac:dyDescent="0.15">
      <c r="A1398" s="6">
        <v>1397</v>
      </c>
      <c r="B1398" s="7" t="s">
        <v>10</v>
      </c>
      <c r="C1398" s="8">
        <v>1888</v>
      </c>
      <c r="D1398" s="9">
        <v>45432</v>
      </c>
      <c r="E1398" s="13" t="str">
        <f>+HYPERLINK("http://trademark.i-assist.jp/data/china/image_1888th/77057475.pdf","77057475")</f>
        <v>77057475</v>
      </c>
      <c r="F1398" s="7" t="s">
        <v>3917</v>
      </c>
      <c r="G1398" s="7" t="s">
        <v>3918</v>
      </c>
      <c r="H1398" s="7" t="s">
        <v>3919</v>
      </c>
      <c r="I1398" s="9">
        <v>45352</v>
      </c>
    </row>
    <row r="1399" spans="1:9" x14ac:dyDescent="0.15">
      <c r="A1399" s="6">
        <v>1398</v>
      </c>
      <c r="B1399" s="7" t="s">
        <v>10</v>
      </c>
      <c r="C1399" s="8">
        <v>1888</v>
      </c>
      <c r="D1399" s="9">
        <v>45432</v>
      </c>
      <c r="E1399" s="13" t="str">
        <f>+HYPERLINK("http://trademark.i-assist.jp/data/china/image_1888th/77057653.pdf","77057653")</f>
        <v>77057653</v>
      </c>
      <c r="F1399" s="7" t="s">
        <v>3920</v>
      </c>
      <c r="G1399" s="7" t="s">
        <v>3921</v>
      </c>
      <c r="H1399" s="7" t="s">
        <v>3922</v>
      </c>
      <c r="I1399" s="9">
        <v>45352</v>
      </c>
    </row>
    <row r="1400" spans="1:9" x14ac:dyDescent="0.15">
      <c r="A1400" s="6">
        <v>1399</v>
      </c>
      <c r="B1400" s="7" t="s">
        <v>10</v>
      </c>
      <c r="C1400" s="8">
        <v>1888</v>
      </c>
      <c r="D1400" s="9">
        <v>45432</v>
      </c>
      <c r="E1400" s="13" t="str">
        <f>+HYPERLINK("http://trademark.i-assist.jp/data/china/image_1888th/77057901.pdf","77057901")</f>
        <v>77057901</v>
      </c>
      <c r="F1400" s="7" t="s">
        <v>3923</v>
      </c>
      <c r="G1400" s="7" t="s">
        <v>3924</v>
      </c>
      <c r="H1400" s="7" t="s">
        <v>3925</v>
      </c>
      <c r="I1400" s="9">
        <v>45352</v>
      </c>
    </row>
    <row r="1401" spans="1:9" x14ac:dyDescent="0.15">
      <c r="A1401" s="6">
        <v>1400</v>
      </c>
      <c r="B1401" s="7" t="s">
        <v>10</v>
      </c>
      <c r="C1401" s="8">
        <v>1888</v>
      </c>
      <c r="D1401" s="9">
        <v>45432</v>
      </c>
      <c r="E1401" s="13" t="str">
        <f>+HYPERLINK("http://trademark.i-assist.jp/data/china/image_1888th/77057965.pdf","77057965")</f>
        <v>77057965</v>
      </c>
      <c r="F1401" s="7" t="s">
        <v>3926</v>
      </c>
      <c r="G1401" s="7" t="s">
        <v>3927</v>
      </c>
      <c r="H1401" s="7" t="s">
        <v>3928</v>
      </c>
      <c r="I1401" s="9">
        <v>45352</v>
      </c>
    </row>
    <row r="1402" spans="1:9" x14ac:dyDescent="0.15">
      <c r="A1402" s="6">
        <v>1401</v>
      </c>
      <c r="B1402" s="7" t="s">
        <v>10</v>
      </c>
      <c r="C1402" s="8">
        <v>1888</v>
      </c>
      <c r="D1402" s="9">
        <v>45432</v>
      </c>
      <c r="E1402" s="13" t="str">
        <f>+HYPERLINK("http://trademark.i-assist.jp/data/china/image_1888th/77058083.pdf","77058083")</f>
        <v>77058083</v>
      </c>
      <c r="F1402" s="7" t="s">
        <v>3929</v>
      </c>
      <c r="G1402" s="7" t="s">
        <v>2325</v>
      </c>
      <c r="H1402" s="7" t="s">
        <v>3930</v>
      </c>
      <c r="I1402" s="9">
        <v>45352</v>
      </c>
    </row>
    <row r="1403" spans="1:9" x14ac:dyDescent="0.15">
      <c r="A1403" s="6">
        <v>1402</v>
      </c>
      <c r="B1403" s="7" t="s">
        <v>10</v>
      </c>
      <c r="C1403" s="8">
        <v>1888</v>
      </c>
      <c r="D1403" s="9">
        <v>45432</v>
      </c>
      <c r="E1403" s="13" t="str">
        <f>+HYPERLINK("http://trademark.i-assist.jp/data/china/image_1888th/77058168.pdf","77058168")</f>
        <v>77058168</v>
      </c>
      <c r="F1403" s="7" t="s">
        <v>3931</v>
      </c>
      <c r="G1403" s="7" t="s">
        <v>3932</v>
      </c>
      <c r="H1403" s="7" t="s">
        <v>3933</v>
      </c>
      <c r="I1403" s="9">
        <v>45352</v>
      </c>
    </row>
    <row r="1404" spans="1:9" x14ac:dyDescent="0.15">
      <c r="A1404" s="6">
        <v>1403</v>
      </c>
      <c r="B1404" s="7" t="s">
        <v>10</v>
      </c>
      <c r="C1404" s="8">
        <v>1888</v>
      </c>
      <c r="D1404" s="9">
        <v>45432</v>
      </c>
      <c r="E1404" s="13" t="str">
        <f>+HYPERLINK("http://trademark.i-assist.jp/data/china/image_1888th/77058269.pdf","77058269")</f>
        <v>77058269</v>
      </c>
      <c r="F1404" s="7" t="s">
        <v>3934</v>
      </c>
      <c r="G1404" s="7" t="s">
        <v>3935</v>
      </c>
      <c r="H1404" s="7" t="s">
        <v>3936</v>
      </c>
      <c r="I1404" s="9">
        <v>45352</v>
      </c>
    </row>
    <row r="1405" spans="1:9" x14ac:dyDescent="0.15">
      <c r="A1405" s="6">
        <v>1404</v>
      </c>
      <c r="B1405" s="7" t="s">
        <v>10</v>
      </c>
      <c r="C1405" s="8">
        <v>1888</v>
      </c>
      <c r="D1405" s="9">
        <v>45432</v>
      </c>
      <c r="E1405" s="13" t="str">
        <f>+HYPERLINK("http://trademark.i-assist.jp/data/china/image_1888th/77058391.pdf","77058391")</f>
        <v>77058391</v>
      </c>
      <c r="F1405" s="7" t="s">
        <v>3937</v>
      </c>
      <c r="G1405" s="7" t="s">
        <v>3938</v>
      </c>
      <c r="H1405" s="7" t="s">
        <v>3939</v>
      </c>
      <c r="I1405" s="9">
        <v>45352</v>
      </c>
    </row>
    <row r="1406" spans="1:9" x14ac:dyDescent="0.15">
      <c r="A1406" s="6">
        <v>1405</v>
      </c>
      <c r="B1406" s="7" t="s">
        <v>10</v>
      </c>
      <c r="C1406" s="8">
        <v>1888</v>
      </c>
      <c r="D1406" s="9">
        <v>45432</v>
      </c>
      <c r="E1406" s="13" t="str">
        <f>+HYPERLINK("http://trademark.i-assist.jp/data/china/image_1888th/77058398.pdf","77058398")</f>
        <v>77058398</v>
      </c>
      <c r="F1406" s="7" t="s">
        <v>3940</v>
      </c>
      <c r="G1406" s="7" t="s">
        <v>3941</v>
      </c>
      <c r="H1406" s="7" t="s">
        <v>3942</v>
      </c>
      <c r="I1406" s="9">
        <v>45352</v>
      </c>
    </row>
    <row r="1407" spans="1:9" x14ac:dyDescent="0.15">
      <c r="A1407" s="6">
        <v>1406</v>
      </c>
      <c r="B1407" s="7" t="s">
        <v>10</v>
      </c>
      <c r="C1407" s="8">
        <v>1888</v>
      </c>
      <c r="D1407" s="9">
        <v>45432</v>
      </c>
      <c r="E1407" s="13" t="str">
        <f>+HYPERLINK("http://trademark.i-assist.jp/data/china/image_1888th/77058510.pdf","77058510")</f>
        <v>77058510</v>
      </c>
      <c r="F1407" s="7" t="s">
        <v>3943</v>
      </c>
      <c r="G1407" s="7" t="s">
        <v>3571</v>
      </c>
      <c r="H1407" s="7" t="s">
        <v>3944</v>
      </c>
      <c r="I1407" s="9">
        <v>45352</v>
      </c>
    </row>
    <row r="1408" spans="1:9" ht="27" x14ac:dyDescent="0.15">
      <c r="A1408" s="6">
        <v>1407</v>
      </c>
      <c r="B1408" s="7" t="s">
        <v>10</v>
      </c>
      <c r="C1408" s="8">
        <v>1888</v>
      </c>
      <c r="D1408" s="9">
        <v>45432</v>
      </c>
      <c r="E1408" s="13" t="str">
        <f>+HYPERLINK("http://trademark.i-assist.jp/data/china/image_1888th/77058850.pdf","77058850")</f>
        <v>77058850</v>
      </c>
      <c r="F1408" s="7" t="s">
        <v>3945</v>
      </c>
      <c r="G1408" s="7" t="s">
        <v>3797</v>
      </c>
      <c r="H1408" s="7" t="s">
        <v>3946</v>
      </c>
      <c r="I1408" s="9">
        <v>45352</v>
      </c>
    </row>
    <row r="1409" spans="1:9" ht="27" x14ac:dyDescent="0.15">
      <c r="A1409" s="6">
        <v>1408</v>
      </c>
      <c r="B1409" s="7" t="s">
        <v>10</v>
      </c>
      <c r="C1409" s="8">
        <v>1888</v>
      </c>
      <c r="D1409" s="9">
        <v>45432</v>
      </c>
      <c r="E1409" s="13" t="str">
        <f>+HYPERLINK("http://trademark.i-assist.jp/data/china/image_1888th/77058943.pdf","77058943")</f>
        <v>77058943</v>
      </c>
      <c r="F1409" s="7" t="s">
        <v>3947</v>
      </c>
      <c r="G1409" s="7" t="s">
        <v>3898</v>
      </c>
      <c r="H1409" s="7" t="s">
        <v>3948</v>
      </c>
      <c r="I1409" s="9">
        <v>45352</v>
      </c>
    </row>
    <row r="1410" spans="1:9" x14ac:dyDescent="0.15">
      <c r="A1410" s="6">
        <v>1409</v>
      </c>
      <c r="B1410" s="7" t="s">
        <v>10</v>
      </c>
      <c r="C1410" s="8">
        <v>1888</v>
      </c>
      <c r="D1410" s="9">
        <v>45432</v>
      </c>
      <c r="E1410" s="13" t="str">
        <f>+HYPERLINK("http://trademark.i-assist.jp/data/china/image_1888th/77059489.pdf","77059489")</f>
        <v>77059489</v>
      </c>
      <c r="F1410" s="7" t="s">
        <v>3949</v>
      </c>
      <c r="G1410" s="7" t="s">
        <v>3950</v>
      </c>
      <c r="H1410" s="7" t="s">
        <v>3951</v>
      </c>
      <c r="I1410" s="9">
        <v>45352</v>
      </c>
    </row>
    <row r="1411" spans="1:9" x14ac:dyDescent="0.15">
      <c r="A1411" s="6">
        <v>1410</v>
      </c>
      <c r="B1411" s="7" t="s">
        <v>10</v>
      </c>
      <c r="C1411" s="8">
        <v>1888</v>
      </c>
      <c r="D1411" s="9">
        <v>45432</v>
      </c>
      <c r="E1411" s="13" t="str">
        <f>+HYPERLINK("http://trademark.i-assist.jp/data/china/image_1888th/77059626.pdf","77059626")</f>
        <v>77059626</v>
      </c>
      <c r="F1411" s="7" t="s">
        <v>3719</v>
      </c>
      <c r="G1411" s="7" t="s">
        <v>3720</v>
      </c>
      <c r="H1411" s="7" t="s">
        <v>3721</v>
      </c>
      <c r="I1411" s="9">
        <v>45352</v>
      </c>
    </row>
    <row r="1412" spans="1:9" x14ac:dyDescent="0.15">
      <c r="A1412" s="6">
        <v>1411</v>
      </c>
      <c r="B1412" s="7" t="s">
        <v>10</v>
      </c>
      <c r="C1412" s="8">
        <v>1888</v>
      </c>
      <c r="D1412" s="9">
        <v>45432</v>
      </c>
      <c r="E1412" s="13" t="str">
        <f>+HYPERLINK("http://trademark.i-assist.jp/data/china/image_1888th/77059657.pdf","77059657")</f>
        <v>77059657</v>
      </c>
      <c r="F1412" s="7" t="s">
        <v>3952</v>
      </c>
      <c r="G1412" s="7" t="s">
        <v>3953</v>
      </c>
      <c r="H1412" s="7" t="s">
        <v>3954</v>
      </c>
      <c r="I1412" s="9">
        <v>45352</v>
      </c>
    </row>
    <row r="1413" spans="1:9" x14ac:dyDescent="0.15">
      <c r="A1413" s="6">
        <v>1412</v>
      </c>
      <c r="B1413" s="7" t="s">
        <v>10</v>
      </c>
      <c r="C1413" s="8">
        <v>1888</v>
      </c>
      <c r="D1413" s="9">
        <v>45432</v>
      </c>
      <c r="E1413" s="13" t="str">
        <f>+HYPERLINK("http://trademark.i-assist.jp/data/china/image_1888th/77060041.pdf","77060041")</f>
        <v>77060041</v>
      </c>
      <c r="F1413" s="7" t="s">
        <v>76</v>
      </c>
      <c r="G1413" s="7" t="s">
        <v>3955</v>
      </c>
      <c r="H1413" s="7" t="s">
        <v>3956</v>
      </c>
      <c r="I1413" s="9">
        <v>45352</v>
      </c>
    </row>
    <row r="1414" spans="1:9" x14ac:dyDescent="0.15">
      <c r="A1414" s="6">
        <v>1413</v>
      </c>
      <c r="B1414" s="7" t="s">
        <v>10</v>
      </c>
      <c r="C1414" s="8">
        <v>1888</v>
      </c>
      <c r="D1414" s="9">
        <v>45432</v>
      </c>
      <c r="E1414" s="13" t="str">
        <f>+HYPERLINK("http://trademark.i-assist.jp/data/china/image_1888th/77060558.pdf","77060558")</f>
        <v>77060558</v>
      </c>
      <c r="F1414" s="7" t="s">
        <v>3957</v>
      </c>
      <c r="G1414" s="7" t="s">
        <v>3958</v>
      </c>
      <c r="H1414" s="7" t="s">
        <v>3959</v>
      </c>
      <c r="I1414" s="9">
        <v>45352</v>
      </c>
    </row>
    <row r="1415" spans="1:9" x14ac:dyDescent="0.15">
      <c r="A1415" s="6">
        <v>1414</v>
      </c>
      <c r="B1415" s="7" t="s">
        <v>10</v>
      </c>
      <c r="C1415" s="8">
        <v>1888</v>
      </c>
      <c r="D1415" s="9">
        <v>45432</v>
      </c>
      <c r="E1415" s="13" t="str">
        <f>+HYPERLINK("http://trademark.i-assist.jp/data/china/image_1888th/77060668.pdf","77060668")</f>
        <v>77060668</v>
      </c>
      <c r="F1415" s="7" t="s">
        <v>3960</v>
      </c>
      <c r="G1415" s="7" t="s">
        <v>3961</v>
      </c>
      <c r="H1415" s="7" t="s">
        <v>3962</v>
      </c>
      <c r="I1415" s="9">
        <v>45352</v>
      </c>
    </row>
    <row r="1416" spans="1:9" x14ac:dyDescent="0.15">
      <c r="A1416" s="6">
        <v>1415</v>
      </c>
      <c r="B1416" s="7" t="s">
        <v>10</v>
      </c>
      <c r="C1416" s="8">
        <v>1888</v>
      </c>
      <c r="D1416" s="9">
        <v>45432</v>
      </c>
      <c r="E1416" s="13" t="str">
        <f>+HYPERLINK("http://trademark.i-assist.jp/data/china/image_1888th/77060872.pdf","77060872")</f>
        <v>77060872</v>
      </c>
      <c r="F1416" s="7" t="s">
        <v>3963</v>
      </c>
      <c r="G1416" s="7" t="s">
        <v>3759</v>
      </c>
      <c r="H1416" s="7" t="s">
        <v>3964</v>
      </c>
      <c r="I1416" s="9">
        <v>45352</v>
      </c>
    </row>
    <row r="1417" spans="1:9" x14ac:dyDescent="0.15">
      <c r="A1417" s="6">
        <v>1416</v>
      </c>
      <c r="B1417" s="7" t="s">
        <v>10</v>
      </c>
      <c r="C1417" s="8">
        <v>1888</v>
      </c>
      <c r="D1417" s="9">
        <v>45432</v>
      </c>
      <c r="E1417" s="13" t="str">
        <f>+HYPERLINK("http://trademark.i-assist.jp/data/china/image_1888th/77061386.pdf","77061386")</f>
        <v>77061386</v>
      </c>
      <c r="F1417" s="7" t="s">
        <v>3965</v>
      </c>
      <c r="G1417" s="7" t="s">
        <v>3966</v>
      </c>
      <c r="H1417" s="7" t="s">
        <v>3967</v>
      </c>
      <c r="I1417" s="9">
        <v>45352</v>
      </c>
    </row>
    <row r="1418" spans="1:9" x14ac:dyDescent="0.15">
      <c r="A1418" s="6">
        <v>1417</v>
      </c>
      <c r="B1418" s="7" t="s">
        <v>10</v>
      </c>
      <c r="C1418" s="8">
        <v>1888</v>
      </c>
      <c r="D1418" s="9">
        <v>45432</v>
      </c>
      <c r="E1418" s="13" t="str">
        <f>+HYPERLINK("http://trademark.i-assist.jp/data/china/image_1888th/77061501.pdf","77061501")</f>
        <v>77061501</v>
      </c>
      <c r="F1418" s="7" t="s">
        <v>3968</v>
      </c>
      <c r="G1418" s="7" t="s">
        <v>3969</v>
      </c>
      <c r="H1418" s="7" t="s">
        <v>3970</v>
      </c>
      <c r="I1418" s="9">
        <v>45352</v>
      </c>
    </row>
    <row r="1419" spans="1:9" ht="27" x14ac:dyDescent="0.15">
      <c r="A1419" s="6">
        <v>1418</v>
      </c>
      <c r="B1419" s="7" t="s">
        <v>10</v>
      </c>
      <c r="C1419" s="8">
        <v>1888</v>
      </c>
      <c r="D1419" s="9">
        <v>45432</v>
      </c>
      <c r="E1419" s="13" t="str">
        <f>+HYPERLINK("http://trademark.i-assist.jp/data/china/image_1888th/77062030.pdf","77062030")</f>
        <v>77062030</v>
      </c>
      <c r="F1419" s="7" t="s">
        <v>3971</v>
      </c>
      <c r="G1419" s="7" t="s">
        <v>3972</v>
      </c>
      <c r="H1419" s="7" t="s">
        <v>3973</v>
      </c>
      <c r="I1419" s="9">
        <v>45352</v>
      </c>
    </row>
    <row r="1420" spans="1:9" x14ac:dyDescent="0.15">
      <c r="A1420" s="6">
        <v>1419</v>
      </c>
      <c r="B1420" s="7" t="s">
        <v>10</v>
      </c>
      <c r="C1420" s="8">
        <v>1888</v>
      </c>
      <c r="D1420" s="9">
        <v>45432</v>
      </c>
      <c r="E1420" s="13" t="str">
        <f>+HYPERLINK("http://trademark.i-assist.jp/data/china/image_1888th/77062032.pdf","77062032")</f>
        <v>77062032</v>
      </c>
      <c r="F1420" s="7" t="s">
        <v>3974</v>
      </c>
      <c r="G1420" s="7" t="s">
        <v>3975</v>
      </c>
      <c r="H1420" s="7" t="s">
        <v>3976</v>
      </c>
      <c r="I1420" s="9">
        <v>45352</v>
      </c>
    </row>
    <row r="1421" spans="1:9" ht="27" x14ac:dyDescent="0.15">
      <c r="A1421" s="6">
        <v>1420</v>
      </c>
      <c r="B1421" s="7" t="s">
        <v>10</v>
      </c>
      <c r="C1421" s="8">
        <v>1888</v>
      </c>
      <c r="D1421" s="9">
        <v>45432</v>
      </c>
      <c r="E1421" s="13" t="str">
        <f>+HYPERLINK("http://trademark.i-assist.jp/data/china/image_1888th/77062074.pdf","77062074")</f>
        <v>77062074</v>
      </c>
      <c r="F1421" s="7" t="s">
        <v>3977</v>
      </c>
      <c r="G1421" s="7" t="s">
        <v>3978</v>
      </c>
      <c r="H1421" s="7" t="s">
        <v>3979</v>
      </c>
      <c r="I1421" s="9">
        <v>45352</v>
      </c>
    </row>
    <row r="1422" spans="1:9" x14ac:dyDescent="0.15">
      <c r="A1422" s="6">
        <v>1421</v>
      </c>
      <c r="B1422" s="7" t="s">
        <v>10</v>
      </c>
      <c r="C1422" s="8">
        <v>1888</v>
      </c>
      <c r="D1422" s="9">
        <v>45432</v>
      </c>
      <c r="E1422" s="13" t="str">
        <f>+HYPERLINK("http://trademark.i-assist.jp/data/china/image_1888th/77062398.pdf","77062398")</f>
        <v>77062398</v>
      </c>
      <c r="F1422" s="7" t="s">
        <v>3980</v>
      </c>
      <c r="G1422" s="7" t="s">
        <v>3981</v>
      </c>
      <c r="H1422" s="7" t="s">
        <v>3982</v>
      </c>
      <c r="I1422" s="9">
        <v>45352</v>
      </c>
    </row>
    <row r="1423" spans="1:9" x14ac:dyDescent="0.15">
      <c r="A1423" s="6">
        <v>1422</v>
      </c>
      <c r="B1423" s="7" t="s">
        <v>10</v>
      </c>
      <c r="C1423" s="8">
        <v>1888</v>
      </c>
      <c r="D1423" s="9">
        <v>45432</v>
      </c>
      <c r="E1423" s="13" t="str">
        <f>+HYPERLINK("http://trademark.i-assist.jp/data/china/image_1888th/77062528.pdf","77062528")</f>
        <v>77062528</v>
      </c>
      <c r="F1423" s="7" t="s">
        <v>3983</v>
      </c>
      <c r="G1423" s="7" t="s">
        <v>3984</v>
      </c>
      <c r="H1423" s="7" t="s">
        <v>3985</v>
      </c>
      <c r="I1423" s="9">
        <v>45352</v>
      </c>
    </row>
    <row r="1424" spans="1:9" x14ac:dyDescent="0.15">
      <c r="A1424" s="6">
        <v>1423</v>
      </c>
      <c r="B1424" s="7" t="s">
        <v>10</v>
      </c>
      <c r="C1424" s="8">
        <v>1888</v>
      </c>
      <c r="D1424" s="9">
        <v>45432</v>
      </c>
      <c r="E1424" s="13" t="str">
        <f>+HYPERLINK("http://trademark.i-assist.jp/data/china/image_1888th/77062716.pdf","77062716")</f>
        <v>77062716</v>
      </c>
      <c r="F1424" s="7" t="s">
        <v>3986</v>
      </c>
      <c r="G1424" s="7" t="s">
        <v>3987</v>
      </c>
      <c r="H1424" s="7" t="s">
        <v>3988</v>
      </c>
      <c r="I1424" s="9">
        <v>45352</v>
      </c>
    </row>
    <row r="1425" spans="1:9" x14ac:dyDescent="0.15">
      <c r="A1425" s="6">
        <v>1424</v>
      </c>
      <c r="B1425" s="7" t="s">
        <v>10</v>
      </c>
      <c r="C1425" s="8">
        <v>1888</v>
      </c>
      <c r="D1425" s="9">
        <v>45432</v>
      </c>
      <c r="E1425" s="13" t="str">
        <f>+HYPERLINK("http://trademark.i-assist.jp/data/china/image_1888th/77063120.pdf","77063120")</f>
        <v>77063120</v>
      </c>
      <c r="F1425" s="7" t="s">
        <v>3989</v>
      </c>
      <c r="G1425" s="7" t="s">
        <v>3990</v>
      </c>
      <c r="H1425" s="7" t="s">
        <v>3991</v>
      </c>
      <c r="I1425" s="9">
        <v>45353</v>
      </c>
    </row>
    <row r="1426" spans="1:9" x14ac:dyDescent="0.15">
      <c r="A1426" s="6">
        <v>1425</v>
      </c>
      <c r="B1426" s="7" t="s">
        <v>10</v>
      </c>
      <c r="C1426" s="8">
        <v>1888</v>
      </c>
      <c r="D1426" s="9">
        <v>45432</v>
      </c>
      <c r="E1426" s="13" t="str">
        <f>+HYPERLINK("http://trademark.i-assist.jp/data/china/image_1888th/77063187.pdf","77063187")</f>
        <v>77063187</v>
      </c>
      <c r="F1426" s="7" t="s">
        <v>3992</v>
      </c>
      <c r="G1426" s="7" t="s">
        <v>3993</v>
      </c>
      <c r="H1426" s="7" t="s">
        <v>3994</v>
      </c>
      <c r="I1426" s="9">
        <v>45353</v>
      </c>
    </row>
    <row r="1427" spans="1:9" x14ac:dyDescent="0.15">
      <c r="A1427" s="6">
        <v>1426</v>
      </c>
      <c r="B1427" s="7" t="s">
        <v>10</v>
      </c>
      <c r="C1427" s="8">
        <v>1888</v>
      </c>
      <c r="D1427" s="9">
        <v>45432</v>
      </c>
      <c r="E1427" s="13" t="str">
        <f>+HYPERLINK("http://trademark.i-assist.jp/data/china/image_1888th/77063270.pdf","77063270")</f>
        <v>77063270</v>
      </c>
      <c r="F1427" s="7" t="s">
        <v>76</v>
      </c>
      <c r="G1427" s="7" t="s">
        <v>3995</v>
      </c>
      <c r="H1427" s="7" t="s">
        <v>3996</v>
      </c>
      <c r="I1427" s="9">
        <v>45353</v>
      </c>
    </row>
    <row r="1428" spans="1:9" ht="27" x14ac:dyDescent="0.15">
      <c r="A1428" s="6">
        <v>1427</v>
      </c>
      <c r="B1428" s="7" t="s">
        <v>10</v>
      </c>
      <c r="C1428" s="8">
        <v>1888</v>
      </c>
      <c r="D1428" s="9">
        <v>45432</v>
      </c>
      <c r="E1428" s="13" t="str">
        <f>+HYPERLINK("http://trademark.i-assist.jp/data/china/image_1888th/77063377.pdf","77063377")</f>
        <v>77063377</v>
      </c>
      <c r="F1428" s="7" t="s">
        <v>3997</v>
      </c>
      <c r="G1428" s="7" t="s">
        <v>3998</v>
      </c>
      <c r="H1428" s="7" t="s">
        <v>3999</v>
      </c>
      <c r="I1428" s="9">
        <v>45353</v>
      </c>
    </row>
    <row r="1429" spans="1:9" x14ac:dyDescent="0.15">
      <c r="A1429" s="6">
        <v>1428</v>
      </c>
      <c r="B1429" s="7" t="s">
        <v>10</v>
      </c>
      <c r="C1429" s="8">
        <v>1888</v>
      </c>
      <c r="D1429" s="9">
        <v>45432</v>
      </c>
      <c r="E1429" s="13" t="str">
        <f>+HYPERLINK("http://trademark.i-assist.jp/data/china/image_1888th/77063480.pdf","77063480")</f>
        <v>77063480</v>
      </c>
      <c r="F1429" s="7" t="s">
        <v>4000</v>
      </c>
      <c r="G1429" s="7" t="s">
        <v>4001</v>
      </c>
      <c r="H1429" s="7" t="s">
        <v>4002</v>
      </c>
      <c r="I1429" s="9">
        <v>45353</v>
      </c>
    </row>
    <row r="1430" spans="1:9" x14ac:dyDescent="0.15">
      <c r="A1430" s="6">
        <v>1429</v>
      </c>
      <c r="B1430" s="7" t="s">
        <v>10</v>
      </c>
      <c r="C1430" s="8">
        <v>1888</v>
      </c>
      <c r="D1430" s="9">
        <v>45432</v>
      </c>
      <c r="E1430" s="13" t="str">
        <f>+HYPERLINK("http://trademark.i-assist.jp/data/china/image_1888th/77063584.pdf","77063584")</f>
        <v>77063584</v>
      </c>
      <c r="F1430" s="7" t="s">
        <v>4003</v>
      </c>
      <c r="G1430" s="7" t="s">
        <v>4004</v>
      </c>
      <c r="H1430" s="7" t="s">
        <v>4005</v>
      </c>
      <c r="I1430" s="9">
        <v>45353</v>
      </c>
    </row>
    <row r="1431" spans="1:9" x14ac:dyDescent="0.15">
      <c r="A1431" s="6">
        <v>1430</v>
      </c>
      <c r="B1431" s="7" t="s">
        <v>10</v>
      </c>
      <c r="C1431" s="8">
        <v>1888</v>
      </c>
      <c r="D1431" s="9">
        <v>45432</v>
      </c>
      <c r="E1431" s="13" t="str">
        <f>+HYPERLINK("http://trademark.i-assist.jp/data/china/image_1888th/77064290.pdf","77064290")</f>
        <v>77064290</v>
      </c>
      <c r="F1431" s="7" t="s">
        <v>4006</v>
      </c>
      <c r="G1431" s="7" t="s">
        <v>4007</v>
      </c>
      <c r="H1431" s="7" t="s">
        <v>4008</v>
      </c>
      <c r="I1431" s="9">
        <v>45353</v>
      </c>
    </row>
    <row r="1432" spans="1:9" x14ac:dyDescent="0.15">
      <c r="A1432" s="6">
        <v>1431</v>
      </c>
      <c r="B1432" s="7" t="s">
        <v>10</v>
      </c>
      <c r="C1432" s="8">
        <v>1888</v>
      </c>
      <c r="D1432" s="9">
        <v>45432</v>
      </c>
      <c r="E1432" s="13" t="str">
        <f>+HYPERLINK("http://trademark.i-assist.jp/data/china/image_1888th/77064866.pdf","77064866")</f>
        <v>77064866</v>
      </c>
      <c r="F1432" s="7" t="s">
        <v>4009</v>
      </c>
      <c r="G1432" s="7" t="s">
        <v>4010</v>
      </c>
      <c r="H1432" s="7" t="s">
        <v>4011</v>
      </c>
      <c r="I1432" s="9">
        <v>45353</v>
      </c>
    </row>
    <row r="1433" spans="1:9" x14ac:dyDescent="0.15">
      <c r="A1433" s="6">
        <v>1432</v>
      </c>
      <c r="B1433" s="7" t="s">
        <v>10</v>
      </c>
      <c r="C1433" s="8">
        <v>1888</v>
      </c>
      <c r="D1433" s="9">
        <v>45432</v>
      </c>
      <c r="E1433" s="13" t="str">
        <f>+HYPERLINK("http://trademark.i-assist.jp/data/china/image_1888th/77065071.pdf","77065071")</f>
        <v>77065071</v>
      </c>
      <c r="F1433" s="7" t="s">
        <v>76</v>
      </c>
      <c r="G1433" s="7" t="s">
        <v>4012</v>
      </c>
      <c r="H1433" s="7" t="s">
        <v>4013</v>
      </c>
      <c r="I1433" s="9">
        <v>45353</v>
      </c>
    </row>
    <row r="1434" spans="1:9" x14ac:dyDescent="0.15">
      <c r="A1434" s="6">
        <v>1433</v>
      </c>
      <c r="B1434" s="7" t="s">
        <v>10</v>
      </c>
      <c r="C1434" s="8">
        <v>1888</v>
      </c>
      <c r="D1434" s="9">
        <v>45432</v>
      </c>
      <c r="E1434" s="13" t="str">
        <f>+HYPERLINK("http://trademark.i-assist.jp/data/china/image_1888th/77066186.pdf","77066186")</f>
        <v>77066186</v>
      </c>
      <c r="F1434" s="7" t="s">
        <v>4014</v>
      </c>
      <c r="G1434" s="7" t="s">
        <v>4015</v>
      </c>
      <c r="H1434" s="7" t="s">
        <v>4016</v>
      </c>
      <c r="I1434" s="9">
        <v>45353</v>
      </c>
    </row>
    <row r="1435" spans="1:9" ht="27" x14ac:dyDescent="0.15">
      <c r="A1435" s="6">
        <v>1434</v>
      </c>
      <c r="B1435" s="7" t="s">
        <v>10</v>
      </c>
      <c r="C1435" s="8">
        <v>1888</v>
      </c>
      <c r="D1435" s="9">
        <v>45432</v>
      </c>
      <c r="E1435" s="13" t="str">
        <f>+HYPERLINK("http://trademark.i-assist.jp/data/china/image_1888th/77066709.pdf","77066709")</f>
        <v>77066709</v>
      </c>
      <c r="F1435" s="7" t="s">
        <v>4017</v>
      </c>
      <c r="G1435" s="7" t="s">
        <v>4018</v>
      </c>
      <c r="H1435" s="7" t="s">
        <v>4019</v>
      </c>
      <c r="I1435" s="9">
        <v>45353</v>
      </c>
    </row>
    <row r="1436" spans="1:9" x14ac:dyDescent="0.15">
      <c r="A1436" s="6">
        <v>1435</v>
      </c>
      <c r="B1436" s="7" t="s">
        <v>10</v>
      </c>
      <c r="C1436" s="8">
        <v>1888</v>
      </c>
      <c r="D1436" s="9">
        <v>45432</v>
      </c>
      <c r="E1436" s="13" t="str">
        <f>+HYPERLINK("http://trademark.i-assist.jp/data/china/image_1888th/77066935.pdf","77066935")</f>
        <v>77066935</v>
      </c>
      <c r="F1436" s="7" t="s">
        <v>4020</v>
      </c>
      <c r="G1436" s="7" t="s">
        <v>4021</v>
      </c>
      <c r="H1436" s="7" t="s">
        <v>4022</v>
      </c>
      <c r="I1436" s="9">
        <v>45353</v>
      </c>
    </row>
    <row r="1437" spans="1:9" x14ac:dyDescent="0.15">
      <c r="A1437" s="6">
        <v>1436</v>
      </c>
      <c r="B1437" s="7" t="s">
        <v>10</v>
      </c>
      <c r="C1437" s="8">
        <v>1888</v>
      </c>
      <c r="D1437" s="9">
        <v>45432</v>
      </c>
      <c r="E1437" s="13" t="str">
        <f>+HYPERLINK("http://trademark.i-assist.jp/data/china/image_1888th/77067235.pdf","77067235")</f>
        <v>77067235</v>
      </c>
      <c r="F1437" s="7" t="s">
        <v>4023</v>
      </c>
      <c r="G1437" s="7" t="s">
        <v>4024</v>
      </c>
      <c r="H1437" s="7" t="s">
        <v>4025</v>
      </c>
      <c r="I1437" s="9">
        <v>45353</v>
      </c>
    </row>
    <row r="1438" spans="1:9" x14ac:dyDescent="0.15">
      <c r="A1438" s="6">
        <v>1437</v>
      </c>
      <c r="B1438" s="7" t="s">
        <v>10</v>
      </c>
      <c r="C1438" s="8">
        <v>1888</v>
      </c>
      <c r="D1438" s="9">
        <v>45432</v>
      </c>
      <c r="E1438" s="13" t="str">
        <f>+HYPERLINK("http://trademark.i-assist.jp/data/china/image_1888th/77067875.pdf","77067875")</f>
        <v>77067875</v>
      </c>
      <c r="F1438" s="7" t="s">
        <v>4026</v>
      </c>
      <c r="G1438" s="7" t="s">
        <v>4021</v>
      </c>
      <c r="H1438" s="7" t="s">
        <v>4027</v>
      </c>
      <c r="I1438" s="9">
        <v>45353</v>
      </c>
    </row>
    <row r="1439" spans="1:9" x14ac:dyDescent="0.15">
      <c r="A1439" s="6">
        <v>1438</v>
      </c>
      <c r="B1439" s="7" t="s">
        <v>10</v>
      </c>
      <c r="C1439" s="8">
        <v>1888</v>
      </c>
      <c r="D1439" s="9">
        <v>45432</v>
      </c>
      <c r="E1439" s="13" t="str">
        <f>+HYPERLINK("http://trademark.i-assist.jp/data/china/image_1888th/77068010.pdf","77068010")</f>
        <v>77068010</v>
      </c>
      <c r="F1439" s="7" t="s">
        <v>4028</v>
      </c>
      <c r="G1439" s="7" t="s">
        <v>4029</v>
      </c>
      <c r="H1439" s="7" t="s">
        <v>4030</v>
      </c>
      <c r="I1439" s="9">
        <v>45353</v>
      </c>
    </row>
    <row r="1440" spans="1:9" x14ac:dyDescent="0.15">
      <c r="A1440" s="6">
        <v>1439</v>
      </c>
      <c r="B1440" s="7" t="s">
        <v>10</v>
      </c>
      <c r="C1440" s="8">
        <v>1888</v>
      </c>
      <c r="D1440" s="9">
        <v>45432</v>
      </c>
      <c r="E1440" s="13" t="str">
        <f>+HYPERLINK("http://trademark.i-assist.jp/data/china/image_1888th/77068076.pdf","77068076")</f>
        <v>77068076</v>
      </c>
      <c r="F1440" s="7" t="s">
        <v>4031</v>
      </c>
      <c r="G1440" s="7" t="s">
        <v>4032</v>
      </c>
      <c r="H1440" s="7" t="s">
        <v>4033</v>
      </c>
      <c r="I1440" s="9">
        <v>45353</v>
      </c>
    </row>
    <row r="1441" spans="1:9" x14ac:dyDescent="0.15">
      <c r="A1441" s="6">
        <v>1440</v>
      </c>
      <c r="B1441" s="7" t="s">
        <v>10</v>
      </c>
      <c r="C1441" s="8">
        <v>1888</v>
      </c>
      <c r="D1441" s="9">
        <v>45432</v>
      </c>
      <c r="E1441" s="13" t="str">
        <f>+HYPERLINK("http://trademark.i-assist.jp/data/china/image_1888th/77068130.pdf","77068130")</f>
        <v>77068130</v>
      </c>
      <c r="F1441" s="7" t="s">
        <v>4034</v>
      </c>
      <c r="G1441" s="7" t="s">
        <v>4035</v>
      </c>
      <c r="H1441" s="7" t="s">
        <v>4036</v>
      </c>
      <c r="I1441" s="9">
        <v>45353</v>
      </c>
    </row>
    <row r="1442" spans="1:9" x14ac:dyDescent="0.15">
      <c r="A1442" s="6">
        <v>1441</v>
      </c>
      <c r="B1442" s="7" t="s">
        <v>10</v>
      </c>
      <c r="C1442" s="8">
        <v>1888</v>
      </c>
      <c r="D1442" s="9">
        <v>45432</v>
      </c>
      <c r="E1442" s="13" t="str">
        <f>+HYPERLINK("http://trademark.i-assist.jp/data/china/image_1888th/77068688.pdf","77068688")</f>
        <v>77068688</v>
      </c>
      <c r="F1442" s="7" t="s">
        <v>4037</v>
      </c>
      <c r="G1442" s="7" t="s">
        <v>4038</v>
      </c>
      <c r="H1442" s="7" t="s">
        <v>4039</v>
      </c>
      <c r="I1442" s="9">
        <v>45353</v>
      </c>
    </row>
    <row r="1443" spans="1:9" ht="27" x14ac:dyDescent="0.15">
      <c r="A1443" s="6">
        <v>1442</v>
      </c>
      <c r="B1443" s="7" t="s">
        <v>10</v>
      </c>
      <c r="C1443" s="8">
        <v>1888</v>
      </c>
      <c r="D1443" s="9">
        <v>45432</v>
      </c>
      <c r="E1443" s="13" t="str">
        <f>+HYPERLINK("http://trademark.i-assist.jp/data/china/image_1888th/77069241.pdf","77069241")</f>
        <v>77069241</v>
      </c>
      <c r="F1443" s="7" t="s">
        <v>4040</v>
      </c>
      <c r="G1443" s="7" t="s">
        <v>4041</v>
      </c>
      <c r="H1443" s="7" t="s">
        <v>4042</v>
      </c>
      <c r="I1443" s="9">
        <v>45354</v>
      </c>
    </row>
    <row r="1444" spans="1:9" x14ac:dyDescent="0.15">
      <c r="A1444" s="6">
        <v>1443</v>
      </c>
      <c r="B1444" s="7" t="s">
        <v>10</v>
      </c>
      <c r="C1444" s="8">
        <v>1888</v>
      </c>
      <c r="D1444" s="9">
        <v>45432</v>
      </c>
      <c r="E1444" s="13" t="str">
        <f>+HYPERLINK("http://trademark.i-assist.jp/data/china/image_1888th/77069250.pdf","77069250")</f>
        <v>77069250</v>
      </c>
      <c r="F1444" s="7" t="s">
        <v>4043</v>
      </c>
      <c r="G1444" s="7" t="s">
        <v>4044</v>
      </c>
      <c r="H1444" s="7" t="s">
        <v>4045</v>
      </c>
      <c r="I1444" s="9">
        <v>45354</v>
      </c>
    </row>
    <row r="1445" spans="1:9" x14ac:dyDescent="0.15">
      <c r="A1445" s="6">
        <v>1444</v>
      </c>
      <c r="B1445" s="7" t="s">
        <v>10</v>
      </c>
      <c r="C1445" s="8">
        <v>1888</v>
      </c>
      <c r="D1445" s="9">
        <v>45432</v>
      </c>
      <c r="E1445" s="13" t="str">
        <f>+HYPERLINK("http://trademark.i-assist.jp/data/china/image_1888th/77069268.pdf","77069268")</f>
        <v>77069268</v>
      </c>
      <c r="F1445" s="7" t="s">
        <v>4046</v>
      </c>
      <c r="G1445" s="7" t="s">
        <v>4047</v>
      </c>
      <c r="H1445" s="7" t="s">
        <v>4048</v>
      </c>
      <c r="I1445" s="9">
        <v>45354</v>
      </c>
    </row>
    <row r="1446" spans="1:9" x14ac:dyDescent="0.15">
      <c r="A1446" s="6">
        <v>1445</v>
      </c>
      <c r="B1446" s="7" t="s">
        <v>10</v>
      </c>
      <c r="C1446" s="8">
        <v>1888</v>
      </c>
      <c r="D1446" s="9">
        <v>45432</v>
      </c>
      <c r="E1446" s="13" t="str">
        <f>+HYPERLINK("http://trademark.i-assist.jp/data/china/image_1888th/77069293.pdf","77069293")</f>
        <v>77069293</v>
      </c>
      <c r="F1446" s="7" t="s">
        <v>4049</v>
      </c>
      <c r="G1446" s="7" t="s">
        <v>4050</v>
      </c>
      <c r="H1446" s="7" t="s">
        <v>4051</v>
      </c>
      <c r="I1446" s="9">
        <v>45354</v>
      </c>
    </row>
    <row r="1447" spans="1:9" x14ac:dyDescent="0.15">
      <c r="A1447" s="6">
        <v>1446</v>
      </c>
      <c r="B1447" s="7" t="s">
        <v>10</v>
      </c>
      <c r="C1447" s="8">
        <v>1888</v>
      </c>
      <c r="D1447" s="9">
        <v>45432</v>
      </c>
      <c r="E1447" s="13" t="str">
        <f>+HYPERLINK("http://trademark.i-assist.jp/data/china/image_1888th/77069398.pdf","77069398")</f>
        <v>77069398</v>
      </c>
      <c r="F1447" s="7" t="s">
        <v>4052</v>
      </c>
      <c r="G1447" s="7" t="s">
        <v>4053</v>
      </c>
      <c r="H1447" s="7" t="s">
        <v>4054</v>
      </c>
      <c r="I1447" s="9">
        <v>45354</v>
      </c>
    </row>
    <row r="1448" spans="1:9" x14ac:dyDescent="0.15">
      <c r="A1448" s="6">
        <v>1447</v>
      </c>
      <c r="B1448" s="7" t="s">
        <v>10</v>
      </c>
      <c r="C1448" s="8">
        <v>1888</v>
      </c>
      <c r="D1448" s="9">
        <v>45432</v>
      </c>
      <c r="E1448" s="13" t="str">
        <f>+HYPERLINK("http://trademark.i-assist.jp/data/china/image_1888th/77069728.pdf","77069728")</f>
        <v>77069728</v>
      </c>
      <c r="F1448" s="7" t="s">
        <v>4055</v>
      </c>
      <c r="G1448" s="7" t="s">
        <v>4056</v>
      </c>
      <c r="H1448" s="7" t="s">
        <v>4057</v>
      </c>
      <c r="I1448" s="9">
        <v>45354</v>
      </c>
    </row>
    <row r="1449" spans="1:9" x14ac:dyDescent="0.15">
      <c r="A1449" s="6">
        <v>1448</v>
      </c>
      <c r="B1449" s="7" t="s">
        <v>10</v>
      </c>
      <c r="C1449" s="8">
        <v>1888</v>
      </c>
      <c r="D1449" s="9">
        <v>45432</v>
      </c>
      <c r="E1449" s="13" t="str">
        <f>+HYPERLINK("http://trademark.i-assist.jp/data/china/image_1888th/77069986.pdf","77069986")</f>
        <v>77069986</v>
      </c>
      <c r="F1449" s="7" t="s">
        <v>4058</v>
      </c>
      <c r="G1449" s="7" t="s">
        <v>4047</v>
      </c>
      <c r="H1449" s="7" t="s">
        <v>4059</v>
      </c>
      <c r="I1449" s="9">
        <v>45354</v>
      </c>
    </row>
    <row r="1450" spans="1:9" x14ac:dyDescent="0.15">
      <c r="A1450" s="6">
        <v>1449</v>
      </c>
      <c r="B1450" s="7" t="s">
        <v>10</v>
      </c>
      <c r="C1450" s="8">
        <v>1888</v>
      </c>
      <c r="D1450" s="9">
        <v>45432</v>
      </c>
      <c r="E1450" s="13" t="str">
        <f>+HYPERLINK("http://trademark.i-assist.jp/data/china/image_1888th/77070217.pdf","77070217")</f>
        <v>77070217</v>
      </c>
      <c r="F1450" s="7" t="s">
        <v>4060</v>
      </c>
      <c r="G1450" s="7" t="s">
        <v>4061</v>
      </c>
      <c r="H1450" s="7" t="s">
        <v>4062</v>
      </c>
      <c r="I1450" s="9">
        <v>45354</v>
      </c>
    </row>
    <row r="1451" spans="1:9" ht="27" x14ac:dyDescent="0.15">
      <c r="A1451" s="6">
        <v>1450</v>
      </c>
      <c r="B1451" s="7" t="s">
        <v>10</v>
      </c>
      <c r="C1451" s="8">
        <v>1888</v>
      </c>
      <c r="D1451" s="9">
        <v>45432</v>
      </c>
      <c r="E1451" s="13" t="str">
        <f>+HYPERLINK("http://trademark.i-assist.jp/data/china/image_1888th/77070290.pdf","77070290")</f>
        <v>77070290</v>
      </c>
      <c r="F1451" s="7" t="s">
        <v>4063</v>
      </c>
      <c r="G1451" s="7" t="s">
        <v>4064</v>
      </c>
      <c r="H1451" s="7" t="s">
        <v>4065</v>
      </c>
      <c r="I1451" s="9">
        <v>45354</v>
      </c>
    </row>
    <row r="1452" spans="1:9" x14ac:dyDescent="0.15">
      <c r="A1452" s="6">
        <v>1451</v>
      </c>
      <c r="B1452" s="7" t="s">
        <v>10</v>
      </c>
      <c r="C1452" s="8">
        <v>1888</v>
      </c>
      <c r="D1452" s="9">
        <v>45432</v>
      </c>
      <c r="E1452" s="13" t="str">
        <f>+HYPERLINK("http://trademark.i-assist.jp/data/china/image_1888th/77070628.pdf","77070628")</f>
        <v>77070628</v>
      </c>
      <c r="F1452" s="7" t="s">
        <v>4066</v>
      </c>
      <c r="G1452" s="7" t="s">
        <v>4067</v>
      </c>
      <c r="H1452" s="7" t="s">
        <v>4068</v>
      </c>
      <c r="I1452" s="9">
        <v>45354</v>
      </c>
    </row>
    <row r="1453" spans="1:9" x14ac:dyDescent="0.15">
      <c r="A1453" s="6">
        <v>1452</v>
      </c>
      <c r="B1453" s="7" t="s">
        <v>10</v>
      </c>
      <c r="C1453" s="8">
        <v>1888</v>
      </c>
      <c r="D1453" s="9">
        <v>45432</v>
      </c>
      <c r="E1453" s="13" t="str">
        <f>+HYPERLINK("http://trademark.i-assist.jp/data/china/image_1888th/77070681.pdf","77070681")</f>
        <v>77070681</v>
      </c>
      <c r="F1453" s="7" t="s">
        <v>4069</v>
      </c>
      <c r="G1453" s="7" t="s">
        <v>4070</v>
      </c>
      <c r="H1453" s="7" t="s">
        <v>4071</v>
      </c>
      <c r="I1453" s="9">
        <v>45354</v>
      </c>
    </row>
    <row r="1454" spans="1:9" x14ac:dyDescent="0.15">
      <c r="A1454" s="6">
        <v>1453</v>
      </c>
      <c r="B1454" s="7" t="s">
        <v>10</v>
      </c>
      <c r="C1454" s="8">
        <v>1888</v>
      </c>
      <c r="D1454" s="9">
        <v>45432</v>
      </c>
      <c r="E1454" s="13" t="str">
        <f>+HYPERLINK("http://trademark.i-assist.jp/data/china/image_1888th/77070735.pdf","77070735")</f>
        <v>77070735</v>
      </c>
      <c r="F1454" s="7" t="s">
        <v>4072</v>
      </c>
      <c r="G1454" s="7" t="s">
        <v>4073</v>
      </c>
      <c r="H1454" s="7" t="s">
        <v>4074</v>
      </c>
      <c r="I1454" s="9">
        <v>45354</v>
      </c>
    </row>
    <row r="1455" spans="1:9" x14ac:dyDescent="0.15">
      <c r="A1455" s="6">
        <v>1454</v>
      </c>
      <c r="B1455" s="7" t="s">
        <v>10</v>
      </c>
      <c r="C1455" s="8">
        <v>1888</v>
      </c>
      <c r="D1455" s="9">
        <v>45432</v>
      </c>
      <c r="E1455" s="13" t="str">
        <f>+HYPERLINK("http://trademark.i-assist.jp/data/china/image_1888th/77070748.pdf","77070748")</f>
        <v>77070748</v>
      </c>
      <c r="F1455" s="7" t="s">
        <v>4075</v>
      </c>
      <c r="G1455" s="7" t="s">
        <v>4056</v>
      </c>
      <c r="H1455" s="7" t="s">
        <v>4076</v>
      </c>
      <c r="I1455" s="9">
        <v>45354</v>
      </c>
    </row>
    <row r="1456" spans="1:9" x14ac:dyDescent="0.15">
      <c r="A1456" s="6">
        <v>1455</v>
      </c>
      <c r="B1456" s="7" t="s">
        <v>10</v>
      </c>
      <c r="C1456" s="8">
        <v>1888</v>
      </c>
      <c r="D1456" s="9">
        <v>45432</v>
      </c>
      <c r="E1456" s="13" t="str">
        <f>+HYPERLINK("http://trademark.i-assist.jp/data/china/image_1888th/77070750.pdf","77070750")</f>
        <v>77070750</v>
      </c>
      <c r="F1456" s="7" t="s">
        <v>4077</v>
      </c>
      <c r="G1456" s="7" t="s">
        <v>4078</v>
      </c>
      <c r="H1456" s="7" t="s">
        <v>4079</v>
      </c>
      <c r="I1456" s="9">
        <v>45354</v>
      </c>
    </row>
    <row r="1457" spans="1:9" x14ac:dyDescent="0.15">
      <c r="A1457" s="6">
        <v>1456</v>
      </c>
      <c r="B1457" s="7" t="s">
        <v>10</v>
      </c>
      <c r="C1457" s="8">
        <v>1888</v>
      </c>
      <c r="D1457" s="9">
        <v>45432</v>
      </c>
      <c r="E1457" s="13" t="str">
        <f>+HYPERLINK("http://trademark.i-assist.jp/data/china/image_1888th/77070854.pdf","77070854")</f>
        <v>77070854</v>
      </c>
      <c r="F1457" s="7" t="s">
        <v>4080</v>
      </c>
      <c r="G1457" s="7" t="s">
        <v>4081</v>
      </c>
      <c r="H1457" s="7" t="s">
        <v>4082</v>
      </c>
      <c r="I1457" s="9">
        <v>45354</v>
      </c>
    </row>
    <row r="1458" spans="1:9" ht="27" x14ac:dyDescent="0.15">
      <c r="A1458" s="6">
        <v>1457</v>
      </c>
      <c r="B1458" s="7" t="s">
        <v>10</v>
      </c>
      <c r="C1458" s="8">
        <v>1888</v>
      </c>
      <c r="D1458" s="9">
        <v>45432</v>
      </c>
      <c r="E1458" s="13" t="str">
        <f>+HYPERLINK("http://trademark.i-assist.jp/data/china/image_1888th/77070860.pdf","77070860")</f>
        <v>77070860</v>
      </c>
      <c r="F1458" s="7" t="s">
        <v>4083</v>
      </c>
      <c r="G1458" s="7" t="s">
        <v>4064</v>
      </c>
      <c r="H1458" s="7" t="s">
        <v>4084</v>
      </c>
      <c r="I1458" s="9">
        <v>45354</v>
      </c>
    </row>
    <row r="1459" spans="1:9" ht="27" x14ac:dyDescent="0.15">
      <c r="A1459" s="6">
        <v>1458</v>
      </c>
      <c r="B1459" s="7" t="s">
        <v>10</v>
      </c>
      <c r="C1459" s="8">
        <v>1888</v>
      </c>
      <c r="D1459" s="9">
        <v>45432</v>
      </c>
      <c r="E1459" s="13" t="str">
        <f>+HYPERLINK("http://trademark.i-assist.jp/data/china/image_1888th/77070861.pdf","77070861")</f>
        <v>77070861</v>
      </c>
      <c r="F1459" s="7" t="s">
        <v>4085</v>
      </c>
      <c r="G1459" s="7" t="s">
        <v>4064</v>
      </c>
      <c r="H1459" s="7" t="s">
        <v>4086</v>
      </c>
      <c r="I1459" s="9">
        <v>45354</v>
      </c>
    </row>
    <row r="1460" spans="1:9" x14ac:dyDescent="0.15">
      <c r="A1460" s="6">
        <v>1459</v>
      </c>
      <c r="B1460" s="7" t="s">
        <v>10</v>
      </c>
      <c r="C1460" s="8">
        <v>1888</v>
      </c>
      <c r="D1460" s="9">
        <v>45432</v>
      </c>
      <c r="E1460" s="13" t="str">
        <f>+HYPERLINK("http://trademark.i-assist.jp/data/china/image_1888th/77071220.pdf","77071220")</f>
        <v>77071220</v>
      </c>
      <c r="F1460" s="7" t="s">
        <v>4087</v>
      </c>
      <c r="G1460" s="7" t="s">
        <v>4088</v>
      </c>
      <c r="H1460" s="7" t="s">
        <v>4089</v>
      </c>
      <c r="I1460" s="9">
        <v>45354</v>
      </c>
    </row>
    <row r="1461" spans="1:9" x14ac:dyDescent="0.15">
      <c r="A1461" s="6">
        <v>1460</v>
      </c>
      <c r="B1461" s="7" t="s">
        <v>10</v>
      </c>
      <c r="C1461" s="8">
        <v>1888</v>
      </c>
      <c r="D1461" s="9">
        <v>45432</v>
      </c>
      <c r="E1461" s="13" t="str">
        <f>+HYPERLINK("http://trademark.i-assist.jp/data/china/image_1888th/77071314.pdf","77071314")</f>
        <v>77071314</v>
      </c>
      <c r="F1461" s="7" t="s">
        <v>4090</v>
      </c>
      <c r="G1461" s="7" t="s">
        <v>4056</v>
      </c>
      <c r="H1461" s="7" t="s">
        <v>4091</v>
      </c>
      <c r="I1461" s="9">
        <v>45354</v>
      </c>
    </row>
    <row r="1462" spans="1:9" x14ac:dyDescent="0.15">
      <c r="A1462" s="6">
        <v>1461</v>
      </c>
      <c r="B1462" s="7" t="s">
        <v>10</v>
      </c>
      <c r="C1462" s="8">
        <v>1888</v>
      </c>
      <c r="D1462" s="9">
        <v>45432</v>
      </c>
      <c r="E1462" s="13" t="str">
        <f>+HYPERLINK("http://trademark.i-assist.jp/data/china/image_1888th/77071882.pdf","77071882")</f>
        <v>77071882</v>
      </c>
      <c r="F1462" s="7" t="s">
        <v>4092</v>
      </c>
      <c r="G1462" s="7" t="s">
        <v>4056</v>
      </c>
      <c r="H1462" s="7" t="s">
        <v>4093</v>
      </c>
      <c r="I1462" s="9">
        <v>45354</v>
      </c>
    </row>
    <row r="1463" spans="1:9" x14ac:dyDescent="0.15">
      <c r="A1463" s="6">
        <v>1462</v>
      </c>
      <c r="B1463" s="7" t="s">
        <v>10</v>
      </c>
      <c r="C1463" s="8">
        <v>1888</v>
      </c>
      <c r="D1463" s="9">
        <v>45432</v>
      </c>
      <c r="E1463" s="13" t="str">
        <f>+HYPERLINK("http://trademark.i-assist.jp/data/china/image_1888th/77071920.pdf","77071920")</f>
        <v>77071920</v>
      </c>
      <c r="F1463" s="7" t="s">
        <v>4094</v>
      </c>
      <c r="G1463" s="7" t="s">
        <v>3794</v>
      </c>
      <c r="H1463" s="7" t="s">
        <v>4095</v>
      </c>
      <c r="I1463" s="9">
        <v>45354</v>
      </c>
    </row>
    <row r="1464" spans="1:9" ht="27" x14ac:dyDescent="0.15">
      <c r="A1464" s="6">
        <v>1463</v>
      </c>
      <c r="B1464" s="7" t="s">
        <v>10</v>
      </c>
      <c r="C1464" s="8">
        <v>1888</v>
      </c>
      <c r="D1464" s="9">
        <v>45432</v>
      </c>
      <c r="E1464" s="13" t="str">
        <f>+HYPERLINK("http://trademark.i-assist.jp/data/china/image_1888th/77071989.pdf","77071989")</f>
        <v>77071989</v>
      </c>
      <c r="F1464" s="7" t="s">
        <v>4096</v>
      </c>
      <c r="G1464" s="7" t="s">
        <v>4097</v>
      </c>
      <c r="H1464" s="7" t="s">
        <v>4098</v>
      </c>
      <c r="I1464" s="9">
        <v>45354</v>
      </c>
    </row>
    <row r="1465" spans="1:9" x14ac:dyDescent="0.15">
      <c r="A1465" s="6">
        <v>1464</v>
      </c>
      <c r="B1465" s="7" t="s">
        <v>10</v>
      </c>
      <c r="C1465" s="8">
        <v>1888</v>
      </c>
      <c r="D1465" s="9">
        <v>45432</v>
      </c>
      <c r="E1465" s="13" t="str">
        <f>+HYPERLINK("http://trademark.i-assist.jp/data/china/image_1888th/77072013.pdf","77072013")</f>
        <v>77072013</v>
      </c>
      <c r="F1465" s="7" t="s">
        <v>4099</v>
      </c>
      <c r="G1465" s="7" t="s">
        <v>4100</v>
      </c>
      <c r="H1465" s="7" t="s">
        <v>4101</v>
      </c>
      <c r="I1465" s="9">
        <v>45355</v>
      </c>
    </row>
    <row r="1466" spans="1:9" x14ac:dyDescent="0.15">
      <c r="A1466" s="6">
        <v>1465</v>
      </c>
      <c r="B1466" s="7" t="s">
        <v>10</v>
      </c>
      <c r="C1466" s="8">
        <v>1888</v>
      </c>
      <c r="D1466" s="9">
        <v>45432</v>
      </c>
      <c r="E1466" s="13" t="str">
        <f>+HYPERLINK("http://trademark.i-assist.jp/data/china/image_1888th/77072063.pdf","77072063")</f>
        <v>77072063</v>
      </c>
      <c r="F1466" s="7" t="s">
        <v>4102</v>
      </c>
      <c r="G1466" s="7" t="s">
        <v>4103</v>
      </c>
      <c r="H1466" s="7" t="s">
        <v>4104</v>
      </c>
      <c r="I1466" s="9">
        <v>45355</v>
      </c>
    </row>
    <row r="1467" spans="1:9" x14ac:dyDescent="0.15">
      <c r="A1467" s="6">
        <v>1466</v>
      </c>
      <c r="B1467" s="7" t="s">
        <v>10</v>
      </c>
      <c r="C1467" s="8">
        <v>1888</v>
      </c>
      <c r="D1467" s="9">
        <v>45432</v>
      </c>
      <c r="E1467" s="13" t="str">
        <f>+HYPERLINK("http://trademark.i-assist.jp/data/china/image_1888th/77072080.pdf","77072080")</f>
        <v>77072080</v>
      </c>
      <c r="F1467" s="7" t="s">
        <v>4105</v>
      </c>
      <c r="G1467" s="7" t="s">
        <v>4106</v>
      </c>
      <c r="H1467" s="7" t="s">
        <v>4107</v>
      </c>
      <c r="I1467" s="9">
        <v>45355</v>
      </c>
    </row>
    <row r="1468" spans="1:9" ht="27" x14ac:dyDescent="0.15">
      <c r="A1468" s="6">
        <v>1467</v>
      </c>
      <c r="B1468" s="7" t="s">
        <v>10</v>
      </c>
      <c r="C1468" s="8">
        <v>1888</v>
      </c>
      <c r="D1468" s="9">
        <v>45432</v>
      </c>
      <c r="E1468" s="13" t="str">
        <f>+HYPERLINK("http://trademark.i-assist.jp/data/china/image_1888th/77072219.pdf","77072219")</f>
        <v>77072219</v>
      </c>
      <c r="F1468" s="7" t="s">
        <v>4108</v>
      </c>
      <c r="G1468" s="7" t="s">
        <v>4109</v>
      </c>
      <c r="H1468" s="7" t="s">
        <v>4110</v>
      </c>
      <c r="I1468" s="9">
        <v>45355</v>
      </c>
    </row>
    <row r="1469" spans="1:9" x14ac:dyDescent="0.15">
      <c r="A1469" s="6">
        <v>1468</v>
      </c>
      <c r="B1469" s="7" t="s">
        <v>10</v>
      </c>
      <c r="C1469" s="8">
        <v>1888</v>
      </c>
      <c r="D1469" s="9">
        <v>45432</v>
      </c>
      <c r="E1469" s="13" t="str">
        <f>+HYPERLINK("http://trademark.i-assist.jp/data/china/image_1888th/77072556.pdf","77072556")</f>
        <v>77072556</v>
      </c>
      <c r="F1469" s="7" t="s">
        <v>4111</v>
      </c>
      <c r="G1469" s="7" t="s">
        <v>4112</v>
      </c>
      <c r="H1469" s="7" t="s">
        <v>4113</v>
      </c>
      <c r="I1469" s="9">
        <v>45355</v>
      </c>
    </row>
    <row r="1470" spans="1:9" x14ac:dyDescent="0.15">
      <c r="A1470" s="6">
        <v>1469</v>
      </c>
      <c r="B1470" s="7" t="s">
        <v>10</v>
      </c>
      <c r="C1470" s="8">
        <v>1888</v>
      </c>
      <c r="D1470" s="9">
        <v>45432</v>
      </c>
      <c r="E1470" s="13" t="str">
        <f>+HYPERLINK("http://trademark.i-assist.jp/data/china/image_1888th/77072847.pdf","77072847")</f>
        <v>77072847</v>
      </c>
      <c r="F1470" s="7" t="s">
        <v>4114</v>
      </c>
      <c r="G1470" s="7" t="s">
        <v>4115</v>
      </c>
      <c r="H1470" s="7" t="s">
        <v>4116</v>
      </c>
      <c r="I1470" s="9">
        <v>45355</v>
      </c>
    </row>
    <row r="1471" spans="1:9" x14ac:dyDescent="0.15">
      <c r="A1471" s="6">
        <v>1470</v>
      </c>
      <c r="B1471" s="7" t="s">
        <v>10</v>
      </c>
      <c r="C1471" s="8">
        <v>1888</v>
      </c>
      <c r="D1471" s="9">
        <v>45432</v>
      </c>
      <c r="E1471" s="13" t="str">
        <f>+HYPERLINK("http://trademark.i-assist.jp/data/china/image_1888th/77073088.pdf","77073088")</f>
        <v>77073088</v>
      </c>
      <c r="F1471" s="7" t="s">
        <v>4117</v>
      </c>
      <c r="G1471" s="7" t="s">
        <v>4118</v>
      </c>
      <c r="H1471" s="7" t="s">
        <v>4119</v>
      </c>
      <c r="I1471" s="9">
        <v>45355</v>
      </c>
    </row>
    <row r="1472" spans="1:9" x14ac:dyDescent="0.15">
      <c r="A1472" s="6">
        <v>1471</v>
      </c>
      <c r="B1472" s="7" t="s">
        <v>10</v>
      </c>
      <c r="C1472" s="8">
        <v>1888</v>
      </c>
      <c r="D1472" s="9">
        <v>45432</v>
      </c>
      <c r="E1472" s="13" t="str">
        <f>+HYPERLINK("http://trademark.i-assist.jp/data/china/image_1888th/77073114.pdf","77073114")</f>
        <v>77073114</v>
      </c>
      <c r="F1472" s="7" t="s">
        <v>76</v>
      </c>
      <c r="G1472" s="7" t="s">
        <v>4120</v>
      </c>
      <c r="H1472" s="7" t="s">
        <v>4121</v>
      </c>
      <c r="I1472" s="9">
        <v>45355</v>
      </c>
    </row>
    <row r="1473" spans="1:9" x14ac:dyDescent="0.15">
      <c r="A1473" s="6">
        <v>1472</v>
      </c>
      <c r="B1473" s="7" t="s">
        <v>10</v>
      </c>
      <c r="C1473" s="8">
        <v>1888</v>
      </c>
      <c r="D1473" s="9">
        <v>45432</v>
      </c>
      <c r="E1473" s="13" t="str">
        <f>+HYPERLINK("http://trademark.i-assist.jp/data/china/image_1888th/77073173.pdf","77073173")</f>
        <v>77073173</v>
      </c>
      <c r="F1473" s="7" t="s">
        <v>4122</v>
      </c>
      <c r="G1473" s="7" t="s">
        <v>4123</v>
      </c>
      <c r="H1473" s="7" t="s">
        <v>4124</v>
      </c>
      <c r="I1473" s="9">
        <v>45355</v>
      </c>
    </row>
    <row r="1474" spans="1:9" x14ac:dyDescent="0.15">
      <c r="A1474" s="6">
        <v>1473</v>
      </c>
      <c r="B1474" s="7" t="s">
        <v>10</v>
      </c>
      <c r="C1474" s="8">
        <v>1888</v>
      </c>
      <c r="D1474" s="9">
        <v>45432</v>
      </c>
      <c r="E1474" s="13" t="str">
        <f>+HYPERLINK("http://trademark.i-assist.jp/data/china/image_1888th/77073339.pdf","77073339")</f>
        <v>77073339</v>
      </c>
      <c r="F1474" s="7" t="s">
        <v>4125</v>
      </c>
      <c r="G1474" s="7" t="s">
        <v>4126</v>
      </c>
      <c r="H1474" s="7" t="s">
        <v>4127</v>
      </c>
      <c r="I1474" s="9">
        <v>45355</v>
      </c>
    </row>
    <row r="1475" spans="1:9" x14ac:dyDescent="0.15">
      <c r="A1475" s="6">
        <v>1474</v>
      </c>
      <c r="B1475" s="7" t="s">
        <v>10</v>
      </c>
      <c r="C1475" s="8">
        <v>1888</v>
      </c>
      <c r="D1475" s="9">
        <v>45432</v>
      </c>
      <c r="E1475" s="13" t="str">
        <f>+HYPERLINK("http://trademark.i-assist.jp/data/china/image_1888th/77073350.pdf","77073350")</f>
        <v>77073350</v>
      </c>
      <c r="F1475" s="7" t="s">
        <v>4128</v>
      </c>
      <c r="G1475" s="7" t="s">
        <v>4126</v>
      </c>
      <c r="H1475" s="7" t="s">
        <v>4129</v>
      </c>
      <c r="I1475" s="9">
        <v>45355</v>
      </c>
    </row>
    <row r="1476" spans="1:9" x14ac:dyDescent="0.15">
      <c r="A1476" s="6">
        <v>1475</v>
      </c>
      <c r="B1476" s="7" t="s">
        <v>10</v>
      </c>
      <c r="C1476" s="8">
        <v>1888</v>
      </c>
      <c r="D1476" s="9">
        <v>45432</v>
      </c>
      <c r="E1476" s="13" t="str">
        <f>+HYPERLINK("http://trademark.i-assist.jp/data/china/image_1888th/77073431.pdf","77073431")</f>
        <v>77073431</v>
      </c>
      <c r="F1476" s="7" t="s">
        <v>4130</v>
      </c>
      <c r="G1476" s="7" t="s">
        <v>4131</v>
      </c>
      <c r="H1476" s="7" t="s">
        <v>4132</v>
      </c>
      <c r="I1476" s="9">
        <v>45355</v>
      </c>
    </row>
    <row r="1477" spans="1:9" x14ac:dyDescent="0.15">
      <c r="A1477" s="6">
        <v>1476</v>
      </c>
      <c r="B1477" s="7" t="s">
        <v>10</v>
      </c>
      <c r="C1477" s="8">
        <v>1888</v>
      </c>
      <c r="D1477" s="9">
        <v>45432</v>
      </c>
      <c r="E1477" s="13" t="str">
        <f>+HYPERLINK("http://trademark.i-assist.jp/data/china/image_1888th/77073495.pdf","77073495")</f>
        <v>77073495</v>
      </c>
      <c r="F1477" s="7" t="s">
        <v>4133</v>
      </c>
      <c r="G1477" s="7" t="s">
        <v>4134</v>
      </c>
      <c r="H1477" s="7" t="s">
        <v>4135</v>
      </c>
      <c r="I1477" s="9">
        <v>45355</v>
      </c>
    </row>
    <row r="1478" spans="1:9" x14ac:dyDescent="0.15">
      <c r="A1478" s="6">
        <v>1477</v>
      </c>
      <c r="B1478" s="7" t="s">
        <v>10</v>
      </c>
      <c r="C1478" s="8">
        <v>1888</v>
      </c>
      <c r="D1478" s="9">
        <v>45432</v>
      </c>
      <c r="E1478" s="13" t="str">
        <f>+HYPERLINK("http://trademark.i-assist.jp/data/china/image_1888th/77073574.pdf","77073574")</f>
        <v>77073574</v>
      </c>
      <c r="F1478" s="7" t="s">
        <v>4136</v>
      </c>
      <c r="G1478" s="7" t="s">
        <v>4136</v>
      </c>
      <c r="H1478" s="7" t="s">
        <v>4137</v>
      </c>
      <c r="I1478" s="9">
        <v>45355</v>
      </c>
    </row>
    <row r="1479" spans="1:9" ht="27" x14ac:dyDescent="0.15">
      <c r="A1479" s="6">
        <v>1478</v>
      </c>
      <c r="B1479" s="7" t="s">
        <v>10</v>
      </c>
      <c r="C1479" s="8">
        <v>1888</v>
      </c>
      <c r="D1479" s="9">
        <v>45432</v>
      </c>
      <c r="E1479" s="13" t="str">
        <f>+HYPERLINK("http://trademark.i-assist.jp/data/china/image_1888th/77073614.pdf","77073614")</f>
        <v>77073614</v>
      </c>
      <c r="F1479" s="7" t="s">
        <v>4138</v>
      </c>
      <c r="G1479" s="7" t="s">
        <v>4139</v>
      </c>
      <c r="H1479" s="7" t="s">
        <v>4140</v>
      </c>
      <c r="I1479" s="9">
        <v>45355</v>
      </c>
    </row>
    <row r="1480" spans="1:9" x14ac:dyDescent="0.15">
      <c r="A1480" s="6">
        <v>1479</v>
      </c>
      <c r="B1480" s="7" t="s">
        <v>10</v>
      </c>
      <c r="C1480" s="8">
        <v>1888</v>
      </c>
      <c r="D1480" s="9">
        <v>45432</v>
      </c>
      <c r="E1480" s="13" t="str">
        <f>+HYPERLINK("http://trademark.i-assist.jp/data/china/image_1888th/77073723.pdf","77073723")</f>
        <v>77073723</v>
      </c>
      <c r="F1480" s="7" t="s">
        <v>4141</v>
      </c>
      <c r="G1480" s="7" t="s">
        <v>4142</v>
      </c>
      <c r="H1480" s="7" t="s">
        <v>4143</v>
      </c>
      <c r="I1480" s="9">
        <v>45355</v>
      </c>
    </row>
    <row r="1481" spans="1:9" x14ac:dyDescent="0.15">
      <c r="A1481" s="6">
        <v>1480</v>
      </c>
      <c r="B1481" s="7" t="s">
        <v>10</v>
      </c>
      <c r="C1481" s="8">
        <v>1888</v>
      </c>
      <c r="D1481" s="9">
        <v>45432</v>
      </c>
      <c r="E1481" s="13" t="str">
        <f>+HYPERLINK("http://trademark.i-assist.jp/data/china/image_1888th/77073767.pdf","77073767")</f>
        <v>77073767</v>
      </c>
      <c r="F1481" s="7" t="s">
        <v>4144</v>
      </c>
      <c r="G1481" s="7" t="s">
        <v>4145</v>
      </c>
      <c r="H1481" s="7" t="s">
        <v>4146</v>
      </c>
      <c r="I1481" s="9">
        <v>45355</v>
      </c>
    </row>
    <row r="1482" spans="1:9" x14ac:dyDescent="0.15">
      <c r="A1482" s="6">
        <v>1481</v>
      </c>
      <c r="B1482" s="7" t="s">
        <v>10</v>
      </c>
      <c r="C1482" s="8">
        <v>1888</v>
      </c>
      <c r="D1482" s="9">
        <v>45432</v>
      </c>
      <c r="E1482" s="13" t="str">
        <f>+HYPERLINK("http://trademark.i-assist.jp/data/china/image_1888th/77073841.pdf","77073841")</f>
        <v>77073841</v>
      </c>
      <c r="F1482" s="7" t="s">
        <v>4147</v>
      </c>
      <c r="G1482" s="7" t="s">
        <v>4148</v>
      </c>
      <c r="H1482" s="7" t="s">
        <v>4149</v>
      </c>
      <c r="I1482" s="9">
        <v>45355</v>
      </c>
    </row>
    <row r="1483" spans="1:9" x14ac:dyDescent="0.15">
      <c r="A1483" s="6">
        <v>1482</v>
      </c>
      <c r="B1483" s="7" t="s">
        <v>10</v>
      </c>
      <c r="C1483" s="8">
        <v>1888</v>
      </c>
      <c r="D1483" s="9">
        <v>45432</v>
      </c>
      <c r="E1483" s="13" t="str">
        <f>+HYPERLINK("http://trademark.i-assist.jp/data/china/image_1888th/77073900.pdf","77073900")</f>
        <v>77073900</v>
      </c>
      <c r="F1483" s="7" t="s">
        <v>4150</v>
      </c>
      <c r="G1483" s="7" t="s">
        <v>4151</v>
      </c>
      <c r="H1483" s="7" t="s">
        <v>4152</v>
      </c>
      <c r="I1483" s="9">
        <v>45355</v>
      </c>
    </row>
    <row r="1484" spans="1:9" ht="27" x14ac:dyDescent="0.15">
      <c r="A1484" s="6">
        <v>1483</v>
      </c>
      <c r="B1484" s="7" t="s">
        <v>10</v>
      </c>
      <c r="C1484" s="8">
        <v>1888</v>
      </c>
      <c r="D1484" s="9">
        <v>45432</v>
      </c>
      <c r="E1484" s="13" t="str">
        <f>+HYPERLINK("http://trademark.i-assist.jp/data/china/image_1888th/77074193.pdf","77074193")</f>
        <v>77074193</v>
      </c>
      <c r="F1484" s="7" t="s">
        <v>4153</v>
      </c>
      <c r="G1484" s="7" t="s">
        <v>4154</v>
      </c>
      <c r="H1484" s="7" t="s">
        <v>4155</v>
      </c>
      <c r="I1484" s="9">
        <v>45355</v>
      </c>
    </row>
    <row r="1485" spans="1:9" x14ac:dyDescent="0.15">
      <c r="A1485" s="6">
        <v>1484</v>
      </c>
      <c r="B1485" s="7" t="s">
        <v>10</v>
      </c>
      <c r="C1485" s="8">
        <v>1888</v>
      </c>
      <c r="D1485" s="9">
        <v>45432</v>
      </c>
      <c r="E1485" s="13" t="str">
        <f>+HYPERLINK("http://trademark.i-assist.jp/data/china/image_1888th/77074611.pdf","77074611")</f>
        <v>77074611</v>
      </c>
      <c r="F1485" s="7" t="s">
        <v>4156</v>
      </c>
      <c r="G1485" s="7" t="s">
        <v>4157</v>
      </c>
      <c r="H1485" s="7" t="s">
        <v>4158</v>
      </c>
      <c r="I1485" s="9">
        <v>45355</v>
      </c>
    </row>
    <row r="1486" spans="1:9" ht="27" x14ac:dyDescent="0.15">
      <c r="A1486" s="6">
        <v>1485</v>
      </c>
      <c r="B1486" s="7" t="s">
        <v>10</v>
      </c>
      <c r="C1486" s="8">
        <v>1888</v>
      </c>
      <c r="D1486" s="9">
        <v>45432</v>
      </c>
      <c r="E1486" s="13" t="str">
        <f>+HYPERLINK("http://trademark.i-assist.jp/data/china/image_1888th/77074690.pdf","77074690")</f>
        <v>77074690</v>
      </c>
      <c r="F1486" s="7" t="s">
        <v>4159</v>
      </c>
      <c r="G1486" s="7" t="s">
        <v>4160</v>
      </c>
      <c r="H1486" s="7" t="s">
        <v>4161</v>
      </c>
      <c r="I1486" s="9">
        <v>45355</v>
      </c>
    </row>
    <row r="1487" spans="1:9" x14ac:dyDescent="0.15">
      <c r="A1487" s="6">
        <v>1486</v>
      </c>
      <c r="B1487" s="7" t="s">
        <v>10</v>
      </c>
      <c r="C1487" s="8">
        <v>1888</v>
      </c>
      <c r="D1487" s="9">
        <v>45432</v>
      </c>
      <c r="E1487" s="13" t="str">
        <f>+HYPERLINK("http://trademark.i-assist.jp/data/china/image_1888th/77074759.pdf","77074759")</f>
        <v>77074759</v>
      </c>
      <c r="F1487" s="7" t="s">
        <v>4162</v>
      </c>
      <c r="G1487" s="7" t="s">
        <v>4163</v>
      </c>
      <c r="H1487" s="7" t="s">
        <v>4164</v>
      </c>
      <c r="I1487" s="9">
        <v>45355</v>
      </c>
    </row>
    <row r="1488" spans="1:9" x14ac:dyDescent="0.15">
      <c r="A1488" s="6">
        <v>1487</v>
      </c>
      <c r="B1488" s="7" t="s">
        <v>10</v>
      </c>
      <c r="C1488" s="8">
        <v>1888</v>
      </c>
      <c r="D1488" s="9">
        <v>45432</v>
      </c>
      <c r="E1488" s="13" t="str">
        <f>+HYPERLINK("http://trademark.i-assist.jp/data/china/image_1888th/77074760.pdf","77074760")</f>
        <v>77074760</v>
      </c>
      <c r="F1488" s="7" t="s">
        <v>4165</v>
      </c>
      <c r="G1488" s="7" t="s">
        <v>4166</v>
      </c>
      <c r="H1488" s="7" t="s">
        <v>4167</v>
      </c>
      <c r="I1488" s="9">
        <v>45355</v>
      </c>
    </row>
    <row r="1489" spans="1:9" x14ac:dyDescent="0.15">
      <c r="A1489" s="6">
        <v>1488</v>
      </c>
      <c r="B1489" s="7" t="s">
        <v>10</v>
      </c>
      <c r="C1489" s="8">
        <v>1888</v>
      </c>
      <c r="D1489" s="9">
        <v>45432</v>
      </c>
      <c r="E1489" s="13" t="str">
        <f>+HYPERLINK("http://trademark.i-assist.jp/data/china/image_1888th/77074978.pdf","77074978")</f>
        <v>77074978</v>
      </c>
      <c r="F1489" s="7" t="s">
        <v>4168</v>
      </c>
      <c r="G1489" s="7" t="s">
        <v>4169</v>
      </c>
      <c r="H1489" s="7" t="s">
        <v>4170</v>
      </c>
      <c r="I1489" s="9">
        <v>45355</v>
      </c>
    </row>
    <row r="1490" spans="1:9" x14ac:dyDescent="0.15">
      <c r="A1490" s="6">
        <v>1489</v>
      </c>
      <c r="B1490" s="7" t="s">
        <v>10</v>
      </c>
      <c r="C1490" s="8">
        <v>1888</v>
      </c>
      <c r="D1490" s="9">
        <v>45432</v>
      </c>
      <c r="E1490" s="13" t="str">
        <f>+HYPERLINK("http://trademark.i-assist.jp/data/china/image_1888th/77075135.pdf","77075135")</f>
        <v>77075135</v>
      </c>
      <c r="F1490" s="7" t="s">
        <v>4171</v>
      </c>
      <c r="G1490" s="7" t="s">
        <v>4172</v>
      </c>
      <c r="H1490" s="7" t="s">
        <v>4173</v>
      </c>
      <c r="I1490" s="9">
        <v>45355</v>
      </c>
    </row>
    <row r="1491" spans="1:9" x14ac:dyDescent="0.15">
      <c r="A1491" s="6">
        <v>1490</v>
      </c>
      <c r="B1491" s="7" t="s">
        <v>10</v>
      </c>
      <c r="C1491" s="8">
        <v>1888</v>
      </c>
      <c r="D1491" s="9">
        <v>45432</v>
      </c>
      <c r="E1491" s="13" t="str">
        <f>+HYPERLINK("http://trademark.i-assist.jp/data/china/image_1888th/77075317.pdf","77075317")</f>
        <v>77075317</v>
      </c>
      <c r="F1491" s="7" t="s">
        <v>4174</v>
      </c>
      <c r="G1491" s="7" t="s">
        <v>4175</v>
      </c>
      <c r="H1491" s="7" t="s">
        <v>4176</v>
      </c>
      <c r="I1491" s="9">
        <v>45355</v>
      </c>
    </row>
    <row r="1492" spans="1:9" ht="27" x14ac:dyDescent="0.15">
      <c r="A1492" s="6">
        <v>1491</v>
      </c>
      <c r="B1492" s="7" t="s">
        <v>10</v>
      </c>
      <c r="C1492" s="8">
        <v>1888</v>
      </c>
      <c r="D1492" s="9">
        <v>45432</v>
      </c>
      <c r="E1492" s="13" t="str">
        <f>+HYPERLINK("http://trademark.i-assist.jp/data/china/image_1888th/77075411.pdf","77075411")</f>
        <v>77075411</v>
      </c>
      <c r="F1492" s="7" t="s">
        <v>4177</v>
      </c>
      <c r="G1492" s="7" t="s">
        <v>4178</v>
      </c>
      <c r="H1492" s="7" t="s">
        <v>4179</v>
      </c>
      <c r="I1492" s="9">
        <v>45355</v>
      </c>
    </row>
    <row r="1493" spans="1:9" x14ac:dyDescent="0.15">
      <c r="A1493" s="6">
        <v>1492</v>
      </c>
      <c r="B1493" s="7" t="s">
        <v>10</v>
      </c>
      <c r="C1493" s="8">
        <v>1888</v>
      </c>
      <c r="D1493" s="9">
        <v>45432</v>
      </c>
      <c r="E1493" s="13" t="str">
        <f>+HYPERLINK("http://trademark.i-assist.jp/data/china/image_1888th/77075678.pdf","77075678")</f>
        <v>77075678</v>
      </c>
      <c r="F1493" s="7" t="s">
        <v>4180</v>
      </c>
      <c r="G1493" s="7" t="s">
        <v>4181</v>
      </c>
      <c r="H1493" s="7" t="s">
        <v>4182</v>
      </c>
      <c r="I1493" s="9">
        <v>45355</v>
      </c>
    </row>
    <row r="1494" spans="1:9" x14ac:dyDescent="0.15">
      <c r="A1494" s="6">
        <v>1493</v>
      </c>
      <c r="B1494" s="7" t="s">
        <v>10</v>
      </c>
      <c r="C1494" s="8">
        <v>1888</v>
      </c>
      <c r="D1494" s="9">
        <v>45432</v>
      </c>
      <c r="E1494" s="13" t="str">
        <f>+HYPERLINK("http://trademark.i-assist.jp/data/china/image_1888th/77075821.pdf","77075821")</f>
        <v>77075821</v>
      </c>
      <c r="F1494" s="7" t="s">
        <v>4183</v>
      </c>
      <c r="G1494" s="7" t="s">
        <v>4184</v>
      </c>
      <c r="H1494" s="7" t="s">
        <v>4185</v>
      </c>
      <c r="I1494" s="9">
        <v>45355</v>
      </c>
    </row>
    <row r="1495" spans="1:9" ht="27" x14ac:dyDescent="0.15">
      <c r="A1495" s="6">
        <v>1494</v>
      </c>
      <c r="B1495" s="7" t="s">
        <v>10</v>
      </c>
      <c r="C1495" s="8">
        <v>1888</v>
      </c>
      <c r="D1495" s="9">
        <v>45432</v>
      </c>
      <c r="E1495" s="13" t="str">
        <f>+HYPERLINK("http://trademark.i-assist.jp/data/china/image_1888th/77075999.pdf","77075999")</f>
        <v>77075999</v>
      </c>
      <c r="F1495" s="7" t="s">
        <v>4186</v>
      </c>
      <c r="G1495" s="7" t="s">
        <v>4187</v>
      </c>
      <c r="H1495" s="7" t="s">
        <v>4188</v>
      </c>
      <c r="I1495" s="9">
        <v>45355</v>
      </c>
    </row>
    <row r="1496" spans="1:9" ht="27" x14ac:dyDescent="0.15">
      <c r="A1496" s="6">
        <v>1495</v>
      </c>
      <c r="B1496" s="7" t="s">
        <v>10</v>
      </c>
      <c r="C1496" s="8">
        <v>1888</v>
      </c>
      <c r="D1496" s="9">
        <v>45432</v>
      </c>
      <c r="E1496" s="13" t="str">
        <f>+HYPERLINK("http://trademark.i-assist.jp/data/china/image_1888th/77076018.pdf","77076018")</f>
        <v>77076018</v>
      </c>
      <c r="F1496" s="7" t="s">
        <v>4189</v>
      </c>
      <c r="G1496" s="7" t="s">
        <v>4190</v>
      </c>
      <c r="H1496" s="7" t="s">
        <v>4191</v>
      </c>
      <c r="I1496" s="9">
        <v>45355</v>
      </c>
    </row>
    <row r="1497" spans="1:9" x14ac:dyDescent="0.15">
      <c r="A1497" s="6">
        <v>1496</v>
      </c>
      <c r="B1497" s="7" t="s">
        <v>10</v>
      </c>
      <c r="C1497" s="8">
        <v>1888</v>
      </c>
      <c r="D1497" s="9">
        <v>45432</v>
      </c>
      <c r="E1497" s="13" t="str">
        <f>+HYPERLINK("http://trademark.i-assist.jp/data/china/image_1888th/77076154.pdf","77076154")</f>
        <v>77076154</v>
      </c>
      <c r="F1497" s="7" t="s">
        <v>4192</v>
      </c>
      <c r="G1497" s="7" t="s">
        <v>4193</v>
      </c>
      <c r="H1497" s="7" t="s">
        <v>4194</v>
      </c>
      <c r="I1497" s="9">
        <v>45355</v>
      </c>
    </row>
    <row r="1498" spans="1:9" ht="27" x14ac:dyDescent="0.15">
      <c r="A1498" s="6">
        <v>1497</v>
      </c>
      <c r="B1498" s="7" t="s">
        <v>10</v>
      </c>
      <c r="C1498" s="8">
        <v>1888</v>
      </c>
      <c r="D1498" s="9">
        <v>45432</v>
      </c>
      <c r="E1498" s="13" t="str">
        <f>+HYPERLINK("http://trademark.i-assist.jp/data/china/image_1888th/77076203.pdf","77076203")</f>
        <v>77076203</v>
      </c>
      <c r="F1498" s="7" t="s">
        <v>4195</v>
      </c>
      <c r="G1498" s="7" t="s">
        <v>4196</v>
      </c>
      <c r="H1498" s="7" t="s">
        <v>4197</v>
      </c>
      <c r="I1498" s="9">
        <v>45355</v>
      </c>
    </row>
    <row r="1499" spans="1:9" x14ac:dyDescent="0.15">
      <c r="A1499" s="6">
        <v>1498</v>
      </c>
      <c r="B1499" s="7" t="s">
        <v>10</v>
      </c>
      <c r="C1499" s="8">
        <v>1888</v>
      </c>
      <c r="D1499" s="9">
        <v>45432</v>
      </c>
      <c r="E1499" s="13" t="str">
        <f>+HYPERLINK("http://trademark.i-assist.jp/data/china/image_1888th/77076268.pdf","77076268")</f>
        <v>77076268</v>
      </c>
      <c r="F1499" s="7" t="s">
        <v>4198</v>
      </c>
      <c r="G1499" s="7" t="s">
        <v>4199</v>
      </c>
      <c r="H1499" s="7" t="s">
        <v>4200</v>
      </c>
      <c r="I1499" s="9">
        <v>45355</v>
      </c>
    </row>
    <row r="1500" spans="1:9" x14ac:dyDescent="0.15">
      <c r="A1500" s="6">
        <v>1499</v>
      </c>
      <c r="B1500" s="7" t="s">
        <v>10</v>
      </c>
      <c r="C1500" s="8">
        <v>1888</v>
      </c>
      <c r="D1500" s="9">
        <v>45432</v>
      </c>
      <c r="E1500" s="13" t="str">
        <f>+HYPERLINK("http://trademark.i-assist.jp/data/china/image_1888th/77076342.pdf","77076342")</f>
        <v>77076342</v>
      </c>
      <c r="F1500" s="7" t="s">
        <v>4201</v>
      </c>
      <c r="G1500" s="7" t="s">
        <v>4202</v>
      </c>
      <c r="H1500" s="7" t="s">
        <v>4203</v>
      </c>
      <c r="I1500" s="9">
        <v>45355</v>
      </c>
    </row>
    <row r="1501" spans="1:9" x14ac:dyDescent="0.15">
      <c r="A1501" s="6">
        <v>1500</v>
      </c>
      <c r="B1501" s="7" t="s">
        <v>10</v>
      </c>
      <c r="C1501" s="8">
        <v>1888</v>
      </c>
      <c r="D1501" s="9">
        <v>45432</v>
      </c>
      <c r="E1501" s="13" t="str">
        <f>+HYPERLINK("http://trademark.i-assist.jp/data/china/image_1888th/77076395.pdf","77076395")</f>
        <v>77076395</v>
      </c>
      <c r="F1501" s="7" t="s">
        <v>4204</v>
      </c>
      <c r="G1501" s="7" t="s">
        <v>4205</v>
      </c>
      <c r="H1501" s="7" t="s">
        <v>4206</v>
      </c>
      <c r="I1501" s="9">
        <v>45355</v>
      </c>
    </row>
    <row r="1502" spans="1:9" x14ac:dyDescent="0.15">
      <c r="A1502" s="6">
        <v>1501</v>
      </c>
      <c r="B1502" s="7" t="s">
        <v>10</v>
      </c>
      <c r="C1502" s="8">
        <v>1888</v>
      </c>
      <c r="D1502" s="9">
        <v>45432</v>
      </c>
      <c r="E1502" s="13" t="str">
        <f>+HYPERLINK("http://trademark.i-assist.jp/data/china/image_1888th/77076403.pdf","77076403")</f>
        <v>77076403</v>
      </c>
      <c r="F1502" s="7" t="s">
        <v>4207</v>
      </c>
      <c r="G1502" s="7" t="s">
        <v>4208</v>
      </c>
      <c r="H1502" s="7" t="s">
        <v>4209</v>
      </c>
      <c r="I1502" s="9">
        <v>45355</v>
      </c>
    </row>
    <row r="1503" spans="1:9" ht="27" x14ac:dyDescent="0.15">
      <c r="A1503" s="6">
        <v>1502</v>
      </c>
      <c r="B1503" s="7" t="s">
        <v>10</v>
      </c>
      <c r="C1503" s="8">
        <v>1888</v>
      </c>
      <c r="D1503" s="9">
        <v>45432</v>
      </c>
      <c r="E1503" s="13" t="str">
        <f>+HYPERLINK("http://trademark.i-assist.jp/data/china/image_1888th/77076419.pdf","77076419")</f>
        <v>77076419</v>
      </c>
      <c r="F1503" s="7" t="s">
        <v>4210</v>
      </c>
      <c r="G1503" s="7" t="s">
        <v>4211</v>
      </c>
      <c r="H1503" s="7" t="s">
        <v>4212</v>
      </c>
      <c r="I1503" s="9">
        <v>45355</v>
      </c>
    </row>
    <row r="1504" spans="1:9" x14ac:dyDescent="0.15">
      <c r="A1504" s="6">
        <v>1503</v>
      </c>
      <c r="B1504" s="7" t="s">
        <v>10</v>
      </c>
      <c r="C1504" s="8">
        <v>1888</v>
      </c>
      <c r="D1504" s="9">
        <v>45432</v>
      </c>
      <c r="E1504" s="13" t="str">
        <f>+HYPERLINK("http://trademark.i-assist.jp/data/china/image_1888th/77076520.pdf","77076520")</f>
        <v>77076520</v>
      </c>
      <c r="F1504" s="7" t="s">
        <v>4213</v>
      </c>
      <c r="G1504" s="7" t="s">
        <v>4214</v>
      </c>
      <c r="H1504" s="7" t="s">
        <v>4215</v>
      </c>
      <c r="I1504" s="9">
        <v>45355</v>
      </c>
    </row>
    <row r="1505" spans="1:9" x14ac:dyDescent="0.15">
      <c r="A1505" s="6">
        <v>1504</v>
      </c>
      <c r="B1505" s="7" t="s">
        <v>10</v>
      </c>
      <c r="C1505" s="8">
        <v>1888</v>
      </c>
      <c r="D1505" s="9">
        <v>45432</v>
      </c>
      <c r="E1505" s="13" t="str">
        <f>+HYPERLINK("http://trademark.i-assist.jp/data/china/image_1888th/77076830.pdf","77076830")</f>
        <v>77076830</v>
      </c>
      <c r="F1505" s="7" t="s">
        <v>4216</v>
      </c>
      <c r="G1505" s="7" t="s">
        <v>4217</v>
      </c>
      <c r="H1505" s="7" t="s">
        <v>4218</v>
      </c>
      <c r="I1505" s="9">
        <v>45355</v>
      </c>
    </row>
    <row r="1506" spans="1:9" ht="27" x14ac:dyDescent="0.15">
      <c r="A1506" s="6">
        <v>1505</v>
      </c>
      <c r="B1506" s="7" t="s">
        <v>10</v>
      </c>
      <c r="C1506" s="8">
        <v>1888</v>
      </c>
      <c r="D1506" s="9">
        <v>45432</v>
      </c>
      <c r="E1506" s="13" t="str">
        <f>+HYPERLINK("http://trademark.i-assist.jp/data/china/image_1888th/77077118.pdf","77077118")</f>
        <v>77077118</v>
      </c>
      <c r="F1506" s="7" t="s">
        <v>4219</v>
      </c>
      <c r="G1506" s="7" t="s">
        <v>4220</v>
      </c>
      <c r="H1506" s="7" t="s">
        <v>4221</v>
      </c>
      <c r="I1506" s="9">
        <v>45355</v>
      </c>
    </row>
    <row r="1507" spans="1:9" x14ac:dyDescent="0.15">
      <c r="A1507" s="6">
        <v>1506</v>
      </c>
      <c r="B1507" s="7" t="s">
        <v>10</v>
      </c>
      <c r="C1507" s="8">
        <v>1888</v>
      </c>
      <c r="D1507" s="9">
        <v>45432</v>
      </c>
      <c r="E1507" s="13" t="str">
        <f>+HYPERLINK("http://trademark.i-assist.jp/data/china/image_1888th/77077315.pdf","77077315")</f>
        <v>77077315</v>
      </c>
      <c r="F1507" s="7" t="s">
        <v>4222</v>
      </c>
      <c r="G1507" s="7" t="s">
        <v>4223</v>
      </c>
      <c r="H1507" s="7" t="s">
        <v>4224</v>
      </c>
      <c r="I1507" s="9">
        <v>45355</v>
      </c>
    </row>
    <row r="1508" spans="1:9" x14ac:dyDescent="0.15">
      <c r="A1508" s="6">
        <v>1507</v>
      </c>
      <c r="B1508" s="7" t="s">
        <v>10</v>
      </c>
      <c r="C1508" s="8">
        <v>1888</v>
      </c>
      <c r="D1508" s="9">
        <v>45432</v>
      </c>
      <c r="E1508" s="13" t="str">
        <f>+HYPERLINK("http://trademark.i-assist.jp/data/china/image_1888th/77077911.pdf","77077911")</f>
        <v>77077911</v>
      </c>
      <c r="F1508" s="7" t="s">
        <v>4225</v>
      </c>
      <c r="G1508" s="7" t="s">
        <v>4163</v>
      </c>
      <c r="H1508" s="7" t="s">
        <v>4226</v>
      </c>
      <c r="I1508" s="9">
        <v>45355</v>
      </c>
    </row>
    <row r="1509" spans="1:9" ht="27" x14ac:dyDescent="0.15">
      <c r="A1509" s="6">
        <v>1508</v>
      </c>
      <c r="B1509" s="7" t="s">
        <v>10</v>
      </c>
      <c r="C1509" s="8">
        <v>1888</v>
      </c>
      <c r="D1509" s="9">
        <v>45432</v>
      </c>
      <c r="E1509" s="13" t="str">
        <f>+HYPERLINK("http://trademark.i-assist.jp/data/china/image_1888th/77077944.pdf","77077944")</f>
        <v>77077944</v>
      </c>
      <c r="F1509" s="7" t="s">
        <v>4227</v>
      </c>
      <c r="G1509" s="7" t="s">
        <v>4228</v>
      </c>
      <c r="H1509" s="7" t="s">
        <v>4229</v>
      </c>
      <c r="I1509" s="9">
        <v>45355</v>
      </c>
    </row>
    <row r="1510" spans="1:9" x14ac:dyDescent="0.15">
      <c r="A1510" s="6">
        <v>1509</v>
      </c>
      <c r="B1510" s="7" t="s">
        <v>10</v>
      </c>
      <c r="C1510" s="8">
        <v>1888</v>
      </c>
      <c r="D1510" s="9">
        <v>45432</v>
      </c>
      <c r="E1510" s="13" t="str">
        <f>+HYPERLINK("http://trademark.i-assist.jp/data/china/image_1888th/77078058.pdf","77078058")</f>
        <v>77078058</v>
      </c>
      <c r="F1510" s="7" t="s">
        <v>4230</v>
      </c>
      <c r="G1510" s="7" t="s">
        <v>4231</v>
      </c>
      <c r="H1510" s="7" t="s">
        <v>4232</v>
      </c>
      <c r="I1510" s="9">
        <v>45355</v>
      </c>
    </row>
    <row r="1511" spans="1:9" x14ac:dyDescent="0.15">
      <c r="A1511" s="6">
        <v>1510</v>
      </c>
      <c r="B1511" s="7" t="s">
        <v>10</v>
      </c>
      <c r="C1511" s="8">
        <v>1888</v>
      </c>
      <c r="D1511" s="9">
        <v>45432</v>
      </c>
      <c r="E1511" s="13" t="str">
        <f>+HYPERLINK("http://trademark.i-assist.jp/data/china/image_1888th/77078174.pdf","77078174")</f>
        <v>77078174</v>
      </c>
      <c r="F1511" s="7" t="s">
        <v>4233</v>
      </c>
      <c r="G1511" s="7" t="s">
        <v>4234</v>
      </c>
      <c r="H1511" s="7" t="s">
        <v>4235</v>
      </c>
      <c r="I1511" s="9">
        <v>45355</v>
      </c>
    </row>
    <row r="1512" spans="1:9" x14ac:dyDescent="0.15">
      <c r="A1512" s="6">
        <v>1511</v>
      </c>
      <c r="B1512" s="7" t="s">
        <v>10</v>
      </c>
      <c r="C1512" s="8">
        <v>1888</v>
      </c>
      <c r="D1512" s="9">
        <v>45432</v>
      </c>
      <c r="E1512" s="13" t="str">
        <f>+HYPERLINK("http://trademark.i-assist.jp/data/china/image_1888th/77078268.pdf","77078268")</f>
        <v>77078268</v>
      </c>
      <c r="F1512" s="7" t="s">
        <v>4236</v>
      </c>
      <c r="G1512" s="7" t="s">
        <v>4237</v>
      </c>
      <c r="H1512" s="7" t="s">
        <v>4238</v>
      </c>
      <c r="I1512" s="9">
        <v>45355</v>
      </c>
    </row>
    <row r="1513" spans="1:9" ht="27" x14ac:dyDescent="0.15">
      <c r="A1513" s="6">
        <v>1512</v>
      </c>
      <c r="B1513" s="7" t="s">
        <v>10</v>
      </c>
      <c r="C1513" s="8">
        <v>1888</v>
      </c>
      <c r="D1513" s="9">
        <v>45432</v>
      </c>
      <c r="E1513" s="13" t="str">
        <f>+HYPERLINK("http://trademark.i-assist.jp/data/china/image_1888th/77078302.pdf","77078302")</f>
        <v>77078302</v>
      </c>
      <c r="F1513" s="7" t="s">
        <v>4239</v>
      </c>
      <c r="G1513" s="7" t="s">
        <v>4240</v>
      </c>
      <c r="H1513" s="7" t="s">
        <v>4241</v>
      </c>
      <c r="I1513" s="9">
        <v>45355</v>
      </c>
    </row>
    <row r="1514" spans="1:9" x14ac:dyDescent="0.15">
      <c r="A1514" s="6">
        <v>1513</v>
      </c>
      <c r="B1514" s="7" t="s">
        <v>10</v>
      </c>
      <c r="C1514" s="8">
        <v>1888</v>
      </c>
      <c r="D1514" s="9">
        <v>45432</v>
      </c>
      <c r="E1514" s="13" t="str">
        <f>+HYPERLINK("http://trademark.i-assist.jp/data/china/image_1888th/77078481.pdf","77078481")</f>
        <v>77078481</v>
      </c>
      <c r="F1514" s="7" t="s">
        <v>4242</v>
      </c>
      <c r="G1514" s="7" t="s">
        <v>4243</v>
      </c>
      <c r="H1514" s="7" t="s">
        <v>4244</v>
      </c>
      <c r="I1514" s="9">
        <v>45355</v>
      </c>
    </row>
    <row r="1515" spans="1:9" x14ac:dyDescent="0.15">
      <c r="A1515" s="6">
        <v>1514</v>
      </c>
      <c r="B1515" s="7" t="s">
        <v>10</v>
      </c>
      <c r="C1515" s="8">
        <v>1888</v>
      </c>
      <c r="D1515" s="9">
        <v>45432</v>
      </c>
      <c r="E1515" s="13" t="str">
        <f>+HYPERLINK("http://trademark.i-assist.jp/data/china/image_1888th/77078555.pdf","77078555")</f>
        <v>77078555</v>
      </c>
      <c r="F1515" s="7" t="s">
        <v>4245</v>
      </c>
      <c r="G1515" s="7" t="s">
        <v>4246</v>
      </c>
      <c r="H1515" s="7" t="s">
        <v>4247</v>
      </c>
      <c r="I1515" s="9">
        <v>45355</v>
      </c>
    </row>
    <row r="1516" spans="1:9" ht="27" x14ac:dyDescent="0.15">
      <c r="A1516" s="6">
        <v>1515</v>
      </c>
      <c r="B1516" s="7" t="s">
        <v>10</v>
      </c>
      <c r="C1516" s="8">
        <v>1888</v>
      </c>
      <c r="D1516" s="9">
        <v>45432</v>
      </c>
      <c r="E1516" s="13" t="str">
        <f>+HYPERLINK("http://trademark.i-assist.jp/data/china/image_1888th/77078907.pdf","77078907")</f>
        <v>77078907</v>
      </c>
      <c r="F1516" s="7" t="s">
        <v>4248</v>
      </c>
      <c r="G1516" s="7" t="s">
        <v>4249</v>
      </c>
      <c r="H1516" s="7" t="s">
        <v>4250</v>
      </c>
      <c r="I1516" s="9">
        <v>45355</v>
      </c>
    </row>
    <row r="1517" spans="1:9" ht="27" x14ac:dyDescent="0.15">
      <c r="A1517" s="6">
        <v>1516</v>
      </c>
      <c r="B1517" s="7" t="s">
        <v>10</v>
      </c>
      <c r="C1517" s="8">
        <v>1888</v>
      </c>
      <c r="D1517" s="9">
        <v>45432</v>
      </c>
      <c r="E1517" s="13" t="str">
        <f>+HYPERLINK("http://trademark.i-assist.jp/data/china/image_1888th/77078992.pdf","77078992")</f>
        <v>77078992</v>
      </c>
      <c r="F1517" s="7" t="s">
        <v>4251</v>
      </c>
      <c r="G1517" s="7" t="s">
        <v>4252</v>
      </c>
      <c r="H1517" s="7" t="s">
        <v>4253</v>
      </c>
      <c r="I1517" s="9">
        <v>45355</v>
      </c>
    </row>
    <row r="1518" spans="1:9" x14ac:dyDescent="0.15">
      <c r="A1518" s="6">
        <v>1517</v>
      </c>
      <c r="B1518" s="7" t="s">
        <v>10</v>
      </c>
      <c r="C1518" s="8">
        <v>1888</v>
      </c>
      <c r="D1518" s="9">
        <v>45432</v>
      </c>
      <c r="E1518" s="13" t="str">
        <f>+HYPERLINK("http://trademark.i-assist.jp/data/china/image_1888th/77079125.pdf","77079125")</f>
        <v>77079125</v>
      </c>
      <c r="F1518" s="7" t="s">
        <v>4254</v>
      </c>
      <c r="G1518" s="7" t="s">
        <v>4255</v>
      </c>
      <c r="H1518" s="7" t="s">
        <v>4256</v>
      </c>
      <c r="I1518" s="9">
        <v>45355</v>
      </c>
    </row>
    <row r="1519" spans="1:9" x14ac:dyDescent="0.15">
      <c r="A1519" s="6">
        <v>1518</v>
      </c>
      <c r="B1519" s="7" t="s">
        <v>10</v>
      </c>
      <c r="C1519" s="8">
        <v>1888</v>
      </c>
      <c r="D1519" s="9">
        <v>45432</v>
      </c>
      <c r="E1519" s="13" t="str">
        <f>+HYPERLINK("http://trademark.i-assist.jp/data/china/image_1888th/77079189.pdf","77079189")</f>
        <v>77079189</v>
      </c>
      <c r="F1519" s="7" t="s">
        <v>4257</v>
      </c>
      <c r="G1519" s="7" t="s">
        <v>4258</v>
      </c>
      <c r="H1519" s="7" t="s">
        <v>4259</v>
      </c>
      <c r="I1519" s="9">
        <v>45355</v>
      </c>
    </row>
    <row r="1520" spans="1:9" x14ac:dyDescent="0.15">
      <c r="A1520" s="6">
        <v>1519</v>
      </c>
      <c r="B1520" s="7" t="s">
        <v>10</v>
      </c>
      <c r="C1520" s="8">
        <v>1888</v>
      </c>
      <c r="D1520" s="9">
        <v>45432</v>
      </c>
      <c r="E1520" s="13" t="str">
        <f>+HYPERLINK("http://trademark.i-assist.jp/data/china/image_1888th/77079275.pdf","77079275")</f>
        <v>77079275</v>
      </c>
      <c r="F1520" s="7" t="s">
        <v>4260</v>
      </c>
      <c r="G1520" s="7" t="s">
        <v>4261</v>
      </c>
      <c r="H1520" s="7" t="s">
        <v>4262</v>
      </c>
      <c r="I1520" s="9">
        <v>45355</v>
      </c>
    </row>
    <row r="1521" spans="1:9" x14ac:dyDescent="0.15">
      <c r="A1521" s="6">
        <v>1520</v>
      </c>
      <c r="B1521" s="7" t="s">
        <v>10</v>
      </c>
      <c r="C1521" s="8">
        <v>1888</v>
      </c>
      <c r="D1521" s="9">
        <v>45432</v>
      </c>
      <c r="E1521" s="13" t="str">
        <f>+HYPERLINK("http://trademark.i-assist.jp/data/china/image_1888th/77079286.pdf","77079286")</f>
        <v>77079286</v>
      </c>
      <c r="F1521" s="7" t="s">
        <v>4263</v>
      </c>
      <c r="G1521" s="7" t="s">
        <v>4264</v>
      </c>
      <c r="H1521" s="7" t="s">
        <v>4265</v>
      </c>
      <c r="I1521" s="9">
        <v>45355</v>
      </c>
    </row>
    <row r="1522" spans="1:9" x14ac:dyDescent="0.15">
      <c r="A1522" s="6">
        <v>1521</v>
      </c>
      <c r="B1522" s="7" t="s">
        <v>10</v>
      </c>
      <c r="C1522" s="8">
        <v>1888</v>
      </c>
      <c r="D1522" s="9">
        <v>45432</v>
      </c>
      <c r="E1522" s="13" t="str">
        <f>+HYPERLINK("http://trademark.i-assist.jp/data/china/image_1888th/77079312.pdf","77079312")</f>
        <v>77079312</v>
      </c>
      <c r="F1522" s="7" t="s">
        <v>4266</v>
      </c>
      <c r="G1522" s="7" t="s">
        <v>4267</v>
      </c>
      <c r="H1522" s="7" t="s">
        <v>4268</v>
      </c>
      <c r="I1522" s="9">
        <v>45355</v>
      </c>
    </row>
    <row r="1523" spans="1:9" x14ac:dyDescent="0.15">
      <c r="A1523" s="6">
        <v>1522</v>
      </c>
      <c r="B1523" s="7" t="s">
        <v>10</v>
      </c>
      <c r="C1523" s="8">
        <v>1888</v>
      </c>
      <c r="D1523" s="9">
        <v>45432</v>
      </c>
      <c r="E1523" s="13" t="str">
        <f>+HYPERLINK("http://trademark.i-assist.jp/data/china/image_1888th/77079350.pdf","77079350")</f>
        <v>77079350</v>
      </c>
      <c r="F1523" s="7" t="s">
        <v>4269</v>
      </c>
      <c r="G1523" s="7" t="s">
        <v>4270</v>
      </c>
      <c r="H1523" s="7" t="s">
        <v>4271</v>
      </c>
      <c r="I1523" s="9">
        <v>45355</v>
      </c>
    </row>
    <row r="1524" spans="1:9" ht="27" x14ac:dyDescent="0.15">
      <c r="A1524" s="6">
        <v>1523</v>
      </c>
      <c r="B1524" s="7" t="s">
        <v>10</v>
      </c>
      <c r="C1524" s="8">
        <v>1888</v>
      </c>
      <c r="D1524" s="9">
        <v>45432</v>
      </c>
      <c r="E1524" s="13" t="str">
        <f>+HYPERLINK("http://trademark.i-assist.jp/data/china/image_1888th/77079452.pdf","77079452")</f>
        <v>77079452</v>
      </c>
      <c r="F1524" s="7" t="s">
        <v>4272</v>
      </c>
      <c r="G1524" s="7" t="s">
        <v>4273</v>
      </c>
      <c r="H1524" s="7" t="s">
        <v>4274</v>
      </c>
      <c r="I1524" s="9">
        <v>45355</v>
      </c>
    </row>
    <row r="1525" spans="1:9" ht="27" x14ac:dyDescent="0.15">
      <c r="A1525" s="6">
        <v>1524</v>
      </c>
      <c r="B1525" s="7" t="s">
        <v>10</v>
      </c>
      <c r="C1525" s="8">
        <v>1888</v>
      </c>
      <c r="D1525" s="9">
        <v>45432</v>
      </c>
      <c r="E1525" s="13" t="str">
        <f>+HYPERLINK("http://trademark.i-assist.jp/data/china/image_1888th/77079591.pdf","77079591")</f>
        <v>77079591</v>
      </c>
      <c r="F1525" s="7" t="s">
        <v>4275</v>
      </c>
      <c r="G1525" s="7" t="s">
        <v>4276</v>
      </c>
      <c r="H1525" s="7" t="s">
        <v>4277</v>
      </c>
      <c r="I1525" s="9">
        <v>45355</v>
      </c>
    </row>
    <row r="1526" spans="1:9" x14ac:dyDescent="0.15">
      <c r="A1526" s="6">
        <v>1525</v>
      </c>
      <c r="B1526" s="7" t="s">
        <v>10</v>
      </c>
      <c r="C1526" s="8">
        <v>1888</v>
      </c>
      <c r="D1526" s="9">
        <v>45432</v>
      </c>
      <c r="E1526" s="13" t="str">
        <f>+HYPERLINK("http://trademark.i-assist.jp/data/china/image_1888th/77079616.pdf","77079616")</f>
        <v>77079616</v>
      </c>
      <c r="F1526" s="7" t="s">
        <v>76</v>
      </c>
      <c r="G1526" s="7" t="s">
        <v>4278</v>
      </c>
      <c r="H1526" s="7" t="s">
        <v>4279</v>
      </c>
      <c r="I1526" s="9">
        <v>45355</v>
      </c>
    </row>
    <row r="1527" spans="1:9" x14ac:dyDescent="0.15">
      <c r="A1527" s="6">
        <v>1526</v>
      </c>
      <c r="B1527" s="7" t="s">
        <v>10</v>
      </c>
      <c r="C1527" s="8">
        <v>1888</v>
      </c>
      <c r="D1527" s="9">
        <v>45432</v>
      </c>
      <c r="E1527" s="13" t="str">
        <f>+HYPERLINK("http://trademark.i-assist.jp/data/china/image_1888th/77079732.pdf","77079732")</f>
        <v>77079732</v>
      </c>
      <c r="F1527" s="7" t="s">
        <v>4280</v>
      </c>
      <c r="G1527" s="7" t="s">
        <v>4281</v>
      </c>
      <c r="H1527" s="7" t="s">
        <v>4282</v>
      </c>
      <c r="I1527" s="9">
        <v>45355</v>
      </c>
    </row>
    <row r="1528" spans="1:9" x14ac:dyDescent="0.15">
      <c r="A1528" s="6">
        <v>1527</v>
      </c>
      <c r="B1528" s="7" t="s">
        <v>10</v>
      </c>
      <c r="C1528" s="8">
        <v>1888</v>
      </c>
      <c r="D1528" s="9">
        <v>45432</v>
      </c>
      <c r="E1528" s="13" t="str">
        <f>+HYPERLINK("http://trademark.i-assist.jp/data/china/image_1888th/77079762.pdf","77079762")</f>
        <v>77079762</v>
      </c>
      <c r="F1528" s="7" t="s">
        <v>4283</v>
      </c>
      <c r="G1528" s="7" t="s">
        <v>4284</v>
      </c>
      <c r="H1528" s="7" t="s">
        <v>4285</v>
      </c>
      <c r="I1528" s="9">
        <v>45355</v>
      </c>
    </row>
    <row r="1529" spans="1:9" x14ac:dyDescent="0.15">
      <c r="A1529" s="6">
        <v>1528</v>
      </c>
      <c r="B1529" s="7" t="s">
        <v>10</v>
      </c>
      <c r="C1529" s="8">
        <v>1888</v>
      </c>
      <c r="D1529" s="9">
        <v>45432</v>
      </c>
      <c r="E1529" s="13" t="str">
        <f>+HYPERLINK("http://trademark.i-assist.jp/data/china/image_1888th/77079961.pdf","77079961")</f>
        <v>77079961</v>
      </c>
      <c r="F1529" s="7" t="s">
        <v>4286</v>
      </c>
      <c r="G1529" s="7" t="s">
        <v>4287</v>
      </c>
      <c r="H1529" s="7" t="s">
        <v>4288</v>
      </c>
      <c r="I1529" s="9">
        <v>45355</v>
      </c>
    </row>
    <row r="1530" spans="1:9" ht="27" x14ac:dyDescent="0.15">
      <c r="A1530" s="6">
        <v>1529</v>
      </c>
      <c r="B1530" s="7" t="s">
        <v>10</v>
      </c>
      <c r="C1530" s="8">
        <v>1888</v>
      </c>
      <c r="D1530" s="9">
        <v>45432</v>
      </c>
      <c r="E1530" s="13" t="str">
        <f>+HYPERLINK("http://trademark.i-assist.jp/data/china/image_1888th/77079969.pdf","77079969")</f>
        <v>77079969</v>
      </c>
      <c r="F1530" s="7" t="s">
        <v>76</v>
      </c>
      <c r="G1530" s="7" t="s">
        <v>4160</v>
      </c>
      <c r="H1530" s="7" t="s">
        <v>4289</v>
      </c>
      <c r="I1530" s="9">
        <v>45355</v>
      </c>
    </row>
    <row r="1531" spans="1:9" ht="27" x14ac:dyDescent="0.15">
      <c r="A1531" s="6">
        <v>1530</v>
      </c>
      <c r="B1531" s="7" t="s">
        <v>10</v>
      </c>
      <c r="C1531" s="8">
        <v>1888</v>
      </c>
      <c r="D1531" s="9">
        <v>45432</v>
      </c>
      <c r="E1531" s="13" t="str">
        <f>+HYPERLINK("http://trademark.i-assist.jp/data/china/image_1888th/77080320.pdf","77080320")</f>
        <v>77080320</v>
      </c>
      <c r="F1531" s="7" t="s">
        <v>4290</v>
      </c>
      <c r="G1531" s="7" t="s">
        <v>4291</v>
      </c>
      <c r="H1531" s="7" t="s">
        <v>4292</v>
      </c>
      <c r="I1531" s="9">
        <v>45355</v>
      </c>
    </row>
    <row r="1532" spans="1:9" ht="27" x14ac:dyDescent="0.15">
      <c r="A1532" s="6">
        <v>1531</v>
      </c>
      <c r="B1532" s="7" t="s">
        <v>10</v>
      </c>
      <c r="C1532" s="8">
        <v>1888</v>
      </c>
      <c r="D1532" s="9">
        <v>45432</v>
      </c>
      <c r="E1532" s="13" t="str">
        <f>+HYPERLINK("http://trademark.i-assist.jp/data/china/image_1888th/77080337.pdf","77080337")</f>
        <v>77080337</v>
      </c>
      <c r="F1532" s="7" t="s">
        <v>4293</v>
      </c>
      <c r="G1532" s="7" t="s">
        <v>4291</v>
      </c>
      <c r="H1532" s="7" t="s">
        <v>4294</v>
      </c>
      <c r="I1532" s="9">
        <v>45355</v>
      </c>
    </row>
    <row r="1533" spans="1:9" x14ac:dyDescent="0.15">
      <c r="A1533" s="6">
        <v>1532</v>
      </c>
      <c r="B1533" s="7" t="s">
        <v>10</v>
      </c>
      <c r="C1533" s="8">
        <v>1888</v>
      </c>
      <c r="D1533" s="9">
        <v>45432</v>
      </c>
      <c r="E1533" s="13" t="str">
        <f>+HYPERLINK("http://trademark.i-assist.jp/data/china/image_1888th/77080728.pdf","77080728")</f>
        <v>77080728</v>
      </c>
      <c r="F1533" s="7" t="s">
        <v>4295</v>
      </c>
      <c r="G1533" s="7" t="s">
        <v>4296</v>
      </c>
      <c r="H1533" s="7" t="s">
        <v>4297</v>
      </c>
      <c r="I1533" s="9">
        <v>45355</v>
      </c>
    </row>
    <row r="1534" spans="1:9" x14ac:dyDescent="0.15">
      <c r="A1534" s="6">
        <v>1533</v>
      </c>
      <c r="B1534" s="7" t="s">
        <v>10</v>
      </c>
      <c r="C1534" s="8">
        <v>1888</v>
      </c>
      <c r="D1534" s="9">
        <v>45432</v>
      </c>
      <c r="E1534" s="13" t="str">
        <f>+HYPERLINK("http://trademark.i-assist.jp/data/china/image_1888th/77080745.pdf","77080745")</f>
        <v>77080745</v>
      </c>
      <c r="F1534" s="7" t="s">
        <v>4298</v>
      </c>
      <c r="G1534" s="7" t="s">
        <v>4299</v>
      </c>
      <c r="H1534" s="7" t="s">
        <v>4300</v>
      </c>
      <c r="I1534" s="9">
        <v>45355</v>
      </c>
    </row>
    <row r="1535" spans="1:9" x14ac:dyDescent="0.15">
      <c r="A1535" s="6">
        <v>1534</v>
      </c>
      <c r="B1535" s="7" t="s">
        <v>10</v>
      </c>
      <c r="C1535" s="8">
        <v>1888</v>
      </c>
      <c r="D1535" s="9">
        <v>45432</v>
      </c>
      <c r="E1535" s="13" t="str">
        <f>+HYPERLINK("http://trademark.i-assist.jp/data/china/image_1888th/77080820.pdf","77080820")</f>
        <v>77080820</v>
      </c>
      <c r="F1535" s="7" t="s">
        <v>4301</v>
      </c>
      <c r="G1535" s="7" t="s">
        <v>4302</v>
      </c>
      <c r="H1535" s="7" t="s">
        <v>4303</v>
      </c>
      <c r="I1535" s="9">
        <v>45355</v>
      </c>
    </row>
    <row r="1536" spans="1:9" x14ac:dyDescent="0.15">
      <c r="A1536" s="6">
        <v>1535</v>
      </c>
      <c r="B1536" s="7" t="s">
        <v>10</v>
      </c>
      <c r="C1536" s="8">
        <v>1888</v>
      </c>
      <c r="D1536" s="9">
        <v>45432</v>
      </c>
      <c r="E1536" s="13" t="str">
        <f>+HYPERLINK("http://trademark.i-assist.jp/data/china/image_1888th/77080832.pdf","77080832")</f>
        <v>77080832</v>
      </c>
      <c r="F1536" s="7" t="s">
        <v>4304</v>
      </c>
      <c r="G1536" s="7" t="s">
        <v>4305</v>
      </c>
      <c r="H1536" s="7" t="s">
        <v>4306</v>
      </c>
      <c r="I1536" s="9">
        <v>45355</v>
      </c>
    </row>
    <row r="1537" spans="1:9" x14ac:dyDescent="0.15">
      <c r="A1537" s="6">
        <v>1536</v>
      </c>
      <c r="B1537" s="7" t="s">
        <v>10</v>
      </c>
      <c r="C1537" s="8">
        <v>1888</v>
      </c>
      <c r="D1537" s="9">
        <v>45432</v>
      </c>
      <c r="E1537" s="13" t="str">
        <f>+HYPERLINK("http://trademark.i-assist.jp/data/china/image_1888th/77080868.pdf","77080868")</f>
        <v>77080868</v>
      </c>
      <c r="F1537" s="7" t="s">
        <v>4307</v>
      </c>
      <c r="G1537" s="7" t="s">
        <v>4308</v>
      </c>
      <c r="H1537" s="7" t="s">
        <v>4309</v>
      </c>
      <c r="I1537" s="9">
        <v>45355</v>
      </c>
    </row>
    <row r="1538" spans="1:9" x14ac:dyDescent="0.15">
      <c r="A1538" s="6">
        <v>1537</v>
      </c>
      <c r="B1538" s="7" t="s">
        <v>10</v>
      </c>
      <c r="C1538" s="8">
        <v>1888</v>
      </c>
      <c r="D1538" s="9">
        <v>45432</v>
      </c>
      <c r="E1538" s="13" t="str">
        <f>+HYPERLINK("http://trademark.i-assist.jp/data/china/image_1888th/77081219.pdf","77081219")</f>
        <v>77081219</v>
      </c>
      <c r="F1538" s="7" t="s">
        <v>4310</v>
      </c>
      <c r="G1538" s="7" t="s">
        <v>4311</v>
      </c>
      <c r="H1538" s="7" t="s">
        <v>4312</v>
      </c>
      <c r="I1538" s="9">
        <v>45355</v>
      </c>
    </row>
    <row r="1539" spans="1:9" x14ac:dyDescent="0.15">
      <c r="A1539" s="6">
        <v>1538</v>
      </c>
      <c r="B1539" s="7" t="s">
        <v>10</v>
      </c>
      <c r="C1539" s="8">
        <v>1888</v>
      </c>
      <c r="D1539" s="9">
        <v>45432</v>
      </c>
      <c r="E1539" s="13" t="str">
        <f>+HYPERLINK("http://trademark.i-assist.jp/data/china/image_1888th/77081496.pdf","77081496")</f>
        <v>77081496</v>
      </c>
      <c r="F1539" s="7" t="s">
        <v>4313</v>
      </c>
      <c r="G1539" s="7" t="s">
        <v>4314</v>
      </c>
      <c r="H1539" s="7" t="s">
        <v>4315</v>
      </c>
      <c r="I1539" s="9">
        <v>45355</v>
      </c>
    </row>
    <row r="1540" spans="1:9" x14ac:dyDescent="0.15">
      <c r="A1540" s="6">
        <v>1539</v>
      </c>
      <c r="B1540" s="7" t="s">
        <v>10</v>
      </c>
      <c r="C1540" s="8">
        <v>1888</v>
      </c>
      <c r="D1540" s="9">
        <v>45432</v>
      </c>
      <c r="E1540" s="13" t="str">
        <f>+HYPERLINK("http://trademark.i-assist.jp/data/china/image_1888th/77081515.pdf","77081515")</f>
        <v>77081515</v>
      </c>
      <c r="F1540" s="7" t="s">
        <v>4316</v>
      </c>
      <c r="G1540" s="7" t="s">
        <v>1705</v>
      </c>
      <c r="H1540" s="7" t="s">
        <v>4317</v>
      </c>
      <c r="I1540" s="9">
        <v>45355</v>
      </c>
    </row>
    <row r="1541" spans="1:9" x14ac:dyDescent="0.15">
      <c r="A1541" s="6">
        <v>1540</v>
      </c>
      <c r="B1541" s="7" t="s">
        <v>10</v>
      </c>
      <c r="C1541" s="8">
        <v>1888</v>
      </c>
      <c r="D1541" s="9">
        <v>45432</v>
      </c>
      <c r="E1541" s="13" t="str">
        <f>+HYPERLINK("http://trademark.i-assist.jp/data/china/image_1888th/77081525.pdf","77081525")</f>
        <v>77081525</v>
      </c>
      <c r="F1541" s="7" t="s">
        <v>4318</v>
      </c>
      <c r="G1541" s="7" t="s">
        <v>4319</v>
      </c>
      <c r="H1541" s="7" t="s">
        <v>4320</v>
      </c>
      <c r="I1541" s="9">
        <v>45355</v>
      </c>
    </row>
    <row r="1542" spans="1:9" x14ac:dyDescent="0.15">
      <c r="A1542" s="6">
        <v>1541</v>
      </c>
      <c r="B1542" s="7" t="s">
        <v>10</v>
      </c>
      <c r="C1542" s="8">
        <v>1888</v>
      </c>
      <c r="D1542" s="9">
        <v>45432</v>
      </c>
      <c r="E1542" s="13" t="str">
        <f>+HYPERLINK("http://trademark.i-assist.jp/data/china/image_1888th/77082052.pdf","77082052")</f>
        <v>77082052</v>
      </c>
      <c r="F1542" s="7" t="s">
        <v>4321</v>
      </c>
      <c r="G1542" s="7" t="s">
        <v>4322</v>
      </c>
      <c r="H1542" s="7" t="s">
        <v>4323</v>
      </c>
      <c r="I1542" s="9">
        <v>45355</v>
      </c>
    </row>
    <row r="1543" spans="1:9" ht="27" x14ac:dyDescent="0.15">
      <c r="A1543" s="6">
        <v>1542</v>
      </c>
      <c r="B1543" s="7" t="s">
        <v>10</v>
      </c>
      <c r="C1543" s="8">
        <v>1888</v>
      </c>
      <c r="D1543" s="9">
        <v>45432</v>
      </c>
      <c r="E1543" s="13" t="str">
        <f>+HYPERLINK("http://trademark.i-assist.jp/data/china/image_1888th/77082153.pdf","77082153")</f>
        <v>77082153</v>
      </c>
      <c r="F1543" s="7" t="s">
        <v>4324</v>
      </c>
      <c r="G1543" s="7" t="s">
        <v>1108</v>
      </c>
      <c r="H1543" s="7" t="s">
        <v>4325</v>
      </c>
      <c r="I1543" s="9">
        <v>45355</v>
      </c>
    </row>
    <row r="1544" spans="1:9" ht="27" x14ac:dyDescent="0.15">
      <c r="A1544" s="6">
        <v>1543</v>
      </c>
      <c r="B1544" s="7" t="s">
        <v>10</v>
      </c>
      <c r="C1544" s="8">
        <v>1888</v>
      </c>
      <c r="D1544" s="9">
        <v>45432</v>
      </c>
      <c r="E1544" s="13" t="str">
        <f>+HYPERLINK("http://trademark.i-assist.jp/data/china/image_1888th/77082300.pdf","77082300")</f>
        <v>77082300</v>
      </c>
      <c r="F1544" s="7" t="s">
        <v>4326</v>
      </c>
      <c r="G1544" s="7" t="s">
        <v>4291</v>
      </c>
      <c r="H1544" s="7" t="s">
        <v>4327</v>
      </c>
      <c r="I1544" s="9">
        <v>45355</v>
      </c>
    </row>
    <row r="1545" spans="1:9" x14ac:dyDescent="0.15">
      <c r="A1545" s="6">
        <v>1544</v>
      </c>
      <c r="B1545" s="7" t="s">
        <v>10</v>
      </c>
      <c r="C1545" s="8">
        <v>1888</v>
      </c>
      <c r="D1545" s="9">
        <v>45432</v>
      </c>
      <c r="E1545" s="13" t="str">
        <f>+HYPERLINK("http://trademark.i-assist.jp/data/china/image_1888th/77082307.pdf","77082307")</f>
        <v>77082307</v>
      </c>
      <c r="F1545" s="7" t="s">
        <v>4328</v>
      </c>
      <c r="G1545" s="7" t="s">
        <v>4329</v>
      </c>
      <c r="H1545" s="7" t="s">
        <v>4330</v>
      </c>
      <c r="I1545" s="9">
        <v>45355</v>
      </c>
    </row>
    <row r="1546" spans="1:9" x14ac:dyDescent="0.15">
      <c r="A1546" s="6">
        <v>1545</v>
      </c>
      <c r="B1546" s="7" t="s">
        <v>10</v>
      </c>
      <c r="C1546" s="8">
        <v>1888</v>
      </c>
      <c r="D1546" s="9">
        <v>45432</v>
      </c>
      <c r="E1546" s="13" t="str">
        <f>+HYPERLINK("http://trademark.i-assist.jp/data/china/image_1888th/77082497.pdf","77082497")</f>
        <v>77082497</v>
      </c>
      <c r="F1546" s="7" t="s">
        <v>4331</v>
      </c>
      <c r="G1546" s="7" t="s">
        <v>4332</v>
      </c>
      <c r="H1546" s="7" t="s">
        <v>4333</v>
      </c>
      <c r="I1546" s="9">
        <v>45355</v>
      </c>
    </row>
    <row r="1547" spans="1:9" x14ac:dyDescent="0.15">
      <c r="A1547" s="6">
        <v>1546</v>
      </c>
      <c r="B1547" s="7" t="s">
        <v>10</v>
      </c>
      <c r="C1547" s="8">
        <v>1888</v>
      </c>
      <c r="D1547" s="9">
        <v>45432</v>
      </c>
      <c r="E1547" s="13" t="str">
        <f>+HYPERLINK("http://trademark.i-assist.jp/data/china/image_1888th/77082686.pdf","77082686")</f>
        <v>77082686</v>
      </c>
      <c r="F1547" s="7" t="s">
        <v>4334</v>
      </c>
      <c r="G1547" s="7" t="s">
        <v>3018</v>
      </c>
      <c r="H1547" s="7" t="s">
        <v>4335</v>
      </c>
      <c r="I1547" s="9">
        <v>45355</v>
      </c>
    </row>
    <row r="1548" spans="1:9" x14ac:dyDescent="0.15">
      <c r="A1548" s="6">
        <v>1547</v>
      </c>
      <c r="B1548" s="7" t="s">
        <v>10</v>
      </c>
      <c r="C1548" s="8">
        <v>1888</v>
      </c>
      <c r="D1548" s="9">
        <v>45432</v>
      </c>
      <c r="E1548" s="13" t="str">
        <f>+HYPERLINK("http://trademark.i-assist.jp/data/china/image_1888th/77082759.pdf","77082759")</f>
        <v>77082759</v>
      </c>
      <c r="F1548" s="7" t="s">
        <v>4336</v>
      </c>
      <c r="G1548" s="7" t="s">
        <v>4337</v>
      </c>
      <c r="H1548" s="7" t="s">
        <v>4338</v>
      </c>
      <c r="I1548" s="9">
        <v>45355</v>
      </c>
    </row>
    <row r="1549" spans="1:9" x14ac:dyDescent="0.15">
      <c r="A1549" s="6">
        <v>1548</v>
      </c>
      <c r="B1549" s="7" t="s">
        <v>10</v>
      </c>
      <c r="C1549" s="8">
        <v>1888</v>
      </c>
      <c r="D1549" s="9">
        <v>45432</v>
      </c>
      <c r="E1549" s="13" t="str">
        <f>+HYPERLINK("http://trademark.i-assist.jp/data/china/image_1888th/77082996.pdf","77082996")</f>
        <v>77082996</v>
      </c>
      <c r="F1549" s="7" t="s">
        <v>4339</v>
      </c>
      <c r="G1549" s="7" t="s">
        <v>4340</v>
      </c>
      <c r="H1549" s="7" t="s">
        <v>4341</v>
      </c>
      <c r="I1549" s="9">
        <v>45355</v>
      </c>
    </row>
    <row r="1550" spans="1:9" x14ac:dyDescent="0.15">
      <c r="A1550" s="6">
        <v>1549</v>
      </c>
      <c r="B1550" s="7" t="s">
        <v>10</v>
      </c>
      <c r="C1550" s="8">
        <v>1888</v>
      </c>
      <c r="D1550" s="9">
        <v>45432</v>
      </c>
      <c r="E1550" s="13" t="str">
        <f>+HYPERLINK("http://trademark.i-assist.jp/data/china/image_1888th/77083029.pdf","77083029")</f>
        <v>77083029</v>
      </c>
      <c r="F1550" s="7" t="s">
        <v>4342</v>
      </c>
      <c r="G1550" s="7" t="s">
        <v>4343</v>
      </c>
      <c r="H1550" s="7" t="s">
        <v>4344</v>
      </c>
      <c r="I1550" s="9">
        <v>45355</v>
      </c>
    </row>
    <row r="1551" spans="1:9" x14ac:dyDescent="0.15">
      <c r="A1551" s="6">
        <v>1550</v>
      </c>
      <c r="B1551" s="7" t="s">
        <v>10</v>
      </c>
      <c r="C1551" s="8">
        <v>1888</v>
      </c>
      <c r="D1551" s="9">
        <v>45432</v>
      </c>
      <c r="E1551" s="13" t="str">
        <f>+HYPERLINK("http://trademark.i-assist.jp/data/china/image_1888th/77083059.pdf","77083059")</f>
        <v>77083059</v>
      </c>
      <c r="F1551" s="7" t="s">
        <v>4345</v>
      </c>
      <c r="G1551" s="7" t="s">
        <v>4346</v>
      </c>
      <c r="H1551" s="7" t="s">
        <v>4347</v>
      </c>
      <c r="I1551" s="9">
        <v>45355</v>
      </c>
    </row>
    <row r="1552" spans="1:9" ht="27" x14ac:dyDescent="0.15">
      <c r="A1552" s="6">
        <v>1551</v>
      </c>
      <c r="B1552" s="7" t="s">
        <v>10</v>
      </c>
      <c r="C1552" s="8">
        <v>1888</v>
      </c>
      <c r="D1552" s="9">
        <v>45432</v>
      </c>
      <c r="E1552" s="13" t="str">
        <f>+HYPERLINK("http://trademark.i-assist.jp/data/china/image_1888th/77083185.pdf","77083185")</f>
        <v>77083185</v>
      </c>
      <c r="F1552" s="7" t="s">
        <v>4219</v>
      </c>
      <c r="G1552" s="7" t="s">
        <v>4220</v>
      </c>
      <c r="H1552" s="7" t="s">
        <v>4348</v>
      </c>
      <c r="I1552" s="9">
        <v>45355</v>
      </c>
    </row>
    <row r="1553" spans="1:9" x14ac:dyDescent="0.15">
      <c r="A1553" s="6">
        <v>1552</v>
      </c>
      <c r="B1553" s="7" t="s">
        <v>10</v>
      </c>
      <c r="C1553" s="8">
        <v>1888</v>
      </c>
      <c r="D1553" s="9">
        <v>45432</v>
      </c>
      <c r="E1553" s="13" t="str">
        <f>+HYPERLINK("http://trademark.i-assist.jp/data/china/image_1888th/77083478.pdf","77083478")</f>
        <v>77083478</v>
      </c>
      <c r="F1553" s="7" t="s">
        <v>4349</v>
      </c>
      <c r="G1553" s="7" t="s">
        <v>4350</v>
      </c>
      <c r="H1553" s="7" t="s">
        <v>4351</v>
      </c>
      <c r="I1553" s="9">
        <v>45355</v>
      </c>
    </row>
    <row r="1554" spans="1:9" x14ac:dyDescent="0.15">
      <c r="A1554" s="6">
        <v>1553</v>
      </c>
      <c r="B1554" s="7" t="s">
        <v>10</v>
      </c>
      <c r="C1554" s="8">
        <v>1888</v>
      </c>
      <c r="D1554" s="9">
        <v>45432</v>
      </c>
      <c r="E1554" s="13" t="str">
        <f>+HYPERLINK("http://trademark.i-assist.jp/data/china/image_1888th/77083811.pdf","77083811")</f>
        <v>77083811</v>
      </c>
      <c r="F1554" s="7" t="s">
        <v>4352</v>
      </c>
      <c r="G1554" s="7" t="s">
        <v>4217</v>
      </c>
      <c r="H1554" s="7" t="s">
        <v>4353</v>
      </c>
      <c r="I1554" s="9">
        <v>45355</v>
      </c>
    </row>
    <row r="1555" spans="1:9" x14ac:dyDescent="0.15">
      <c r="A1555" s="6">
        <v>1554</v>
      </c>
      <c r="B1555" s="7" t="s">
        <v>10</v>
      </c>
      <c r="C1555" s="8">
        <v>1888</v>
      </c>
      <c r="D1555" s="9">
        <v>45432</v>
      </c>
      <c r="E1555" s="13" t="str">
        <f>+HYPERLINK("http://trademark.i-assist.jp/data/china/image_1888th/77083909.pdf","77083909")</f>
        <v>77083909</v>
      </c>
      <c r="F1555" s="7" t="s">
        <v>4354</v>
      </c>
      <c r="G1555" s="7" t="s">
        <v>4355</v>
      </c>
      <c r="H1555" s="7" t="s">
        <v>4356</v>
      </c>
      <c r="I1555" s="9">
        <v>45355</v>
      </c>
    </row>
    <row r="1556" spans="1:9" x14ac:dyDescent="0.15">
      <c r="A1556" s="6">
        <v>1555</v>
      </c>
      <c r="B1556" s="7" t="s">
        <v>10</v>
      </c>
      <c r="C1556" s="8">
        <v>1888</v>
      </c>
      <c r="D1556" s="9">
        <v>45432</v>
      </c>
      <c r="E1556" s="13" t="str">
        <f>+HYPERLINK("http://trademark.i-assist.jp/data/china/image_1888th/77083947.pdf","77083947")</f>
        <v>77083947</v>
      </c>
      <c r="F1556" s="7" t="s">
        <v>4357</v>
      </c>
      <c r="G1556" s="7" t="s">
        <v>4358</v>
      </c>
      <c r="H1556" s="7" t="s">
        <v>4359</v>
      </c>
      <c r="I1556" s="9">
        <v>45355</v>
      </c>
    </row>
    <row r="1557" spans="1:9" x14ac:dyDescent="0.15">
      <c r="A1557" s="6">
        <v>1556</v>
      </c>
      <c r="B1557" s="7" t="s">
        <v>10</v>
      </c>
      <c r="C1557" s="8">
        <v>1888</v>
      </c>
      <c r="D1557" s="9">
        <v>45432</v>
      </c>
      <c r="E1557" s="13" t="str">
        <f>+HYPERLINK("http://trademark.i-assist.jp/data/china/image_1888th/77083963.pdf","77083963")</f>
        <v>77083963</v>
      </c>
      <c r="F1557" s="7" t="s">
        <v>4360</v>
      </c>
      <c r="G1557" s="7" t="s">
        <v>4361</v>
      </c>
      <c r="H1557" s="7" t="s">
        <v>4362</v>
      </c>
      <c r="I1557" s="9">
        <v>45355</v>
      </c>
    </row>
    <row r="1558" spans="1:9" x14ac:dyDescent="0.15">
      <c r="A1558" s="6">
        <v>1557</v>
      </c>
      <c r="B1558" s="7" t="s">
        <v>10</v>
      </c>
      <c r="C1558" s="8">
        <v>1888</v>
      </c>
      <c r="D1558" s="9">
        <v>45432</v>
      </c>
      <c r="E1558" s="13" t="str">
        <f>+HYPERLINK("http://trademark.i-assist.jp/data/china/image_1888th/77084240.pdf","77084240")</f>
        <v>77084240</v>
      </c>
      <c r="F1558" s="7" t="s">
        <v>4363</v>
      </c>
      <c r="G1558" s="7" t="s">
        <v>4364</v>
      </c>
      <c r="H1558" s="7" t="s">
        <v>4365</v>
      </c>
      <c r="I1558" s="9">
        <v>45355</v>
      </c>
    </row>
    <row r="1559" spans="1:9" x14ac:dyDescent="0.15">
      <c r="A1559" s="6">
        <v>1558</v>
      </c>
      <c r="B1559" s="7" t="s">
        <v>10</v>
      </c>
      <c r="C1559" s="8">
        <v>1888</v>
      </c>
      <c r="D1559" s="9">
        <v>45432</v>
      </c>
      <c r="E1559" s="13" t="str">
        <f>+HYPERLINK("http://trademark.i-assist.jp/data/china/image_1888th/77084326.pdf","77084326")</f>
        <v>77084326</v>
      </c>
      <c r="F1559" s="7" t="s">
        <v>4366</v>
      </c>
      <c r="G1559" s="7" t="s">
        <v>4367</v>
      </c>
      <c r="H1559" s="7" t="s">
        <v>4368</v>
      </c>
      <c r="I1559" s="9">
        <v>45355</v>
      </c>
    </row>
    <row r="1560" spans="1:9" x14ac:dyDescent="0.15">
      <c r="A1560" s="6">
        <v>1559</v>
      </c>
      <c r="B1560" s="7" t="s">
        <v>10</v>
      </c>
      <c r="C1560" s="8">
        <v>1888</v>
      </c>
      <c r="D1560" s="9">
        <v>45432</v>
      </c>
      <c r="E1560" s="13" t="str">
        <f>+HYPERLINK("http://trademark.i-assist.jp/data/china/image_1888th/77084415.pdf","77084415")</f>
        <v>77084415</v>
      </c>
      <c r="F1560" s="7" t="s">
        <v>4369</v>
      </c>
      <c r="G1560" s="7" t="s">
        <v>4370</v>
      </c>
      <c r="H1560" s="7" t="s">
        <v>4371</v>
      </c>
      <c r="I1560" s="9">
        <v>45355</v>
      </c>
    </row>
    <row r="1561" spans="1:9" ht="27" x14ac:dyDescent="0.15">
      <c r="A1561" s="6">
        <v>1560</v>
      </c>
      <c r="B1561" s="7" t="s">
        <v>10</v>
      </c>
      <c r="C1561" s="8">
        <v>1888</v>
      </c>
      <c r="D1561" s="9">
        <v>45432</v>
      </c>
      <c r="E1561" s="13" t="str">
        <f>+HYPERLINK("http://trademark.i-assist.jp/data/china/image_1888th/77084436.pdf","77084436")</f>
        <v>77084436</v>
      </c>
      <c r="F1561" s="7" t="s">
        <v>4372</v>
      </c>
      <c r="G1561" s="7" t="s">
        <v>4291</v>
      </c>
      <c r="H1561" s="7" t="s">
        <v>4373</v>
      </c>
      <c r="I1561" s="9">
        <v>45355</v>
      </c>
    </row>
    <row r="1562" spans="1:9" ht="27" x14ac:dyDescent="0.15">
      <c r="A1562" s="6">
        <v>1561</v>
      </c>
      <c r="B1562" s="7" t="s">
        <v>10</v>
      </c>
      <c r="C1562" s="8">
        <v>1888</v>
      </c>
      <c r="D1562" s="9">
        <v>45432</v>
      </c>
      <c r="E1562" s="13" t="str">
        <f>+HYPERLINK("http://trademark.i-assist.jp/data/china/image_1888th/77084510.pdf","77084510")</f>
        <v>77084510</v>
      </c>
      <c r="F1562" s="7" t="s">
        <v>4374</v>
      </c>
      <c r="G1562" s="7" t="s">
        <v>4375</v>
      </c>
      <c r="H1562" s="7" t="s">
        <v>4376</v>
      </c>
      <c r="I1562" s="9">
        <v>45355</v>
      </c>
    </row>
    <row r="1563" spans="1:9" x14ac:dyDescent="0.15">
      <c r="A1563" s="6">
        <v>1562</v>
      </c>
      <c r="B1563" s="7" t="s">
        <v>10</v>
      </c>
      <c r="C1563" s="8">
        <v>1888</v>
      </c>
      <c r="D1563" s="9">
        <v>45432</v>
      </c>
      <c r="E1563" s="13" t="str">
        <f>+HYPERLINK("http://trademark.i-assist.jp/data/china/image_1888th/77084670.pdf","77084670")</f>
        <v>77084670</v>
      </c>
      <c r="F1563" s="7" t="s">
        <v>4377</v>
      </c>
      <c r="G1563" s="7" t="s">
        <v>4378</v>
      </c>
      <c r="H1563" s="7" t="s">
        <v>4379</v>
      </c>
      <c r="I1563" s="9">
        <v>45355</v>
      </c>
    </row>
    <row r="1564" spans="1:9" x14ac:dyDescent="0.15">
      <c r="A1564" s="6">
        <v>1563</v>
      </c>
      <c r="B1564" s="7" t="s">
        <v>10</v>
      </c>
      <c r="C1564" s="8">
        <v>1888</v>
      </c>
      <c r="D1564" s="9">
        <v>45432</v>
      </c>
      <c r="E1564" s="13" t="str">
        <f>+HYPERLINK("http://trademark.i-assist.jp/data/china/image_1888th/77085160.pdf","77085160")</f>
        <v>77085160</v>
      </c>
      <c r="F1564" s="7" t="s">
        <v>4380</v>
      </c>
      <c r="G1564" s="7" t="s">
        <v>4381</v>
      </c>
      <c r="H1564" s="7" t="s">
        <v>4382</v>
      </c>
      <c r="I1564" s="9">
        <v>45355</v>
      </c>
    </row>
    <row r="1565" spans="1:9" x14ac:dyDescent="0.15">
      <c r="A1565" s="6">
        <v>1564</v>
      </c>
      <c r="B1565" s="7" t="s">
        <v>10</v>
      </c>
      <c r="C1565" s="8">
        <v>1888</v>
      </c>
      <c r="D1565" s="9">
        <v>45432</v>
      </c>
      <c r="E1565" s="13" t="str">
        <f>+HYPERLINK("http://trademark.i-assist.jp/data/china/image_1888th/77085416.pdf","77085416")</f>
        <v>77085416</v>
      </c>
      <c r="F1565" s="7" t="s">
        <v>4383</v>
      </c>
      <c r="G1565" s="7" t="s">
        <v>4384</v>
      </c>
      <c r="H1565" s="7" t="s">
        <v>4385</v>
      </c>
      <c r="I1565" s="9">
        <v>45355</v>
      </c>
    </row>
    <row r="1566" spans="1:9" ht="27" x14ac:dyDescent="0.15">
      <c r="A1566" s="6">
        <v>1565</v>
      </c>
      <c r="B1566" s="7" t="s">
        <v>10</v>
      </c>
      <c r="C1566" s="8">
        <v>1888</v>
      </c>
      <c r="D1566" s="9">
        <v>45432</v>
      </c>
      <c r="E1566" s="13" t="str">
        <f>+HYPERLINK("http://trademark.i-assist.jp/data/china/image_1888th/77085460.pdf","77085460")</f>
        <v>77085460</v>
      </c>
      <c r="F1566" s="7" t="s">
        <v>4386</v>
      </c>
      <c r="G1566" s="7" t="s">
        <v>4211</v>
      </c>
      <c r="H1566" s="7" t="s">
        <v>4387</v>
      </c>
      <c r="I1566" s="9">
        <v>45355</v>
      </c>
    </row>
    <row r="1567" spans="1:9" x14ac:dyDescent="0.15">
      <c r="A1567" s="6">
        <v>1566</v>
      </c>
      <c r="B1567" s="7" t="s">
        <v>10</v>
      </c>
      <c r="C1567" s="8">
        <v>1888</v>
      </c>
      <c r="D1567" s="9">
        <v>45432</v>
      </c>
      <c r="E1567" s="13" t="str">
        <f>+HYPERLINK("http://trademark.i-assist.jp/data/china/image_1888th/77085746.pdf","77085746")</f>
        <v>77085746</v>
      </c>
      <c r="F1567" s="7" t="s">
        <v>4388</v>
      </c>
      <c r="G1567" s="7" t="s">
        <v>4166</v>
      </c>
      <c r="H1567" s="7" t="s">
        <v>4389</v>
      </c>
      <c r="I1567" s="9">
        <v>45355</v>
      </c>
    </row>
    <row r="1568" spans="1:9" ht="27" x14ac:dyDescent="0.15">
      <c r="A1568" s="6">
        <v>1567</v>
      </c>
      <c r="B1568" s="7" t="s">
        <v>10</v>
      </c>
      <c r="C1568" s="8">
        <v>1888</v>
      </c>
      <c r="D1568" s="9">
        <v>45432</v>
      </c>
      <c r="E1568" s="13" t="str">
        <f>+HYPERLINK("http://trademark.i-assist.jp/data/china/image_1888th/77085804.pdf","77085804")</f>
        <v>77085804</v>
      </c>
      <c r="F1568" s="7" t="s">
        <v>4390</v>
      </c>
      <c r="G1568" s="7" t="s">
        <v>4211</v>
      </c>
      <c r="H1568" s="7" t="s">
        <v>4391</v>
      </c>
      <c r="I1568" s="9">
        <v>45355</v>
      </c>
    </row>
    <row r="1569" spans="1:9" ht="27" x14ac:dyDescent="0.15">
      <c r="A1569" s="6">
        <v>1568</v>
      </c>
      <c r="B1569" s="7" t="s">
        <v>10</v>
      </c>
      <c r="C1569" s="8">
        <v>1888</v>
      </c>
      <c r="D1569" s="9">
        <v>45432</v>
      </c>
      <c r="E1569" s="13" t="str">
        <f>+HYPERLINK("http://trademark.i-assist.jp/data/china/image_1888th/77085990.pdf","77085990")</f>
        <v>77085990</v>
      </c>
      <c r="F1569" s="7" t="s">
        <v>4392</v>
      </c>
      <c r="G1569" s="7" t="s">
        <v>4291</v>
      </c>
      <c r="H1569" s="7" t="s">
        <v>4393</v>
      </c>
      <c r="I1569" s="9">
        <v>45355</v>
      </c>
    </row>
    <row r="1570" spans="1:9" x14ac:dyDescent="0.15">
      <c r="A1570" s="6">
        <v>1569</v>
      </c>
      <c r="B1570" s="7" t="s">
        <v>10</v>
      </c>
      <c r="C1570" s="8">
        <v>1888</v>
      </c>
      <c r="D1570" s="9">
        <v>45432</v>
      </c>
      <c r="E1570" s="13" t="str">
        <f>+HYPERLINK("http://trademark.i-assist.jp/data/china/image_1888th/77086004.pdf","77086004")</f>
        <v>77086004</v>
      </c>
      <c r="F1570" s="7" t="s">
        <v>4394</v>
      </c>
      <c r="G1570" s="7" t="s">
        <v>4395</v>
      </c>
      <c r="H1570" s="7" t="s">
        <v>4396</v>
      </c>
      <c r="I1570" s="9">
        <v>45355</v>
      </c>
    </row>
    <row r="1571" spans="1:9" ht="27" x14ac:dyDescent="0.15">
      <c r="A1571" s="6">
        <v>1570</v>
      </c>
      <c r="B1571" s="7" t="s">
        <v>10</v>
      </c>
      <c r="C1571" s="8">
        <v>1888</v>
      </c>
      <c r="D1571" s="9">
        <v>45432</v>
      </c>
      <c r="E1571" s="13" t="str">
        <f>+HYPERLINK("http://trademark.i-assist.jp/data/china/image_1888th/77086045.pdf","77086045")</f>
        <v>77086045</v>
      </c>
      <c r="F1571" s="7" t="s">
        <v>4397</v>
      </c>
      <c r="G1571" s="7" t="s">
        <v>4398</v>
      </c>
      <c r="H1571" s="7" t="s">
        <v>4399</v>
      </c>
      <c r="I1571" s="9">
        <v>45355</v>
      </c>
    </row>
    <row r="1572" spans="1:9" x14ac:dyDescent="0.15">
      <c r="A1572" s="6">
        <v>1571</v>
      </c>
      <c r="B1572" s="7" t="s">
        <v>10</v>
      </c>
      <c r="C1572" s="8">
        <v>1888</v>
      </c>
      <c r="D1572" s="9">
        <v>45432</v>
      </c>
      <c r="E1572" s="13" t="str">
        <f>+HYPERLINK("http://trademark.i-assist.jp/data/china/image_1888th/77086330.pdf","77086330")</f>
        <v>77086330</v>
      </c>
      <c r="F1572" s="7" t="s">
        <v>4400</v>
      </c>
      <c r="G1572" s="7" t="s">
        <v>4401</v>
      </c>
      <c r="H1572" s="7" t="s">
        <v>4402</v>
      </c>
      <c r="I1572" s="9">
        <v>45355</v>
      </c>
    </row>
    <row r="1573" spans="1:9" x14ac:dyDescent="0.15">
      <c r="A1573" s="6">
        <v>1572</v>
      </c>
      <c r="B1573" s="7" t="s">
        <v>10</v>
      </c>
      <c r="C1573" s="8">
        <v>1888</v>
      </c>
      <c r="D1573" s="9">
        <v>45432</v>
      </c>
      <c r="E1573" s="13" t="str">
        <f>+HYPERLINK("http://trademark.i-assist.jp/data/china/image_1888th/77086417.pdf","77086417")</f>
        <v>77086417</v>
      </c>
      <c r="F1573" s="7" t="s">
        <v>4403</v>
      </c>
      <c r="G1573" s="7" t="s">
        <v>4404</v>
      </c>
      <c r="H1573" s="7" t="s">
        <v>4405</v>
      </c>
      <c r="I1573" s="9">
        <v>45355</v>
      </c>
    </row>
    <row r="1574" spans="1:9" x14ac:dyDescent="0.15">
      <c r="A1574" s="6">
        <v>1573</v>
      </c>
      <c r="B1574" s="7" t="s">
        <v>10</v>
      </c>
      <c r="C1574" s="8">
        <v>1888</v>
      </c>
      <c r="D1574" s="9">
        <v>45432</v>
      </c>
      <c r="E1574" s="13" t="str">
        <f>+HYPERLINK("http://trademark.i-assist.jp/data/china/image_1888th/77086696.pdf","77086696")</f>
        <v>77086696</v>
      </c>
      <c r="F1574" s="7" t="s">
        <v>4406</v>
      </c>
      <c r="G1574" s="7" t="s">
        <v>4407</v>
      </c>
      <c r="H1574" s="7" t="s">
        <v>4408</v>
      </c>
      <c r="I1574" s="9">
        <v>45355</v>
      </c>
    </row>
    <row r="1575" spans="1:9" x14ac:dyDescent="0.15">
      <c r="A1575" s="6">
        <v>1574</v>
      </c>
      <c r="B1575" s="7" t="s">
        <v>10</v>
      </c>
      <c r="C1575" s="8">
        <v>1888</v>
      </c>
      <c r="D1575" s="9">
        <v>45432</v>
      </c>
      <c r="E1575" s="13" t="str">
        <f>+HYPERLINK("http://trademark.i-assist.jp/data/china/image_1888th/77086786.pdf","77086786")</f>
        <v>77086786</v>
      </c>
      <c r="F1575" s="7" t="s">
        <v>4409</v>
      </c>
      <c r="G1575" s="7" t="s">
        <v>4410</v>
      </c>
      <c r="H1575" s="7" t="s">
        <v>4411</v>
      </c>
      <c r="I1575" s="9">
        <v>45355</v>
      </c>
    </row>
    <row r="1576" spans="1:9" ht="27" x14ac:dyDescent="0.15">
      <c r="A1576" s="6">
        <v>1575</v>
      </c>
      <c r="B1576" s="7" t="s">
        <v>10</v>
      </c>
      <c r="C1576" s="8">
        <v>1888</v>
      </c>
      <c r="D1576" s="9">
        <v>45432</v>
      </c>
      <c r="E1576" s="13" t="str">
        <f>+HYPERLINK("http://trademark.i-assist.jp/data/china/image_1888th/77086787.pdf","77086787")</f>
        <v>77086787</v>
      </c>
      <c r="F1576" s="7" t="s">
        <v>4412</v>
      </c>
      <c r="G1576" s="7" t="s">
        <v>4413</v>
      </c>
      <c r="H1576" s="7" t="s">
        <v>4414</v>
      </c>
      <c r="I1576" s="9">
        <v>45355</v>
      </c>
    </row>
    <row r="1577" spans="1:9" x14ac:dyDescent="0.15">
      <c r="A1577" s="6">
        <v>1576</v>
      </c>
      <c r="B1577" s="7" t="s">
        <v>10</v>
      </c>
      <c r="C1577" s="8">
        <v>1888</v>
      </c>
      <c r="D1577" s="9">
        <v>45432</v>
      </c>
      <c r="E1577" s="13" t="str">
        <f>+HYPERLINK("http://trademark.i-assist.jp/data/china/image_1888th/77086809.pdf","77086809")</f>
        <v>77086809</v>
      </c>
      <c r="F1577" s="7" t="s">
        <v>4415</v>
      </c>
      <c r="G1577" s="7" t="s">
        <v>4416</v>
      </c>
      <c r="H1577" s="7" t="s">
        <v>4417</v>
      </c>
      <c r="I1577" s="9">
        <v>45355</v>
      </c>
    </row>
    <row r="1578" spans="1:9" ht="27" x14ac:dyDescent="0.15">
      <c r="A1578" s="6">
        <v>1577</v>
      </c>
      <c r="B1578" s="7" t="s">
        <v>10</v>
      </c>
      <c r="C1578" s="8">
        <v>1888</v>
      </c>
      <c r="D1578" s="9">
        <v>45432</v>
      </c>
      <c r="E1578" s="13" t="str">
        <f>+HYPERLINK("http://trademark.i-assist.jp/data/china/image_1888th/77086897.pdf","77086897")</f>
        <v>77086897</v>
      </c>
      <c r="F1578" s="7" t="s">
        <v>4418</v>
      </c>
      <c r="G1578" s="7" t="s">
        <v>4291</v>
      </c>
      <c r="H1578" s="7" t="s">
        <v>4419</v>
      </c>
      <c r="I1578" s="9">
        <v>45355</v>
      </c>
    </row>
    <row r="1579" spans="1:9" x14ac:dyDescent="0.15">
      <c r="A1579" s="6">
        <v>1578</v>
      </c>
      <c r="B1579" s="7" t="s">
        <v>10</v>
      </c>
      <c r="C1579" s="8">
        <v>1888</v>
      </c>
      <c r="D1579" s="9">
        <v>45432</v>
      </c>
      <c r="E1579" s="13" t="str">
        <f>+HYPERLINK("http://trademark.i-assist.jp/data/china/image_1888th/77086930.pdf","77086930")</f>
        <v>77086930</v>
      </c>
      <c r="F1579" s="7" t="s">
        <v>4420</v>
      </c>
      <c r="G1579" s="7" t="s">
        <v>4112</v>
      </c>
      <c r="H1579" s="7" t="s">
        <v>4421</v>
      </c>
      <c r="I1579" s="9">
        <v>45355</v>
      </c>
    </row>
    <row r="1580" spans="1:9" x14ac:dyDescent="0.15">
      <c r="A1580" s="6">
        <v>1579</v>
      </c>
      <c r="B1580" s="7" t="s">
        <v>10</v>
      </c>
      <c r="C1580" s="8">
        <v>1888</v>
      </c>
      <c r="D1580" s="9">
        <v>45432</v>
      </c>
      <c r="E1580" s="13" t="str">
        <f>+HYPERLINK("http://trademark.i-assist.jp/data/china/image_1888th/77087123.pdf","77087123")</f>
        <v>77087123</v>
      </c>
      <c r="F1580" s="7" t="s">
        <v>4422</v>
      </c>
      <c r="G1580" s="7" t="s">
        <v>4423</v>
      </c>
      <c r="H1580" s="7" t="s">
        <v>4424</v>
      </c>
      <c r="I1580" s="9">
        <v>45355</v>
      </c>
    </row>
    <row r="1581" spans="1:9" x14ac:dyDescent="0.15">
      <c r="A1581" s="6">
        <v>1580</v>
      </c>
      <c r="B1581" s="7" t="s">
        <v>10</v>
      </c>
      <c r="C1581" s="8">
        <v>1888</v>
      </c>
      <c r="D1581" s="9">
        <v>45432</v>
      </c>
      <c r="E1581" s="13" t="str">
        <f>+HYPERLINK("http://trademark.i-assist.jp/data/china/image_1888th/77087153.pdf","77087153")</f>
        <v>77087153</v>
      </c>
      <c r="F1581" s="7" t="s">
        <v>4425</v>
      </c>
      <c r="G1581" s="7" t="s">
        <v>4426</v>
      </c>
      <c r="H1581" s="7" t="s">
        <v>4427</v>
      </c>
      <c r="I1581" s="9">
        <v>45355</v>
      </c>
    </row>
    <row r="1582" spans="1:9" x14ac:dyDescent="0.15">
      <c r="A1582" s="6">
        <v>1581</v>
      </c>
      <c r="B1582" s="7" t="s">
        <v>10</v>
      </c>
      <c r="C1582" s="8">
        <v>1888</v>
      </c>
      <c r="D1582" s="9">
        <v>45432</v>
      </c>
      <c r="E1582" s="13" t="str">
        <f>+HYPERLINK("http://trademark.i-assist.jp/data/china/image_1888th/77087238.pdf","77087238")</f>
        <v>77087238</v>
      </c>
      <c r="F1582" s="7" t="s">
        <v>4428</v>
      </c>
      <c r="G1582" s="7" t="s">
        <v>4163</v>
      </c>
      <c r="H1582" s="7" t="s">
        <v>4429</v>
      </c>
      <c r="I1582" s="9">
        <v>45355</v>
      </c>
    </row>
    <row r="1583" spans="1:9" x14ac:dyDescent="0.15">
      <c r="A1583" s="6">
        <v>1582</v>
      </c>
      <c r="B1583" s="7" t="s">
        <v>10</v>
      </c>
      <c r="C1583" s="8">
        <v>1888</v>
      </c>
      <c r="D1583" s="9">
        <v>45432</v>
      </c>
      <c r="E1583" s="13" t="str">
        <f>+HYPERLINK("http://trademark.i-assist.jp/data/china/image_1888th/77087356.pdf","77087356")</f>
        <v>77087356</v>
      </c>
      <c r="F1583" s="7" t="s">
        <v>4430</v>
      </c>
      <c r="G1583" s="7" t="s">
        <v>4431</v>
      </c>
      <c r="H1583" s="7" t="s">
        <v>4432</v>
      </c>
      <c r="I1583" s="9">
        <v>45355</v>
      </c>
    </row>
    <row r="1584" spans="1:9" x14ac:dyDescent="0.15">
      <c r="A1584" s="6">
        <v>1583</v>
      </c>
      <c r="B1584" s="7" t="s">
        <v>10</v>
      </c>
      <c r="C1584" s="8">
        <v>1888</v>
      </c>
      <c r="D1584" s="9">
        <v>45432</v>
      </c>
      <c r="E1584" s="13" t="str">
        <f>+HYPERLINK("http://trademark.i-assist.jp/data/china/image_1888th/77087368.pdf","77087368")</f>
        <v>77087368</v>
      </c>
      <c r="F1584" s="7" t="s">
        <v>4433</v>
      </c>
      <c r="G1584" s="7" t="s">
        <v>4434</v>
      </c>
      <c r="H1584" s="7" t="s">
        <v>4435</v>
      </c>
      <c r="I1584" s="9">
        <v>45355</v>
      </c>
    </row>
    <row r="1585" spans="1:9" x14ac:dyDescent="0.15">
      <c r="A1585" s="6">
        <v>1584</v>
      </c>
      <c r="B1585" s="7" t="s">
        <v>10</v>
      </c>
      <c r="C1585" s="8">
        <v>1888</v>
      </c>
      <c r="D1585" s="9">
        <v>45432</v>
      </c>
      <c r="E1585" s="13" t="str">
        <f>+HYPERLINK("http://trademark.i-assist.jp/data/china/image_1888th/77087383.pdf","77087383")</f>
        <v>77087383</v>
      </c>
      <c r="F1585" s="7" t="s">
        <v>4436</v>
      </c>
      <c r="G1585" s="7" t="s">
        <v>4437</v>
      </c>
      <c r="H1585" s="7" t="s">
        <v>4438</v>
      </c>
      <c r="I1585" s="9">
        <v>45355</v>
      </c>
    </row>
    <row r="1586" spans="1:9" x14ac:dyDescent="0.15">
      <c r="A1586" s="6">
        <v>1585</v>
      </c>
      <c r="B1586" s="7" t="s">
        <v>10</v>
      </c>
      <c r="C1586" s="8">
        <v>1888</v>
      </c>
      <c r="D1586" s="9">
        <v>45432</v>
      </c>
      <c r="E1586" s="13" t="str">
        <f>+HYPERLINK("http://trademark.i-assist.jp/data/china/image_1888th/77088179.pdf","77088179")</f>
        <v>77088179</v>
      </c>
      <c r="F1586" s="7" t="s">
        <v>4439</v>
      </c>
      <c r="G1586" s="7" t="s">
        <v>4440</v>
      </c>
      <c r="H1586" s="7" t="s">
        <v>4441</v>
      </c>
      <c r="I1586" s="9">
        <v>45355</v>
      </c>
    </row>
    <row r="1587" spans="1:9" ht="27" x14ac:dyDescent="0.15">
      <c r="A1587" s="6">
        <v>1586</v>
      </c>
      <c r="B1587" s="7" t="s">
        <v>10</v>
      </c>
      <c r="C1587" s="8">
        <v>1888</v>
      </c>
      <c r="D1587" s="9">
        <v>45432</v>
      </c>
      <c r="E1587" s="13" t="str">
        <f>+HYPERLINK("http://trademark.i-assist.jp/data/china/image_1888th/77088353.pdf","77088353")</f>
        <v>77088353</v>
      </c>
      <c r="F1587" s="7" t="s">
        <v>4442</v>
      </c>
      <c r="G1587" s="7" t="s">
        <v>4443</v>
      </c>
      <c r="H1587" s="7" t="s">
        <v>4444</v>
      </c>
      <c r="I1587" s="9">
        <v>45355</v>
      </c>
    </row>
    <row r="1588" spans="1:9" ht="27" x14ac:dyDescent="0.15">
      <c r="A1588" s="6">
        <v>1587</v>
      </c>
      <c r="B1588" s="7" t="s">
        <v>10</v>
      </c>
      <c r="C1588" s="8">
        <v>1888</v>
      </c>
      <c r="D1588" s="9">
        <v>45432</v>
      </c>
      <c r="E1588" s="13" t="str">
        <f>+HYPERLINK("http://trademark.i-assist.jp/data/china/image_1888th/77088465.pdf","77088465")</f>
        <v>77088465</v>
      </c>
      <c r="F1588" s="7" t="s">
        <v>4138</v>
      </c>
      <c r="G1588" s="7" t="s">
        <v>4139</v>
      </c>
      <c r="H1588" s="7" t="s">
        <v>4445</v>
      </c>
      <c r="I1588" s="9">
        <v>45355</v>
      </c>
    </row>
    <row r="1589" spans="1:9" ht="27" x14ac:dyDescent="0.15">
      <c r="A1589" s="6">
        <v>1588</v>
      </c>
      <c r="B1589" s="7" t="s">
        <v>10</v>
      </c>
      <c r="C1589" s="8">
        <v>1888</v>
      </c>
      <c r="D1589" s="9">
        <v>45432</v>
      </c>
      <c r="E1589" s="13" t="str">
        <f>+HYPERLINK("http://trademark.i-assist.jp/data/china/image_1888th/77088627.pdf","77088627")</f>
        <v>77088627</v>
      </c>
      <c r="F1589" s="7" t="s">
        <v>4446</v>
      </c>
      <c r="G1589" s="7" t="s">
        <v>4211</v>
      </c>
      <c r="H1589" s="7" t="s">
        <v>4447</v>
      </c>
      <c r="I1589" s="9">
        <v>45355</v>
      </c>
    </row>
    <row r="1590" spans="1:9" x14ac:dyDescent="0.15">
      <c r="A1590" s="6">
        <v>1589</v>
      </c>
      <c r="B1590" s="7" t="s">
        <v>10</v>
      </c>
      <c r="C1590" s="8">
        <v>1888</v>
      </c>
      <c r="D1590" s="9">
        <v>45432</v>
      </c>
      <c r="E1590" s="13" t="str">
        <f>+HYPERLINK("http://trademark.i-assist.jp/data/china/image_1888th/77088771.pdf","77088771")</f>
        <v>77088771</v>
      </c>
      <c r="F1590" s="7" t="s">
        <v>4448</v>
      </c>
      <c r="G1590" s="7" t="s">
        <v>4270</v>
      </c>
      <c r="H1590" s="7" t="s">
        <v>4449</v>
      </c>
      <c r="I1590" s="9">
        <v>45355</v>
      </c>
    </row>
    <row r="1591" spans="1:9" x14ac:dyDescent="0.15">
      <c r="A1591" s="6">
        <v>1590</v>
      </c>
      <c r="B1591" s="7" t="s">
        <v>10</v>
      </c>
      <c r="C1591" s="8">
        <v>1888</v>
      </c>
      <c r="D1591" s="9">
        <v>45432</v>
      </c>
      <c r="E1591" s="13" t="str">
        <f>+HYPERLINK("http://trademark.i-assist.jp/data/china/image_1888th/77088920.pdf","77088920")</f>
        <v>77088920</v>
      </c>
      <c r="F1591" s="7" t="s">
        <v>4450</v>
      </c>
      <c r="G1591" s="7" t="s">
        <v>4451</v>
      </c>
      <c r="H1591" s="7" t="s">
        <v>4452</v>
      </c>
      <c r="I1591" s="9">
        <v>45355</v>
      </c>
    </row>
    <row r="1592" spans="1:9" ht="27" x14ac:dyDescent="0.15">
      <c r="A1592" s="6">
        <v>1591</v>
      </c>
      <c r="B1592" s="7" t="s">
        <v>10</v>
      </c>
      <c r="C1592" s="8">
        <v>1888</v>
      </c>
      <c r="D1592" s="9">
        <v>45432</v>
      </c>
      <c r="E1592" s="13" t="str">
        <f>+HYPERLINK("http://trademark.i-assist.jp/data/china/image_1888th/77089096.pdf","77089096")</f>
        <v>77089096</v>
      </c>
      <c r="F1592" s="7" t="s">
        <v>4453</v>
      </c>
      <c r="G1592" s="7" t="s">
        <v>4291</v>
      </c>
      <c r="H1592" s="7" t="s">
        <v>4454</v>
      </c>
      <c r="I1592" s="9">
        <v>45355</v>
      </c>
    </row>
    <row r="1593" spans="1:9" x14ac:dyDescent="0.15">
      <c r="A1593" s="6">
        <v>1592</v>
      </c>
      <c r="B1593" s="7" t="s">
        <v>10</v>
      </c>
      <c r="C1593" s="8">
        <v>1888</v>
      </c>
      <c r="D1593" s="9">
        <v>45432</v>
      </c>
      <c r="E1593" s="13" t="str">
        <f>+HYPERLINK("http://trademark.i-assist.jp/data/china/image_1888th/77089886.pdf","77089886")</f>
        <v>77089886</v>
      </c>
      <c r="F1593" s="7" t="s">
        <v>4455</v>
      </c>
      <c r="G1593" s="7" t="s">
        <v>4126</v>
      </c>
      <c r="H1593" s="7" t="s">
        <v>4456</v>
      </c>
      <c r="I1593" s="9">
        <v>45355</v>
      </c>
    </row>
    <row r="1594" spans="1:9" ht="27" x14ac:dyDescent="0.15">
      <c r="A1594" s="6">
        <v>1593</v>
      </c>
      <c r="B1594" s="7" t="s">
        <v>10</v>
      </c>
      <c r="C1594" s="8">
        <v>1888</v>
      </c>
      <c r="D1594" s="9">
        <v>45432</v>
      </c>
      <c r="E1594" s="13" t="str">
        <f>+HYPERLINK("http://trademark.i-assist.jp/data/china/image_1888th/77090144.pdf","77090144")</f>
        <v>77090144</v>
      </c>
      <c r="F1594" s="7" t="s">
        <v>4457</v>
      </c>
      <c r="G1594" s="7" t="s">
        <v>4291</v>
      </c>
      <c r="H1594" s="7" t="s">
        <v>4458</v>
      </c>
      <c r="I1594" s="9">
        <v>45355</v>
      </c>
    </row>
    <row r="1595" spans="1:9" ht="27" x14ac:dyDescent="0.15">
      <c r="A1595" s="6">
        <v>1594</v>
      </c>
      <c r="B1595" s="7" t="s">
        <v>10</v>
      </c>
      <c r="C1595" s="8">
        <v>1888</v>
      </c>
      <c r="D1595" s="9">
        <v>45432</v>
      </c>
      <c r="E1595" s="13" t="str">
        <f>+HYPERLINK("http://trademark.i-assist.jp/data/china/image_1888th/77090163.pdf","77090163")</f>
        <v>77090163</v>
      </c>
      <c r="F1595" s="7" t="s">
        <v>4459</v>
      </c>
      <c r="G1595" s="7" t="s">
        <v>4460</v>
      </c>
      <c r="H1595" s="7" t="s">
        <v>4461</v>
      </c>
      <c r="I1595" s="9">
        <v>45355</v>
      </c>
    </row>
    <row r="1596" spans="1:9" x14ac:dyDescent="0.15">
      <c r="A1596" s="6">
        <v>1595</v>
      </c>
      <c r="B1596" s="7" t="s">
        <v>10</v>
      </c>
      <c r="C1596" s="8">
        <v>1888</v>
      </c>
      <c r="D1596" s="9">
        <v>45432</v>
      </c>
      <c r="E1596" s="13" t="str">
        <f>+HYPERLINK("http://trademark.i-assist.jp/data/china/image_1888th/77090469.pdf","77090469")</f>
        <v>77090469</v>
      </c>
      <c r="F1596" s="7" t="s">
        <v>4462</v>
      </c>
      <c r="G1596" s="7" t="s">
        <v>4463</v>
      </c>
      <c r="H1596" s="7" t="s">
        <v>4464</v>
      </c>
      <c r="I1596" s="9">
        <v>45355</v>
      </c>
    </row>
    <row r="1597" spans="1:9" x14ac:dyDescent="0.15">
      <c r="A1597" s="6">
        <v>1596</v>
      </c>
      <c r="B1597" s="7" t="s">
        <v>10</v>
      </c>
      <c r="C1597" s="8">
        <v>1888</v>
      </c>
      <c r="D1597" s="9">
        <v>45432</v>
      </c>
      <c r="E1597" s="13" t="str">
        <f>+HYPERLINK("http://trademark.i-assist.jp/data/china/image_1888th/77090731.pdf","77090731")</f>
        <v>77090731</v>
      </c>
      <c r="F1597" s="7" t="s">
        <v>76</v>
      </c>
      <c r="G1597" s="7" t="s">
        <v>4465</v>
      </c>
      <c r="H1597" s="7" t="s">
        <v>4466</v>
      </c>
      <c r="I1597" s="9">
        <v>45355</v>
      </c>
    </row>
    <row r="1598" spans="1:9" x14ac:dyDescent="0.15">
      <c r="A1598" s="6">
        <v>1597</v>
      </c>
      <c r="B1598" s="7" t="s">
        <v>10</v>
      </c>
      <c r="C1598" s="8">
        <v>1888</v>
      </c>
      <c r="D1598" s="9">
        <v>45432</v>
      </c>
      <c r="E1598" s="13" t="str">
        <f>+HYPERLINK("http://trademark.i-assist.jp/data/china/image_1888th/77090871.pdf","77090871")</f>
        <v>77090871</v>
      </c>
      <c r="F1598" s="7" t="s">
        <v>4467</v>
      </c>
      <c r="G1598" s="7" t="s">
        <v>4468</v>
      </c>
      <c r="H1598" s="7" t="s">
        <v>4469</v>
      </c>
      <c r="I1598" s="9">
        <v>45355</v>
      </c>
    </row>
    <row r="1599" spans="1:9" x14ac:dyDescent="0.15">
      <c r="A1599" s="6">
        <v>1598</v>
      </c>
      <c r="B1599" s="7" t="s">
        <v>10</v>
      </c>
      <c r="C1599" s="8">
        <v>1888</v>
      </c>
      <c r="D1599" s="9">
        <v>45432</v>
      </c>
      <c r="E1599" s="13" t="str">
        <f>+HYPERLINK("http://trademark.i-assist.jp/data/china/image_1888th/77091002.pdf","77091002")</f>
        <v>77091002</v>
      </c>
      <c r="F1599" s="7" t="s">
        <v>4470</v>
      </c>
      <c r="G1599" s="7" t="s">
        <v>4471</v>
      </c>
      <c r="H1599" s="7" t="s">
        <v>4472</v>
      </c>
      <c r="I1599" s="9">
        <v>45355</v>
      </c>
    </row>
    <row r="1600" spans="1:9" x14ac:dyDescent="0.15">
      <c r="A1600" s="6">
        <v>1599</v>
      </c>
      <c r="B1600" s="7" t="s">
        <v>10</v>
      </c>
      <c r="C1600" s="8">
        <v>1888</v>
      </c>
      <c r="D1600" s="9">
        <v>45432</v>
      </c>
      <c r="E1600" s="13" t="str">
        <f>+HYPERLINK("http://trademark.i-assist.jp/data/china/image_1888th/77091037.pdf","77091037")</f>
        <v>77091037</v>
      </c>
      <c r="F1600" s="7" t="s">
        <v>4473</v>
      </c>
      <c r="G1600" s="7" t="s">
        <v>4474</v>
      </c>
      <c r="H1600" s="7" t="s">
        <v>4475</v>
      </c>
      <c r="I1600" s="9">
        <v>45355</v>
      </c>
    </row>
    <row r="1601" spans="1:9" ht="27" x14ac:dyDescent="0.15">
      <c r="A1601" s="6">
        <v>1600</v>
      </c>
      <c r="B1601" s="7" t="s">
        <v>10</v>
      </c>
      <c r="C1601" s="8">
        <v>1888</v>
      </c>
      <c r="D1601" s="9">
        <v>45432</v>
      </c>
      <c r="E1601" s="13" t="str">
        <f>+HYPERLINK("http://trademark.i-assist.jp/data/china/image_1888th/77091233.pdf","77091233")</f>
        <v>77091233</v>
      </c>
      <c r="F1601" s="7" t="s">
        <v>76</v>
      </c>
      <c r="G1601" s="7" t="s">
        <v>4476</v>
      </c>
      <c r="H1601" s="7" t="s">
        <v>4477</v>
      </c>
      <c r="I1601" s="9">
        <v>45355</v>
      </c>
    </row>
    <row r="1602" spans="1:9" x14ac:dyDescent="0.15">
      <c r="A1602" s="6">
        <v>1601</v>
      </c>
      <c r="B1602" s="7" t="s">
        <v>10</v>
      </c>
      <c r="C1602" s="8">
        <v>1888</v>
      </c>
      <c r="D1602" s="9">
        <v>45432</v>
      </c>
      <c r="E1602" s="13" t="str">
        <f>+HYPERLINK("http://trademark.i-assist.jp/data/china/image_1888th/77091279.pdf","77091279")</f>
        <v>77091279</v>
      </c>
      <c r="F1602" s="7" t="s">
        <v>4478</v>
      </c>
      <c r="G1602" s="7" t="s">
        <v>4479</v>
      </c>
      <c r="H1602" s="7" t="s">
        <v>4480</v>
      </c>
      <c r="I1602" s="9">
        <v>45355</v>
      </c>
    </row>
    <row r="1603" spans="1:9" x14ac:dyDescent="0.15">
      <c r="A1603" s="6">
        <v>1602</v>
      </c>
      <c r="B1603" s="7" t="s">
        <v>10</v>
      </c>
      <c r="C1603" s="8">
        <v>1888</v>
      </c>
      <c r="D1603" s="9">
        <v>45432</v>
      </c>
      <c r="E1603" s="13" t="str">
        <f>+HYPERLINK("http://trademark.i-assist.jp/data/china/image_1888th/77091281.pdf","77091281")</f>
        <v>77091281</v>
      </c>
      <c r="F1603" s="7" t="s">
        <v>4481</v>
      </c>
      <c r="G1603" s="7" t="s">
        <v>4482</v>
      </c>
      <c r="H1603" s="7" t="s">
        <v>4483</v>
      </c>
      <c r="I1603" s="9">
        <v>45355</v>
      </c>
    </row>
    <row r="1604" spans="1:9" x14ac:dyDescent="0.15">
      <c r="A1604" s="6">
        <v>1603</v>
      </c>
      <c r="B1604" s="7" t="s">
        <v>10</v>
      </c>
      <c r="C1604" s="8">
        <v>1888</v>
      </c>
      <c r="D1604" s="9">
        <v>45432</v>
      </c>
      <c r="E1604" s="13" t="str">
        <f>+HYPERLINK("http://trademark.i-assist.jp/data/china/image_1888th/77091322.pdf","77091322")</f>
        <v>77091322</v>
      </c>
      <c r="F1604" s="7" t="s">
        <v>4484</v>
      </c>
      <c r="G1604" s="7" t="s">
        <v>4112</v>
      </c>
      <c r="H1604" s="7" t="s">
        <v>4485</v>
      </c>
      <c r="I1604" s="9">
        <v>45355</v>
      </c>
    </row>
    <row r="1605" spans="1:9" x14ac:dyDescent="0.15">
      <c r="A1605" s="6">
        <v>1604</v>
      </c>
      <c r="B1605" s="7" t="s">
        <v>10</v>
      </c>
      <c r="C1605" s="8">
        <v>1888</v>
      </c>
      <c r="D1605" s="9">
        <v>45432</v>
      </c>
      <c r="E1605" s="13" t="str">
        <f>+HYPERLINK("http://trademark.i-assist.jp/data/china/image_1888th/77091324.pdf","77091324")</f>
        <v>77091324</v>
      </c>
      <c r="F1605" s="7" t="s">
        <v>4486</v>
      </c>
      <c r="G1605" s="7" t="s">
        <v>4487</v>
      </c>
      <c r="H1605" s="7" t="s">
        <v>4488</v>
      </c>
      <c r="I1605" s="9">
        <v>45355</v>
      </c>
    </row>
    <row r="1606" spans="1:9" x14ac:dyDescent="0.15">
      <c r="A1606" s="6">
        <v>1605</v>
      </c>
      <c r="B1606" s="7" t="s">
        <v>10</v>
      </c>
      <c r="C1606" s="8">
        <v>1888</v>
      </c>
      <c r="D1606" s="9">
        <v>45432</v>
      </c>
      <c r="E1606" s="13" t="str">
        <f>+HYPERLINK("http://trademark.i-assist.jp/data/china/image_1888th/77091510.pdf","77091510")</f>
        <v>77091510</v>
      </c>
      <c r="F1606" s="7" t="s">
        <v>4489</v>
      </c>
      <c r="G1606" s="7" t="s">
        <v>4490</v>
      </c>
      <c r="H1606" s="7" t="s">
        <v>4491</v>
      </c>
      <c r="I1606" s="9">
        <v>45355</v>
      </c>
    </row>
    <row r="1607" spans="1:9" ht="27" x14ac:dyDescent="0.15">
      <c r="A1607" s="6">
        <v>1606</v>
      </c>
      <c r="B1607" s="7" t="s">
        <v>10</v>
      </c>
      <c r="C1607" s="8">
        <v>1888</v>
      </c>
      <c r="D1607" s="9">
        <v>45432</v>
      </c>
      <c r="E1607" s="13" t="str">
        <f>+HYPERLINK("http://trademark.i-assist.jp/data/china/image_1888th/77091588.pdf","77091588")</f>
        <v>77091588</v>
      </c>
      <c r="F1607" s="7" t="s">
        <v>4492</v>
      </c>
      <c r="G1607" s="7" t="s">
        <v>4493</v>
      </c>
      <c r="H1607" s="7" t="s">
        <v>4494</v>
      </c>
      <c r="I1607" s="9">
        <v>45355</v>
      </c>
    </row>
    <row r="1608" spans="1:9" ht="27" x14ac:dyDescent="0.15">
      <c r="A1608" s="6">
        <v>1607</v>
      </c>
      <c r="B1608" s="7" t="s">
        <v>10</v>
      </c>
      <c r="C1608" s="8">
        <v>1888</v>
      </c>
      <c r="D1608" s="9">
        <v>45432</v>
      </c>
      <c r="E1608" s="13" t="str">
        <f>+HYPERLINK("http://trademark.i-assist.jp/data/china/image_1888th/77091852.pdf","77091852")</f>
        <v>77091852</v>
      </c>
      <c r="F1608" s="7" t="s">
        <v>76</v>
      </c>
      <c r="G1608" s="7" t="s">
        <v>4495</v>
      </c>
      <c r="H1608" s="7" t="s">
        <v>4496</v>
      </c>
      <c r="I1608" s="9">
        <v>45355</v>
      </c>
    </row>
    <row r="1609" spans="1:9" x14ac:dyDescent="0.15">
      <c r="A1609" s="6">
        <v>1608</v>
      </c>
      <c r="B1609" s="7" t="s">
        <v>10</v>
      </c>
      <c r="C1609" s="8">
        <v>1888</v>
      </c>
      <c r="D1609" s="9">
        <v>45432</v>
      </c>
      <c r="E1609" s="13" t="str">
        <f>+HYPERLINK("http://trademark.i-assist.jp/data/china/image_1888th/77092019.pdf","77092019")</f>
        <v>77092019</v>
      </c>
      <c r="F1609" s="7" t="s">
        <v>4497</v>
      </c>
      <c r="G1609" s="7" t="s">
        <v>4498</v>
      </c>
      <c r="H1609" s="7" t="s">
        <v>4499</v>
      </c>
      <c r="I1609" s="9">
        <v>45355</v>
      </c>
    </row>
    <row r="1610" spans="1:9" x14ac:dyDescent="0.15">
      <c r="A1610" s="6">
        <v>1609</v>
      </c>
      <c r="B1610" s="7" t="s">
        <v>10</v>
      </c>
      <c r="C1610" s="8">
        <v>1888</v>
      </c>
      <c r="D1610" s="9">
        <v>45432</v>
      </c>
      <c r="E1610" s="13" t="str">
        <f>+HYPERLINK("http://trademark.i-assist.jp/data/china/image_1888th/77092153.pdf","77092153")</f>
        <v>77092153</v>
      </c>
      <c r="F1610" s="7" t="s">
        <v>4500</v>
      </c>
      <c r="G1610" s="7" t="s">
        <v>4501</v>
      </c>
      <c r="H1610" s="7" t="s">
        <v>4502</v>
      </c>
      <c r="I1610" s="9">
        <v>45355</v>
      </c>
    </row>
    <row r="1611" spans="1:9" x14ac:dyDescent="0.15">
      <c r="A1611" s="6">
        <v>1610</v>
      </c>
      <c r="B1611" s="7" t="s">
        <v>10</v>
      </c>
      <c r="C1611" s="8">
        <v>1888</v>
      </c>
      <c r="D1611" s="9">
        <v>45432</v>
      </c>
      <c r="E1611" s="13" t="str">
        <f>+HYPERLINK("http://trademark.i-assist.jp/data/china/image_1888th/77092188.pdf","77092188")</f>
        <v>77092188</v>
      </c>
      <c r="F1611" s="7" t="s">
        <v>4503</v>
      </c>
      <c r="G1611" s="7" t="s">
        <v>4504</v>
      </c>
      <c r="H1611" s="7" t="s">
        <v>4505</v>
      </c>
      <c r="I1611" s="9">
        <v>45355</v>
      </c>
    </row>
    <row r="1612" spans="1:9" x14ac:dyDescent="0.15">
      <c r="A1612" s="6">
        <v>1611</v>
      </c>
      <c r="B1612" s="7" t="s">
        <v>10</v>
      </c>
      <c r="C1612" s="8">
        <v>1888</v>
      </c>
      <c r="D1612" s="9">
        <v>45432</v>
      </c>
      <c r="E1612" s="13" t="str">
        <f>+HYPERLINK("http://trademark.i-assist.jp/data/china/image_1888th/77092227.pdf","77092227")</f>
        <v>77092227</v>
      </c>
      <c r="F1612" s="7" t="s">
        <v>4506</v>
      </c>
      <c r="G1612" s="7" t="s">
        <v>4507</v>
      </c>
      <c r="H1612" s="7" t="s">
        <v>4508</v>
      </c>
      <c r="I1612" s="9">
        <v>45355</v>
      </c>
    </row>
    <row r="1613" spans="1:9" x14ac:dyDescent="0.15">
      <c r="A1613" s="6">
        <v>1612</v>
      </c>
      <c r="B1613" s="7" t="s">
        <v>10</v>
      </c>
      <c r="C1613" s="8">
        <v>1888</v>
      </c>
      <c r="D1613" s="9">
        <v>45432</v>
      </c>
      <c r="E1613" s="13" t="str">
        <f>+HYPERLINK("http://trademark.i-assist.jp/data/china/image_1888th/77092284.pdf","77092284")</f>
        <v>77092284</v>
      </c>
      <c r="F1613" s="7" t="s">
        <v>4509</v>
      </c>
      <c r="G1613" s="7" t="s">
        <v>4510</v>
      </c>
      <c r="H1613" s="7" t="s">
        <v>4511</v>
      </c>
      <c r="I1613" s="9">
        <v>45355</v>
      </c>
    </row>
    <row r="1614" spans="1:9" x14ac:dyDescent="0.15">
      <c r="A1614" s="6">
        <v>1613</v>
      </c>
      <c r="B1614" s="7" t="s">
        <v>10</v>
      </c>
      <c r="C1614" s="8">
        <v>1888</v>
      </c>
      <c r="D1614" s="9">
        <v>45432</v>
      </c>
      <c r="E1614" s="13" t="str">
        <f>+HYPERLINK("http://trademark.i-assist.jp/data/china/image_1888th/77092716.pdf","77092716")</f>
        <v>77092716</v>
      </c>
      <c r="F1614" s="7" t="s">
        <v>4512</v>
      </c>
      <c r="G1614" s="7" t="s">
        <v>4513</v>
      </c>
      <c r="H1614" s="7" t="s">
        <v>4514</v>
      </c>
      <c r="I1614" s="9">
        <v>45355</v>
      </c>
    </row>
    <row r="1615" spans="1:9" ht="27" x14ac:dyDescent="0.15">
      <c r="A1615" s="6">
        <v>1614</v>
      </c>
      <c r="B1615" s="7" t="s">
        <v>10</v>
      </c>
      <c r="C1615" s="8">
        <v>1888</v>
      </c>
      <c r="D1615" s="9">
        <v>45432</v>
      </c>
      <c r="E1615" s="13" t="str">
        <f>+HYPERLINK("http://trademark.i-assist.jp/data/china/image_1888th/77092831.pdf","77092831")</f>
        <v>77092831</v>
      </c>
      <c r="F1615" s="7" t="s">
        <v>4515</v>
      </c>
      <c r="G1615" s="7" t="s">
        <v>4516</v>
      </c>
      <c r="H1615" s="7" t="s">
        <v>4517</v>
      </c>
      <c r="I1615" s="9">
        <v>45355</v>
      </c>
    </row>
    <row r="1616" spans="1:9" ht="27" x14ac:dyDescent="0.15">
      <c r="A1616" s="6">
        <v>1615</v>
      </c>
      <c r="B1616" s="7" t="s">
        <v>10</v>
      </c>
      <c r="C1616" s="8">
        <v>1888</v>
      </c>
      <c r="D1616" s="9">
        <v>45432</v>
      </c>
      <c r="E1616" s="13" t="str">
        <f>+HYPERLINK("http://trademark.i-assist.jp/data/china/image_1888th/77093385.pdf","77093385")</f>
        <v>77093385</v>
      </c>
      <c r="F1616" s="7" t="s">
        <v>4518</v>
      </c>
      <c r="G1616" s="7" t="s">
        <v>4519</v>
      </c>
      <c r="H1616" s="7" t="s">
        <v>4520</v>
      </c>
      <c r="I1616" s="9">
        <v>45355</v>
      </c>
    </row>
    <row r="1617" spans="1:9" x14ac:dyDescent="0.15">
      <c r="A1617" s="6">
        <v>1616</v>
      </c>
      <c r="B1617" s="7" t="s">
        <v>10</v>
      </c>
      <c r="C1617" s="8">
        <v>1888</v>
      </c>
      <c r="D1617" s="9">
        <v>45432</v>
      </c>
      <c r="E1617" s="13" t="str">
        <f>+HYPERLINK("http://trademark.i-assist.jp/data/china/image_1888th/77093440.pdf","77093440")</f>
        <v>77093440</v>
      </c>
      <c r="F1617" s="7" t="s">
        <v>4521</v>
      </c>
      <c r="G1617" s="7" t="s">
        <v>4522</v>
      </c>
      <c r="H1617" s="7" t="s">
        <v>4523</v>
      </c>
      <c r="I1617" s="9">
        <v>45355</v>
      </c>
    </row>
    <row r="1618" spans="1:9" x14ac:dyDescent="0.15">
      <c r="A1618" s="6">
        <v>1617</v>
      </c>
      <c r="B1618" s="7" t="s">
        <v>10</v>
      </c>
      <c r="C1618" s="8">
        <v>1888</v>
      </c>
      <c r="D1618" s="9">
        <v>45432</v>
      </c>
      <c r="E1618" s="13" t="str">
        <f>+HYPERLINK("http://trademark.i-assist.jp/data/china/image_1888th/77093468.pdf","77093468")</f>
        <v>77093468</v>
      </c>
      <c r="F1618" s="7" t="s">
        <v>4524</v>
      </c>
      <c r="G1618" s="7" t="s">
        <v>4525</v>
      </c>
      <c r="H1618" s="7" t="s">
        <v>4526</v>
      </c>
      <c r="I1618" s="9">
        <v>45355</v>
      </c>
    </row>
    <row r="1619" spans="1:9" ht="27" x14ac:dyDescent="0.15">
      <c r="A1619" s="6">
        <v>1618</v>
      </c>
      <c r="B1619" s="7" t="s">
        <v>10</v>
      </c>
      <c r="C1619" s="8">
        <v>1888</v>
      </c>
      <c r="D1619" s="9">
        <v>45432</v>
      </c>
      <c r="E1619" s="13" t="str">
        <f>+HYPERLINK("http://trademark.i-assist.jp/data/china/image_1888th/77093475.pdf","77093475")</f>
        <v>77093475</v>
      </c>
      <c r="F1619" s="7" t="s">
        <v>4527</v>
      </c>
      <c r="G1619" s="7" t="s">
        <v>4249</v>
      </c>
      <c r="H1619" s="7" t="s">
        <v>4528</v>
      </c>
      <c r="I1619" s="9">
        <v>45355</v>
      </c>
    </row>
    <row r="1620" spans="1:9" ht="27" x14ac:dyDescent="0.15">
      <c r="A1620" s="6">
        <v>1619</v>
      </c>
      <c r="B1620" s="7" t="s">
        <v>10</v>
      </c>
      <c r="C1620" s="8">
        <v>1888</v>
      </c>
      <c r="D1620" s="9">
        <v>45432</v>
      </c>
      <c r="E1620" s="13" t="str">
        <f>+HYPERLINK("http://trademark.i-assist.jp/data/china/image_1888th/77093822.pdf","77093822")</f>
        <v>77093822</v>
      </c>
      <c r="F1620" s="7" t="s">
        <v>4529</v>
      </c>
      <c r="G1620" s="7" t="s">
        <v>4530</v>
      </c>
      <c r="H1620" s="7" t="s">
        <v>4531</v>
      </c>
      <c r="I1620" s="9">
        <v>45355</v>
      </c>
    </row>
    <row r="1621" spans="1:9" x14ac:dyDescent="0.15">
      <c r="A1621" s="6">
        <v>1620</v>
      </c>
      <c r="B1621" s="7" t="s">
        <v>10</v>
      </c>
      <c r="C1621" s="8">
        <v>1888</v>
      </c>
      <c r="D1621" s="9">
        <v>45432</v>
      </c>
      <c r="E1621" s="13" t="str">
        <f>+HYPERLINK("http://trademark.i-assist.jp/data/china/image_1888th/77093857.pdf","77093857")</f>
        <v>77093857</v>
      </c>
      <c r="F1621" s="7" t="s">
        <v>4532</v>
      </c>
      <c r="G1621" s="7" t="s">
        <v>4533</v>
      </c>
      <c r="H1621" s="7" t="s">
        <v>4534</v>
      </c>
      <c r="I1621" s="9">
        <v>45355</v>
      </c>
    </row>
    <row r="1622" spans="1:9" x14ac:dyDescent="0.15">
      <c r="A1622" s="6">
        <v>1621</v>
      </c>
      <c r="B1622" s="7" t="s">
        <v>10</v>
      </c>
      <c r="C1622" s="8">
        <v>1888</v>
      </c>
      <c r="D1622" s="9">
        <v>45432</v>
      </c>
      <c r="E1622" s="13" t="str">
        <f>+HYPERLINK("http://trademark.i-assist.jp/data/china/image_1888th/77093884.pdf","77093884")</f>
        <v>77093884</v>
      </c>
      <c r="F1622" s="7" t="s">
        <v>76</v>
      </c>
      <c r="G1622" s="7" t="s">
        <v>4535</v>
      </c>
      <c r="H1622" s="7" t="s">
        <v>4536</v>
      </c>
      <c r="I1622" s="9">
        <v>45355</v>
      </c>
    </row>
    <row r="1623" spans="1:9" x14ac:dyDescent="0.15">
      <c r="A1623" s="6">
        <v>1622</v>
      </c>
      <c r="B1623" s="7" t="s">
        <v>10</v>
      </c>
      <c r="C1623" s="8">
        <v>1888</v>
      </c>
      <c r="D1623" s="9">
        <v>45432</v>
      </c>
      <c r="E1623" s="13" t="str">
        <f>+HYPERLINK("http://trademark.i-assist.jp/data/china/image_1888th/77094040.pdf","77094040")</f>
        <v>77094040</v>
      </c>
      <c r="F1623" s="7" t="s">
        <v>4537</v>
      </c>
      <c r="G1623" s="7" t="s">
        <v>4166</v>
      </c>
      <c r="H1623" s="7" t="s">
        <v>4538</v>
      </c>
      <c r="I1623" s="9">
        <v>45355</v>
      </c>
    </row>
    <row r="1624" spans="1:9" x14ac:dyDescent="0.15">
      <c r="A1624" s="6">
        <v>1623</v>
      </c>
      <c r="B1624" s="7" t="s">
        <v>10</v>
      </c>
      <c r="C1624" s="8">
        <v>1888</v>
      </c>
      <c r="D1624" s="9">
        <v>45432</v>
      </c>
      <c r="E1624" s="13" t="str">
        <f>+HYPERLINK("http://trademark.i-assist.jp/data/china/image_1888th/77094049.pdf","77094049")</f>
        <v>77094049</v>
      </c>
      <c r="F1624" s="7" t="s">
        <v>76</v>
      </c>
      <c r="G1624" s="7" t="s">
        <v>4539</v>
      </c>
      <c r="H1624" s="7" t="s">
        <v>4540</v>
      </c>
      <c r="I1624" s="9">
        <v>45355</v>
      </c>
    </row>
    <row r="1625" spans="1:9" x14ac:dyDescent="0.15">
      <c r="A1625" s="6">
        <v>1624</v>
      </c>
      <c r="B1625" s="7" t="s">
        <v>10</v>
      </c>
      <c r="C1625" s="8">
        <v>1888</v>
      </c>
      <c r="D1625" s="9">
        <v>45432</v>
      </c>
      <c r="E1625" s="13" t="str">
        <f>+HYPERLINK("http://trademark.i-assist.jp/data/china/image_1888th/77094052.pdf","77094052")</f>
        <v>77094052</v>
      </c>
      <c r="F1625" s="7" t="s">
        <v>76</v>
      </c>
      <c r="G1625" s="7" t="s">
        <v>4541</v>
      </c>
      <c r="H1625" s="7" t="s">
        <v>4542</v>
      </c>
      <c r="I1625" s="9">
        <v>45355</v>
      </c>
    </row>
    <row r="1626" spans="1:9" x14ac:dyDescent="0.15">
      <c r="A1626" s="6">
        <v>1625</v>
      </c>
      <c r="B1626" s="7" t="s">
        <v>10</v>
      </c>
      <c r="C1626" s="8">
        <v>1888</v>
      </c>
      <c r="D1626" s="9">
        <v>45432</v>
      </c>
      <c r="E1626" s="13" t="str">
        <f>+HYPERLINK("http://trademark.i-assist.jp/data/china/image_1888th/77094073.pdf","77094073")</f>
        <v>77094073</v>
      </c>
      <c r="F1626" s="7" t="s">
        <v>4543</v>
      </c>
      <c r="G1626" s="7" t="s">
        <v>4166</v>
      </c>
      <c r="H1626" s="7" t="s">
        <v>4544</v>
      </c>
      <c r="I1626" s="9">
        <v>45355</v>
      </c>
    </row>
    <row r="1627" spans="1:9" x14ac:dyDescent="0.15">
      <c r="A1627" s="6">
        <v>1626</v>
      </c>
      <c r="B1627" s="7" t="s">
        <v>10</v>
      </c>
      <c r="C1627" s="8">
        <v>1888</v>
      </c>
      <c r="D1627" s="9">
        <v>45432</v>
      </c>
      <c r="E1627" s="13" t="str">
        <f>+HYPERLINK("http://trademark.i-assist.jp/data/china/image_1888th/77094439.pdf","77094439")</f>
        <v>77094439</v>
      </c>
      <c r="F1627" s="7" t="s">
        <v>4545</v>
      </c>
      <c r="G1627" s="7" t="s">
        <v>4546</v>
      </c>
      <c r="H1627" s="7" t="s">
        <v>4547</v>
      </c>
      <c r="I1627" s="9">
        <v>45355</v>
      </c>
    </row>
    <row r="1628" spans="1:9" ht="27" x14ac:dyDescent="0.15">
      <c r="A1628" s="6">
        <v>1627</v>
      </c>
      <c r="B1628" s="7" t="s">
        <v>10</v>
      </c>
      <c r="C1628" s="8">
        <v>1888</v>
      </c>
      <c r="D1628" s="9">
        <v>45432</v>
      </c>
      <c r="E1628" s="13" t="str">
        <f>+HYPERLINK("http://trademark.i-assist.jp/data/china/image_1888th/77094781.pdf","77094781")</f>
        <v>77094781</v>
      </c>
      <c r="F1628" s="7" t="s">
        <v>4548</v>
      </c>
      <c r="G1628" s="7" t="s">
        <v>4291</v>
      </c>
      <c r="H1628" s="7" t="s">
        <v>4549</v>
      </c>
      <c r="I1628" s="9">
        <v>45355</v>
      </c>
    </row>
    <row r="1629" spans="1:9" ht="27" x14ac:dyDescent="0.15">
      <c r="A1629" s="6">
        <v>1628</v>
      </c>
      <c r="B1629" s="7" t="s">
        <v>10</v>
      </c>
      <c r="C1629" s="8">
        <v>1888</v>
      </c>
      <c r="D1629" s="9">
        <v>45432</v>
      </c>
      <c r="E1629" s="13" t="str">
        <f>+HYPERLINK("http://trademark.i-assist.jp/data/china/image_1888th/77095129.pdf","77095129")</f>
        <v>77095129</v>
      </c>
      <c r="F1629" s="7" t="s">
        <v>4550</v>
      </c>
      <c r="G1629" s="7" t="s">
        <v>4551</v>
      </c>
      <c r="H1629" s="7" t="s">
        <v>4552</v>
      </c>
      <c r="I1629" s="9">
        <v>45355</v>
      </c>
    </row>
    <row r="1630" spans="1:9" x14ac:dyDescent="0.15">
      <c r="A1630" s="6">
        <v>1629</v>
      </c>
      <c r="B1630" s="7" t="s">
        <v>10</v>
      </c>
      <c r="C1630" s="8">
        <v>1888</v>
      </c>
      <c r="D1630" s="9">
        <v>45432</v>
      </c>
      <c r="E1630" s="13" t="str">
        <f>+HYPERLINK("http://trademark.i-assist.jp/data/china/image_1888th/77095177.pdf","77095177")</f>
        <v>77095177</v>
      </c>
      <c r="F1630" s="7" t="s">
        <v>76</v>
      </c>
      <c r="G1630" s="7" t="s">
        <v>4553</v>
      </c>
      <c r="H1630" s="7" t="s">
        <v>4554</v>
      </c>
      <c r="I1630" s="9">
        <v>45355</v>
      </c>
    </row>
    <row r="1631" spans="1:9" x14ac:dyDescent="0.15">
      <c r="A1631" s="6">
        <v>1630</v>
      </c>
      <c r="B1631" s="7" t="s">
        <v>10</v>
      </c>
      <c r="C1631" s="8">
        <v>1888</v>
      </c>
      <c r="D1631" s="9">
        <v>45432</v>
      </c>
      <c r="E1631" s="13" t="str">
        <f>+HYPERLINK("http://trademark.i-assist.jp/data/china/image_1888th/77095253.pdf","77095253")</f>
        <v>77095253</v>
      </c>
      <c r="F1631" s="7" t="s">
        <v>4555</v>
      </c>
      <c r="G1631" s="7" t="s">
        <v>4126</v>
      </c>
      <c r="H1631" s="7" t="s">
        <v>4556</v>
      </c>
      <c r="I1631" s="9">
        <v>45355</v>
      </c>
    </row>
    <row r="1632" spans="1:9" x14ac:dyDescent="0.15">
      <c r="A1632" s="6">
        <v>1631</v>
      </c>
      <c r="B1632" s="7" t="s">
        <v>10</v>
      </c>
      <c r="C1632" s="8">
        <v>1888</v>
      </c>
      <c r="D1632" s="9">
        <v>45432</v>
      </c>
      <c r="E1632" s="13" t="str">
        <f>+HYPERLINK("http://trademark.i-assist.jp/data/china/image_1888th/77095345.pdf","77095345")</f>
        <v>77095345</v>
      </c>
      <c r="F1632" s="7" t="s">
        <v>4557</v>
      </c>
      <c r="G1632" s="7" t="s">
        <v>4558</v>
      </c>
      <c r="H1632" s="7" t="s">
        <v>4559</v>
      </c>
      <c r="I1632" s="9">
        <v>45355</v>
      </c>
    </row>
    <row r="1633" spans="1:9" ht="27" x14ac:dyDescent="0.15">
      <c r="A1633" s="6">
        <v>1632</v>
      </c>
      <c r="B1633" s="7" t="s">
        <v>10</v>
      </c>
      <c r="C1633" s="8">
        <v>1888</v>
      </c>
      <c r="D1633" s="9">
        <v>45432</v>
      </c>
      <c r="E1633" s="13" t="str">
        <f>+HYPERLINK("http://trademark.i-assist.jp/data/china/image_1888th/77095417.pdf","77095417")</f>
        <v>77095417</v>
      </c>
      <c r="F1633" s="7" t="s">
        <v>4560</v>
      </c>
      <c r="G1633" s="7" t="s">
        <v>4291</v>
      </c>
      <c r="H1633" s="7" t="s">
        <v>4561</v>
      </c>
      <c r="I1633" s="9">
        <v>45355</v>
      </c>
    </row>
    <row r="1634" spans="1:9" x14ac:dyDescent="0.15">
      <c r="A1634" s="6">
        <v>1633</v>
      </c>
      <c r="B1634" s="7" t="s">
        <v>10</v>
      </c>
      <c r="C1634" s="8">
        <v>1888</v>
      </c>
      <c r="D1634" s="9">
        <v>45432</v>
      </c>
      <c r="E1634" s="13" t="str">
        <f>+HYPERLINK("http://trademark.i-assist.jp/data/china/image_1888th/77095426.pdf","77095426")</f>
        <v>77095426</v>
      </c>
      <c r="F1634" s="7" t="s">
        <v>4562</v>
      </c>
      <c r="G1634" s="7" t="s">
        <v>4172</v>
      </c>
      <c r="H1634" s="7" t="s">
        <v>4563</v>
      </c>
      <c r="I1634" s="9">
        <v>45355</v>
      </c>
    </row>
    <row r="1635" spans="1:9" x14ac:dyDescent="0.15">
      <c r="A1635" s="6">
        <v>1634</v>
      </c>
      <c r="B1635" s="7" t="s">
        <v>10</v>
      </c>
      <c r="C1635" s="8">
        <v>1888</v>
      </c>
      <c r="D1635" s="9">
        <v>45432</v>
      </c>
      <c r="E1635" s="13" t="str">
        <f>+HYPERLINK("http://trademark.i-assist.jp/data/china/image_1888th/77095811.pdf","77095811")</f>
        <v>77095811</v>
      </c>
      <c r="F1635" s="7" t="s">
        <v>4564</v>
      </c>
      <c r="G1635" s="7" t="s">
        <v>4134</v>
      </c>
      <c r="H1635" s="7" t="s">
        <v>4565</v>
      </c>
      <c r="I1635" s="9">
        <v>45355</v>
      </c>
    </row>
    <row r="1636" spans="1:9" x14ac:dyDescent="0.15">
      <c r="A1636" s="6">
        <v>1635</v>
      </c>
      <c r="B1636" s="7" t="s">
        <v>10</v>
      </c>
      <c r="C1636" s="8">
        <v>1888</v>
      </c>
      <c r="D1636" s="9">
        <v>45432</v>
      </c>
      <c r="E1636" s="13" t="str">
        <f>+HYPERLINK("http://trademark.i-assist.jp/data/china/image_1888th/77096140.pdf","77096140")</f>
        <v>77096140</v>
      </c>
      <c r="F1636" s="7" t="s">
        <v>4566</v>
      </c>
      <c r="G1636" s="7" t="s">
        <v>4567</v>
      </c>
      <c r="H1636" s="7" t="s">
        <v>4568</v>
      </c>
      <c r="I1636" s="9">
        <v>45355</v>
      </c>
    </row>
    <row r="1637" spans="1:9" x14ac:dyDescent="0.15">
      <c r="A1637" s="6">
        <v>1636</v>
      </c>
      <c r="B1637" s="7" t="s">
        <v>10</v>
      </c>
      <c r="C1637" s="8">
        <v>1888</v>
      </c>
      <c r="D1637" s="9">
        <v>45432</v>
      </c>
      <c r="E1637" s="13" t="str">
        <f>+HYPERLINK("http://trademark.i-assist.jp/data/china/image_1888th/77096192.pdf","77096192")</f>
        <v>77096192</v>
      </c>
      <c r="F1637" s="7" t="s">
        <v>4569</v>
      </c>
      <c r="G1637" s="7" t="s">
        <v>4487</v>
      </c>
      <c r="H1637" s="7" t="s">
        <v>4570</v>
      </c>
      <c r="I1637" s="9">
        <v>45355</v>
      </c>
    </row>
    <row r="1638" spans="1:9" ht="27" x14ac:dyDescent="0.15">
      <c r="A1638" s="6">
        <v>1637</v>
      </c>
      <c r="B1638" s="7" t="s">
        <v>10</v>
      </c>
      <c r="C1638" s="8">
        <v>1888</v>
      </c>
      <c r="D1638" s="9">
        <v>45432</v>
      </c>
      <c r="E1638" s="13" t="str">
        <f>+HYPERLINK("http://trademark.i-assist.jp/data/china/image_1888th/77096284.pdf","77096284")</f>
        <v>77096284</v>
      </c>
      <c r="F1638" s="7" t="s">
        <v>4571</v>
      </c>
      <c r="G1638" s="7" t="s">
        <v>4572</v>
      </c>
      <c r="H1638" s="7" t="s">
        <v>4573</v>
      </c>
      <c r="I1638" s="9">
        <v>45355</v>
      </c>
    </row>
    <row r="1639" spans="1:9" x14ac:dyDescent="0.15">
      <c r="A1639" s="6">
        <v>1638</v>
      </c>
      <c r="B1639" s="7" t="s">
        <v>10</v>
      </c>
      <c r="C1639" s="8">
        <v>1888</v>
      </c>
      <c r="D1639" s="9">
        <v>45432</v>
      </c>
      <c r="E1639" s="13" t="str">
        <f>+HYPERLINK("http://trademark.i-assist.jp/data/china/image_1888th/77096322.pdf","77096322")</f>
        <v>77096322</v>
      </c>
      <c r="F1639" s="7" t="s">
        <v>4574</v>
      </c>
      <c r="G1639" s="7" t="s">
        <v>4575</v>
      </c>
      <c r="H1639" s="7" t="s">
        <v>4576</v>
      </c>
      <c r="I1639" s="9">
        <v>45355</v>
      </c>
    </row>
    <row r="1640" spans="1:9" x14ac:dyDescent="0.15">
      <c r="A1640" s="6">
        <v>1639</v>
      </c>
      <c r="B1640" s="7" t="s">
        <v>10</v>
      </c>
      <c r="C1640" s="8">
        <v>1888</v>
      </c>
      <c r="D1640" s="9">
        <v>45432</v>
      </c>
      <c r="E1640" s="13" t="str">
        <f>+HYPERLINK("http://trademark.i-assist.jp/data/china/image_1888th/77096776.pdf","77096776")</f>
        <v>77096776</v>
      </c>
      <c r="F1640" s="7" t="s">
        <v>4577</v>
      </c>
      <c r="G1640" s="7" t="s">
        <v>4578</v>
      </c>
      <c r="H1640" s="7" t="s">
        <v>4579</v>
      </c>
      <c r="I1640" s="9">
        <v>45355</v>
      </c>
    </row>
    <row r="1641" spans="1:9" ht="27" x14ac:dyDescent="0.15">
      <c r="A1641" s="6">
        <v>1640</v>
      </c>
      <c r="B1641" s="7" t="s">
        <v>10</v>
      </c>
      <c r="C1641" s="8">
        <v>1888</v>
      </c>
      <c r="D1641" s="9">
        <v>45432</v>
      </c>
      <c r="E1641" s="13" t="str">
        <f>+HYPERLINK("http://trademark.i-assist.jp/data/china/image_1888th/77096812.pdf","77096812")</f>
        <v>77096812</v>
      </c>
      <c r="F1641" s="7" t="s">
        <v>4138</v>
      </c>
      <c r="G1641" s="7" t="s">
        <v>4139</v>
      </c>
      <c r="H1641" s="7" t="s">
        <v>4580</v>
      </c>
      <c r="I1641" s="9">
        <v>45355</v>
      </c>
    </row>
    <row r="1642" spans="1:9" x14ac:dyDescent="0.15">
      <c r="A1642" s="6">
        <v>1641</v>
      </c>
      <c r="B1642" s="7" t="s">
        <v>10</v>
      </c>
      <c r="C1642" s="8">
        <v>1888</v>
      </c>
      <c r="D1642" s="9">
        <v>45432</v>
      </c>
      <c r="E1642" s="13" t="str">
        <f>+HYPERLINK("http://trademark.i-assist.jp/data/china/image_1888th/77096857.pdf","77096857")</f>
        <v>77096857</v>
      </c>
      <c r="F1642" s="7" t="s">
        <v>4581</v>
      </c>
      <c r="G1642" s="7" t="s">
        <v>4582</v>
      </c>
      <c r="H1642" s="7" t="s">
        <v>4583</v>
      </c>
      <c r="I1642" s="9">
        <v>45355</v>
      </c>
    </row>
    <row r="1643" spans="1:9" ht="27" x14ac:dyDescent="0.15">
      <c r="A1643" s="6">
        <v>1642</v>
      </c>
      <c r="B1643" s="7" t="s">
        <v>10</v>
      </c>
      <c r="C1643" s="8">
        <v>1888</v>
      </c>
      <c r="D1643" s="9">
        <v>45432</v>
      </c>
      <c r="E1643" s="13" t="str">
        <f>+HYPERLINK("http://trademark.i-assist.jp/data/china/image_1888th/77096911.pdf","77096911")</f>
        <v>77096911</v>
      </c>
      <c r="F1643" s="7" t="s">
        <v>4584</v>
      </c>
      <c r="G1643" s="7" t="s">
        <v>4291</v>
      </c>
      <c r="H1643" s="7" t="s">
        <v>4585</v>
      </c>
      <c r="I1643" s="9">
        <v>45355</v>
      </c>
    </row>
    <row r="1644" spans="1:9" ht="27" x14ac:dyDescent="0.15">
      <c r="A1644" s="6">
        <v>1643</v>
      </c>
      <c r="B1644" s="7" t="s">
        <v>10</v>
      </c>
      <c r="C1644" s="8">
        <v>1888</v>
      </c>
      <c r="D1644" s="9">
        <v>45432</v>
      </c>
      <c r="E1644" s="13" t="str">
        <f>+HYPERLINK("http://trademark.i-assist.jp/data/china/image_1888th/77097252.pdf","77097252")</f>
        <v>77097252</v>
      </c>
      <c r="F1644" s="7" t="s">
        <v>4586</v>
      </c>
      <c r="G1644" s="7" t="s">
        <v>4587</v>
      </c>
      <c r="H1644" s="7" t="s">
        <v>4588</v>
      </c>
      <c r="I1644" s="9">
        <v>45355</v>
      </c>
    </row>
    <row r="1645" spans="1:9" x14ac:dyDescent="0.15">
      <c r="A1645" s="6">
        <v>1644</v>
      </c>
      <c r="B1645" s="7" t="s">
        <v>10</v>
      </c>
      <c r="C1645" s="8">
        <v>1888</v>
      </c>
      <c r="D1645" s="9">
        <v>45432</v>
      </c>
      <c r="E1645" s="13" t="str">
        <f>+HYPERLINK("http://trademark.i-assist.jp/data/china/image_1888th/77097366.pdf","77097366")</f>
        <v>77097366</v>
      </c>
      <c r="F1645" s="7" t="s">
        <v>4589</v>
      </c>
      <c r="G1645" s="7" t="s">
        <v>4410</v>
      </c>
      <c r="H1645" s="7" t="s">
        <v>4590</v>
      </c>
      <c r="I1645" s="9">
        <v>45355</v>
      </c>
    </row>
    <row r="1646" spans="1:9" x14ac:dyDescent="0.15">
      <c r="A1646" s="6">
        <v>1645</v>
      </c>
      <c r="B1646" s="7" t="s">
        <v>10</v>
      </c>
      <c r="C1646" s="8">
        <v>1888</v>
      </c>
      <c r="D1646" s="9">
        <v>45432</v>
      </c>
      <c r="E1646" s="13" t="str">
        <f>+HYPERLINK("http://trademark.i-assist.jp/data/china/image_1888th/77097686.pdf","77097686")</f>
        <v>77097686</v>
      </c>
      <c r="F1646" s="7" t="s">
        <v>4591</v>
      </c>
      <c r="G1646" s="7" t="s">
        <v>4592</v>
      </c>
      <c r="H1646" s="7" t="s">
        <v>4593</v>
      </c>
      <c r="I1646" s="9">
        <v>45356</v>
      </c>
    </row>
    <row r="1647" spans="1:9" x14ac:dyDescent="0.15">
      <c r="A1647" s="6">
        <v>1646</v>
      </c>
      <c r="B1647" s="7" t="s">
        <v>10</v>
      </c>
      <c r="C1647" s="8">
        <v>1888</v>
      </c>
      <c r="D1647" s="9">
        <v>45432</v>
      </c>
      <c r="E1647" s="13" t="str">
        <f>+HYPERLINK("http://trademark.i-assist.jp/data/china/image_1888th/77097689.pdf","77097689")</f>
        <v>77097689</v>
      </c>
      <c r="F1647" s="7" t="s">
        <v>4594</v>
      </c>
      <c r="G1647" s="7" t="s">
        <v>4592</v>
      </c>
      <c r="H1647" s="7" t="s">
        <v>4595</v>
      </c>
      <c r="I1647" s="9">
        <v>45356</v>
      </c>
    </row>
    <row r="1648" spans="1:9" x14ac:dyDescent="0.15">
      <c r="A1648" s="6">
        <v>1647</v>
      </c>
      <c r="B1648" s="7" t="s">
        <v>10</v>
      </c>
      <c r="C1648" s="8">
        <v>1888</v>
      </c>
      <c r="D1648" s="9">
        <v>45432</v>
      </c>
      <c r="E1648" s="13" t="str">
        <f>+HYPERLINK("http://trademark.i-assist.jp/data/china/image_1888th/77097707.pdf","77097707")</f>
        <v>77097707</v>
      </c>
      <c r="F1648" s="7" t="s">
        <v>4596</v>
      </c>
      <c r="G1648" s="7" t="s">
        <v>4592</v>
      </c>
      <c r="H1648" s="7" t="s">
        <v>4597</v>
      </c>
      <c r="I1648" s="9">
        <v>45356</v>
      </c>
    </row>
    <row r="1649" spans="1:9" x14ac:dyDescent="0.15">
      <c r="A1649" s="6">
        <v>1648</v>
      </c>
      <c r="B1649" s="7" t="s">
        <v>10</v>
      </c>
      <c r="C1649" s="8">
        <v>1888</v>
      </c>
      <c r="D1649" s="9">
        <v>45432</v>
      </c>
      <c r="E1649" s="13" t="str">
        <f>+HYPERLINK("http://trademark.i-assist.jp/data/china/image_1888th/77097797.pdf","77097797")</f>
        <v>77097797</v>
      </c>
      <c r="F1649" s="7" t="s">
        <v>4598</v>
      </c>
      <c r="G1649" s="7" t="s">
        <v>4599</v>
      </c>
      <c r="H1649" s="7" t="s">
        <v>4600</v>
      </c>
      <c r="I1649" s="9">
        <v>45356</v>
      </c>
    </row>
    <row r="1650" spans="1:9" ht="27" x14ac:dyDescent="0.15">
      <c r="A1650" s="6">
        <v>1649</v>
      </c>
      <c r="B1650" s="7" t="s">
        <v>10</v>
      </c>
      <c r="C1650" s="8">
        <v>1888</v>
      </c>
      <c r="D1650" s="9">
        <v>45432</v>
      </c>
      <c r="E1650" s="13" t="str">
        <f>+HYPERLINK("http://trademark.i-assist.jp/data/china/image_1888th/77098218.pdf","77098218")</f>
        <v>77098218</v>
      </c>
      <c r="F1650" s="7" t="s">
        <v>4601</v>
      </c>
      <c r="G1650" s="7" t="s">
        <v>4602</v>
      </c>
      <c r="H1650" s="7" t="s">
        <v>4603</v>
      </c>
      <c r="I1650" s="9">
        <v>45356</v>
      </c>
    </row>
    <row r="1651" spans="1:9" x14ac:dyDescent="0.15">
      <c r="A1651" s="6">
        <v>1650</v>
      </c>
      <c r="B1651" s="7" t="s">
        <v>10</v>
      </c>
      <c r="C1651" s="8">
        <v>1888</v>
      </c>
      <c r="D1651" s="9">
        <v>45432</v>
      </c>
      <c r="E1651" s="13" t="str">
        <f>+HYPERLINK("http://trademark.i-assist.jp/data/china/image_1888th/77098457.pdf","77098457")</f>
        <v>77098457</v>
      </c>
      <c r="F1651" s="7" t="s">
        <v>4604</v>
      </c>
      <c r="G1651" s="7" t="s">
        <v>4605</v>
      </c>
      <c r="H1651" s="7" t="s">
        <v>4606</v>
      </c>
      <c r="I1651" s="9">
        <v>45356</v>
      </c>
    </row>
    <row r="1652" spans="1:9" ht="27" x14ac:dyDescent="0.15">
      <c r="A1652" s="6">
        <v>1651</v>
      </c>
      <c r="B1652" s="7" t="s">
        <v>10</v>
      </c>
      <c r="C1652" s="8">
        <v>1888</v>
      </c>
      <c r="D1652" s="9">
        <v>45432</v>
      </c>
      <c r="E1652" s="13" t="str">
        <f>+HYPERLINK("http://trademark.i-assist.jp/data/china/image_1888th/77098605.pdf","77098605")</f>
        <v>77098605</v>
      </c>
      <c r="F1652" s="7" t="s">
        <v>4607</v>
      </c>
      <c r="G1652" s="7" t="s">
        <v>4608</v>
      </c>
      <c r="H1652" s="7" t="s">
        <v>4609</v>
      </c>
      <c r="I1652" s="9">
        <v>45356</v>
      </c>
    </row>
    <row r="1653" spans="1:9" x14ac:dyDescent="0.15">
      <c r="A1653" s="6">
        <v>1652</v>
      </c>
      <c r="B1653" s="7" t="s">
        <v>10</v>
      </c>
      <c r="C1653" s="8">
        <v>1888</v>
      </c>
      <c r="D1653" s="9">
        <v>45432</v>
      </c>
      <c r="E1653" s="13" t="str">
        <f>+HYPERLINK("http://trademark.i-assist.jp/data/china/image_1888th/77098621.pdf","77098621")</f>
        <v>77098621</v>
      </c>
      <c r="F1653" s="7" t="s">
        <v>4610</v>
      </c>
      <c r="G1653" s="7" t="s">
        <v>4605</v>
      </c>
      <c r="H1653" s="7" t="s">
        <v>4611</v>
      </c>
      <c r="I1653" s="9">
        <v>45356</v>
      </c>
    </row>
    <row r="1654" spans="1:9" x14ac:dyDescent="0.15">
      <c r="A1654" s="6">
        <v>1653</v>
      </c>
      <c r="B1654" s="7" t="s">
        <v>10</v>
      </c>
      <c r="C1654" s="8">
        <v>1888</v>
      </c>
      <c r="D1654" s="9">
        <v>45432</v>
      </c>
      <c r="E1654" s="13" t="str">
        <f>+HYPERLINK("http://trademark.i-assist.jp/data/china/image_1888th/77098800.pdf","77098800")</f>
        <v>77098800</v>
      </c>
      <c r="F1654" s="7" t="s">
        <v>4612</v>
      </c>
      <c r="G1654" s="7" t="s">
        <v>4613</v>
      </c>
      <c r="H1654" s="7" t="s">
        <v>4614</v>
      </c>
      <c r="I1654" s="9">
        <v>45356</v>
      </c>
    </row>
    <row r="1655" spans="1:9" x14ac:dyDescent="0.15">
      <c r="A1655" s="6">
        <v>1654</v>
      </c>
      <c r="B1655" s="7" t="s">
        <v>10</v>
      </c>
      <c r="C1655" s="8">
        <v>1888</v>
      </c>
      <c r="D1655" s="9">
        <v>45432</v>
      </c>
      <c r="E1655" s="13" t="str">
        <f>+HYPERLINK("http://trademark.i-assist.jp/data/china/image_1888th/77099108.pdf","77099108")</f>
        <v>77099108</v>
      </c>
      <c r="F1655" s="7" t="s">
        <v>4615</v>
      </c>
      <c r="G1655" s="7" t="s">
        <v>4616</v>
      </c>
      <c r="H1655" s="7" t="s">
        <v>4617</v>
      </c>
      <c r="I1655" s="9">
        <v>45356</v>
      </c>
    </row>
    <row r="1656" spans="1:9" x14ac:dyDescent="0.15">
      <c r="A1656" s="6">
        <v>1655</v>
      </c>
      <c r="B1656" s="7" t="s">
        <v>10</v>
      </c>
      <c r="C1656" s="8">
        <v>1888</v>
      </c>
      <c r="D1656" s="9">
        <v>45432</v>
      </c>
      <c r="E1656" s="13" t="str">
        <f>+HYPERLINK("http://trademark.i-assist.jp/data/china/image_1888th/77099316.pdf","77099316")</f>
        <v>77099316</v>
      </c>
      <c r="F1656" s="7" t="s">
        <v>4618</v>
      </c>
      <c r="G1656" s="7" t="s">
        <v>4619</v>
      </c>
      <c r="H1656" s="7" t="s">
        <v>4620</v>
      </c>
      <c r="I1656" s="9">
        <v>45356</v>
      </c>
    </row>
    <row r="1657" spans="1:9" ht="27" x14ac:dyDescent="0.15">
      <c r="A1657" s="6">
        <v>1656</v>
      </c>
      <c r="B1657" s="7" t="s">
        <v>10</v>
      </c>
      <c r="C1657" s="8">
        <v>1888</v>
      </c>
      <c r="D1657" s="9">
        <v>45432</v>
      </c>
      <c r="E1657" s="13" t="str">
        <f>+HYPERLINK("http://trademark.i-assist.jp/data/china/image_1888th/77099424.pdf","77099424")</f>
        <v>77099424</v>
      </c>
      <c r="F1657" s="7" t="s">
        <v>4621</v>
      </c>
      <c r="G1657" s="7" t="s">
        <v>958</v>
      </c>
      <c r="H1657" s="7" t="s">
        <v>4622</v>
      </c>
      <c r="I1657" s="9">
        <v>45356</v>
      </c>
    </row>
    <row r="1658" spans="1:9" x14ac:dyDescent="0.15">
      <c r="A1658" s="6">
        <v>1657</v>
      </c>
      <c r="B1658" s="7" t="s">
        <v>10</v>
      </c>
      <c r="C1658" s="8">
        <v>1888</v>
      </c>
      <c r="D1658" s="9">
        <v>45432</v>
      </c>
      <c r="E1658" s="13" t="str">
        <f>+HYPERLINK("http://trademark.i-assist.jp/data/china/image_1888th/77099763.pdf","77099763")</f>
        <v>77099763</v>
      </c>
      <c r="F1658" s="7" t="s">
        <v>4623</v>
      </c>
      <c r="G1658" s="7" t="s">
        <v>4624</v>
      </c>
      <c r="H1658" s="7" t="s">
        <v>4625</v>
      </c>
      <c r="I1658" s="9">
        <v>45356</v>
      </c>
    </row>
    <row r="1659" spans="1:9" x14ac:dyDescent="0.15">
      <c r="A1659" s="6">
        <v>1658</v>
      </c>
      <c r="B1659" s="7" t="s">
        <v>10</v>
      </c>
      <c r="C1659" s="8">
        <v>1888</v>
      </c>
      <c r="D1659" s="9">
        <v>45432</v>
      </c>
      <c r="E1659" s="13" t="str">
        <f>+HYPERLINK("http://trademark.i-assist.jp/data/china/image_1888th/77099765.pdf","77099765")</f>
        <v>77099765</v>
      </c>
      <c r="F1659" s="7" t="s">
        <v>4626</v>
      </c>
      <c r="G1659" s="7" t="s">
        <v>4627</v>
      </c>
      <c r="H1659" s="7" t="s">
        <v>4628</v>
      </c>
      <c r="I1659" s="9">
        <v>45356</v>
      </c>
    </row>
    <row r="1660" spans="1:9" x14ac:dyDescent="0.15">
      <c r="A1660" s="6">
        <v>1659</v>
      </c>
      <c r="B1660" s="7" t="s">
        <v>10</v>
      </c>
      <c r="C1660" s="8">
        <v>1888</v>
      </c>
      <c r="D1660" s="9">
        <v>45432</v>
      </c>
      <c r="E1660" s="13" t="str">
        <f>+HYPERLINK("http://trademark.i-assist.jp/data/china/image_1888th/77100037.pdf","77100037")</f>
        <v>77100037</v>
      </c>
      <c r="F1660" s="7" t="s">
        <v>4629</v>
      </c>
      <c r="G1660" s="7" t="s">
        <v>4630</v>
      </c>
      <c r="H1660" s="7" t="s">
        <v>4631</v>
      </c>
      <c r="I1660" s="9">
        <v>45356</v>
      </c>
    </row>
    <row r="1661" spans="1:9" ht="27" x14ac:dyDescent="0.15">
      <c r="A1661" s="6">
        <v>1660</v>
      </c>
      <c r="B1661" s="7" t="s">
        <v>10</v>
      </c>
      <c r="C1661" s="8">
        <v>1888</v>
      </c>
      <c r="D1661" s="9">
        <v>45432</v>
      </c>
      <c r="E1661" s="13" t="str">
        <f>+HYPERLINK("http://trademark.i-assist.jp/data/china/image_1888th/77100145.pdf","77100145")</f>
        <v>77100145</v>
      </c>
      <c r="F1661" s="7" t="s">
        <v>4632</v>
      </c>
      <c r="G1661" s="7" t="s">
        <v>4633</v>
      </c>
      <c r="H1661" s="7" t="s">
        <v>4634</v>
      </c>
      <c r="I1661" s="9">
        <v>45356</v>
      </c>
    </row>
    <row r="1662" spans="1:9" x14ac:dyDescent="0.15">
      <c r="A1662" s="6">
        <v>1661</v>
      </c>
      <c r="B1662" s="7" t="s">
        <v>10</v>
      </c>
      <c r="C1662" s="8">
        <v>1888</v>
      </c>
      <c r="D1662" s="9">
        <v>45432</v>
      </c>
      <c r="E1662" s="13" t="str">
        <f>+HYPERLINK("http://trademark.i-assist.jp/data/china/image_1888th/77100357.pdf","77100357")</f>
        <v>77100357</v>
      </c>
      <c r="F1662" s="7" t="s">
        <v>4635</v>
      </c>
      <c r="G1662" s="7" t="s">
        <v>4636</v>
      </c>
      <c r="H1662" s="7" t="s">
        <v>4637</v>
      </c>
      <c r="I1662" s="9">
        <v>45356</v>
      </c>
    </row>
    <row r="1663" spans="1:9" x14ac:dyDescent="0.15">
      <c r="A1663" s="6">
        <v>1662</v>
      </c>
      <c r="B1663" s="7" t="s">
        <v>10</v>
      </c>
      <c r="C1663" s="8">
        <v>1888</v>
      </c>
      <c r="D1663" s="9">
        <v>45432</v>
      </c>
      <c r="E1663" s="13" t="str">
        <f>+HYPERLINK("http://trademark.i-assist.jp/data/china/image_1888th/77100499.pdf","77100499")</f>
        <v>77100499</v>
      </c>
      <c r="F1663" s="7" t="s">
        <v>76</v>
      </c>
      <c r="G1663" s="7" t="s">
        <v>4638</v>
      </c>
      <c r="H1663" s="7" t="s">
        <v>4639</v>
      </c>
      <c r="I1663" s="9">
        <v>45356</v>
      </c>
    </row>
    <row r="1664" spans="1:9" x14ac:dyDescent="0.15">
      <c r="A1664" s="6">
        <v>1663</v>
      </c>
      <c r="B1664" s="7" t="s">
        <v>10</v>
      </c>
      <c r="C1664" s="8">
        <v>1888</v>
      </c>
      <c r="D1664" s="9">
        <v>45432</v>
      </c>
      <c r="E1664" s="13" t="str">
        <f>+HYPERLINK("http://trademark.i-assist.jp/data/china/image_1888th/77100636.pdf","77100636")</f>
        <v>77100636</v>
      </c>
      <c r="F1664" s="7" t="s">
        <v>4640</v>
      </c>
      <c r="G1664" s="7" t="s">
        <v>4641</v>
      </c>
      <c r="H1664" s="7" t="s">
        <v>4642</v>
      </c>
      <c r="I1664" s="9">
        <v>45356</v>
      </c>
    </row>
    <row r="1665" spans="1:9" x14ac:dyDescent="0.15">
      <c r="A1665" s="6">
        <v>1664</v>
      </c>
      <c r="B1665" s="7" t="s">
        <v>10</v>
      </c>
      <c r="C1665" s="8">
        <v>1888</v>
      </c>
      <c r="D1665" s="9">
        <v>45432</v>
      </c>
      <c r="E1665" s="13" t="str">
        <f>+HYPERLINK("http://trademark.i-assist.jp/data/china/image_1888th/77100679.pdf","77100679")</f>
        <v>77100679</v>
      </c>
      <c r="F1665" s="7" t="s">
        <v>4643</v>
      </c>
      <c r="G1665" s="7" t="s">
        <v>4644</v>
      </c>
      <c r="H1665" s="7" t="s">
        <v>4645</v>
      </c>
      <c r="I1665" s="9">
        <v>45356</v>
      </c>
    </row>
    <row r="1666" spans="1:9" x14ac:dyDescent="0.15">
      <c r="A1666" s="6">
        <v>1665</v>
      </c>
      <c r="B1666" s="7" t="s">
        <v>10</v>
      </c>
      <c r="C1666" s="8">
        <v>1888</v>
      </c>
      <c r="D1666" s="9">
        <v>45432</v>
      </c>
      <c r="E1666" s="13" t="str">
        <f>+HYPERLINK("http://trademark.i-assist.jp/data/china/image_1888th/77100854.pdf","77100854")</f>
        <v>77100854</v>
      </c>
      <c r="F1666" s="7" t="s">
        <v>4646</v>
      </c>
      <c r="G1666" s="7" t="s">
        <v>4647</v>
      </c>
      <c r="H1666" s="7" t="s">
        <v>4648</v>
      </c>
      <c r="I1666" s="9">
        <v>45356</v>
      </c>
    </row>
    <row r="1667" spans="1:9" x14ac:dyDescent="0.15">
      <c r="A1667" s="6">
        <v>1666</v>
      </c>
      <c r="B1667" s="7" t="s">
        <v>10</v>
      </c>
      <c r="C1667" s="8">
        <v>1888</v>
      </c>
      <c r="D1667" s="9">
        <v>45432</v>
      </c>
      <c r="E1667" s="13" t="str">
        <f>+HYPERLINK("http://trademark.i-assist.jp/data/china/image_1888th/77101044.pdf","77101044")</f>
        <v>77101044</v>
      </c>
      <c r="F1667" s="7" t="s">
        <v>4649</v>
      </c>
      <c r="G1667" s="7" t="s">
        <v>4650</v>
      </c>
      <c r="H1667" s="7" t="s">
        <v>4651</v>
      </c>
      <c r="I1667" s="9">
        <v>45356</v>
      </c>
    </row>
    <row r="1668" spans="1:9" ht="27" x14ac:dyDescent="0.15">
      <c r="A1668" s="6">
        <v>1667</v>
      </c>
      <c r="B1668" s="7" t="s">
        <v>10</v>
      </c>
      <c r="C1668" s="8">
        <v>1888</v>
      </c>
      <c r="D1668" s="9">
        <v>45432</v>
      </c>
      <c r="E1668" s="13" t="str">
        <f>+HYPERLINK("http://trademark.i-assist.jp/data/china/image_1888th/77101168.pdf","77101168")</f>
        <v>77101168</v>
      </c>
      <c r="F1668" s="7" t="s">
        <v>4652</v>
      </c>
      <c r="G1668" s="7" t="s">
        <v>4653</v>
      </c>
      <c r="H1668" s="7" t="s">
        <v>4654</v>
      </c>
      <c r="I1668" s="9">
        <v>45356</v>
      </c>
    </row>
    <row r="1669" spans="1:9" x14ac:dyDescent="0.15">
      <c r="A1669" s="6">
        <v>1668</v>
      </c>
      <c r="B1669" s="7" t="s">
        <v>10</v>
      </c>
      <c r="C1669" s="8">
        <v>1888</v>
      </c>
      <c r="D1669" s="9">
        <v>45432</v>
      </c>
      <c r="E1669" s="13" t="str">
        <f>+HYPERLINK("http://trademark.i-assist.jp/data/china/image_1888th/77101453.pdf","77101453")</f>
        <v>77101453</v>
      </c>
      <c r="F1669" s="7" t="s">
        <v>4655</v>
      </c>
      <c r="G1669" s="7" t="s">
        <v>4656</v>
      </c>
      <c r="H1669" s="7" t="s">
        <v>4657</v>
      </c>
      <c r="I1669" s="9">
        <v>45356</v>
      </c>
    </row>
    <row r="1670" spans="1:9" x14ac:dyDescent="0.15">
      <c r="A1670" s="6">
        <v>1669</v>
      </c>
      <c r="B1670" s="7" t="s">
        <v>10</v>
      </c>
      <c r="C1670" s="8">
        <v>1888</v>
      </c>
      <c r="D1670" s="9">
        <v>45432</v>
      </c>
      <c r="E1670" s="13" t="str">
        <f>+HYPERLINK("http://trademark.i-assist.jp/data/china/image_1888th/77101470.pdf","77101470")</f>
        <v>77101470</v>
      </c>
      <c r="F1670" s="7" t="s">
        <v>4658</v>
      </c>
      <c r="G1670" s="7" t="s">
        <v>4659</v>
      </c>
      <c r="H1670" s="7" t="s">
        <v>4660</v>
      </c>
      <c r="I1670" s="9">
        <v>45356</v>
      </c>
    </row>
    <row r="1671" spans="1:9" x14ac:dyDescent="0.15">
      <c r="A1671" s="6">
        <v>1670</v>
      </c>
      <c r="B1671" s="7" t="s">
        <v>10</v>
      </c>
      <c r="C1671" s="8">
        <v>1888</v>
      </c>
      <c r="D1671" s="9">
        <v>45432</v>
      </c>
      <c r="E1671" s="13" t="str">
        <f>+HYPERLINK("http://trademark.i-assist.jp/data/china/image_1888th/77101477.pdf","77101477")</f>
        <v>77101477</v>
      </c>
      <c r="F1671" s="7" t="s">
        <v>4661</v>
      </c>
      <c r="G1671" s="7" t="s">
        <v>4662</v>
      </c>
      <c r="H1671" s="7" t="s">
        <v>4663</v>
      </c>
      <c r="I1671" s="9">
        <v>45356</v>
      </c>
    </row>
    <row r="1672" spans="1:9" x14ac:dyDescent="0.15">
      <c r="A1672" s="6">
        <v>1671</v>
      </c>
      <c r="B1672" s="7" t="s">
        <v>10</v>
      </c>
      <c r="C1672" s="8">
        <v>1888</v>
      </c>
      <c r="D1672" s="9">
        <v>45432</v>
      </c>
      <c r="E1672" s="13" t="str">
        <f>+HYPERLINK("http://trademark.i-assist.jp/data/china/image_1888th/77101725.pdf","77101725")</f>
        <v>77101725</v>
      </c>
      <c r="F1672" s="7" t="s">
        <v>76</v>
      </c>
      <c r="G1672" s="7" t="s">
        <v>4664</v>
      </c>
      <c r="H1672" s="7" t="s">
        <v>4665</v>
      </c>
      <c r="I1672" s="9">
        <v>45356</v>
      </c>
    </row>
    <row r="1673" spans="1:9" x14ac:dyDescent="0.15">
      <c r="A1673" s="6">
        <v>1672</v>
      </c>
      <c r="B1673" s="7" t="s">
        <v>10</v>
      </c>
      <c r="C1673" s="8">
        <v>1888</v>
      </c>
      <c r="D1673" s="9">
        <v>45432</v>
      </c>
      <c r="E1673" s="13" t="str">
        <f>+HYPERLINK("http://trademark.i-assist.jp/data/china/image_1888th/77101786.pdf","77101786")</f>
        <v>77101786</v>
      </c>
      <c r="F1673" s="7" t="s">
        <v>4666</v>
      </c>
      <c r="G1673" s="7" t="s">
        <v>4667</v>
      </c>
      <c r="H1673" s="7" t="s">
        <v>4668</v>
      </c>
      <c r="I1673" s="9">
        <v>45356</v>
      </c>
    </row>
    <row r="1674" spans="1:9" x14ac:dyDescent="0.15">
      <c r="A1674" s="6">
        <v>1673</v>
      </c>
      <c r="B1674" s="7" t="s">
        <v>10</v>
      </c>
      <c r="C1674" s="8">
        <v>1888</v>
      </c>
      <c r="D1674" s="9">
        <v>45432</v>
      </c>
      <c r="E1674" s="13" t="str">
        <f>+HYPERLINK("http://trademark.i-assist.jp/data/china/image_1888th/77101981.pdf","77101981")</f>
        <v>77101981</v>
      </c>
      <c r="F1674" s="7" t="s">
        <v>4669</v>
      </c>
      <c r="G1674" s="7" t="s">
        <v>4670</v>
      </c>
      <c r="H1674" s="7" t="s">
        <v>4671</v>
      </c>
      <c r="I1674" s="9">
        <v>45356</v>
      </c>
    </row>
    <row r="1675" spans="1:9" ht="27" x14ac:dyDescent="0.15">
      <c r="A1675" s="6">
        <v>1674</v>
      </c>
      <c r="B1675" s="7" t="s">
        <v>10</v>
      </c>
      <c r="C1675" s="8">
        <v>1888</v>
      </c>
      <c r="D1675" s="9">
        <v>45432</v>
      </c>
      <c r="E1675" s="13" t="str">
        <f>+HYPERLINK("http://trademark.i-assist.jp/data/china/image_1888th/77102044.pdf","77102044")</f>
        <v>77102044</v>
      </c>
      <c r="F1675" s="7" t="s">
        <v>4672</v>
      </c>
      <c r="G1675" s="7" t="s">
        <v>4673</v>
      </c>
      <c r="H1675" s="7" t="s">
        <v>4674</v>
      </c>
      <c r="I1675" s="9">
        <v>45356</v>
      </c>
    </row>
    <row r="1676" spans="1:9" x14ac:dyDescent="0.15">
      <c r="A1676" s="6">
        <v>1675</v>
      </c>
      <c r="B1676" s="7" t="s">
        <v>10</v>
      </c>
      <c r="C1676" s="8">
        <v>1888</v>
      </c>
      <c r="D1676" s="9">
        <v>45432</v>
      </c>
      <c r="E1676" s="13" t="str">
        <f>+HYPERLINK("http://trademark.i-assist.jp/data/china/image_1888th/77102390.pdf","77102390")</f>
        <v>77102390</v>
      </c>
      <c r="F1676" s="7" t="s">
        <v>4675</v>
      </c>
      <c r="G1676" s="7" t="s">
        <v>4676</v>
      </c>
      <c r="H1676" s="7" t="s">
        <v>4677</v>
      </c>
      <c r="I1676" s="9">
        <v>45356</v>
      </c>
    </row>
    <row r="1677" spans="1:9" x14ac:dyDescent="0.15">
      <c r="A1677" s="6">
        <v>1676</v>
      </c>
      <c r="B1677" s="7" t="s">
        <v>10</v>
      </c>
      <c r="C1677" s="8">
        <v>1888</v>
      </c>
      <c r="D1677" s="9">
        <v>45432</v>
      </c>
      <c r="E1677" s="13" t="str">
        <f>+HYPERLINK("http://trademark.i-assist.jp/data/china/image_1888th/77102530.pdf","77102530")</f>
        <v>77102530</v>
      </c>
      <c r="F1677" s="7" t="s">
        <v>4678</v>
      </c>
      <c r="G1677" s="7" t="s">
        <v>4679</v>
      </c>
      <c r="H1677" s="7" t="s">
        <v>4680</v>
      </c>
      <c r="I1677" s="9">
        <v>45356</v>
      </c>
    </row>
    <row r="1678" spans="1:9" ht="27" x14ac:dyDescent="0.15">
      <c r="A1678" s="6">
        <v>1677</v>
      </c>
      <c r="B1678" s="7" t="s">
        <v>10</v>
      </c>
      <c r="C1678" s="8">
        <v>1888</v>
      </c>
      <c r="D1678" s="9">
        <v>45432</v>
      </c>
      <c r="E1678" s="13" t="str">
        <f>+HYPERLINK("http://trademark.i-assist.jp/data/china/image_1888th/77102879.pdf","77102879")</f>
        <v>77102879</v>
      </c>
      <c r="F1678" s="7" t="s">
        <v>4681</v>
      </c>
      <c r="G1678" s="7" t="s">
        <v>4682</v>
      </c>
      <c r="H1678" s="7" t="s">
        <v>4683</v>
      </c>
      <c r="I1678" s="9">
        <v>45356</v>
      </c>
    </row>
    <row r="1679" spans="1:9" x14ac:dyDescent="0.15">
      <c r="A1679" s="6">
        <v>1678</v>
      </c>
      <c r="B1679" s="7" t="s">
        <v>10</v>
      </c>
      <c r="C1679" s="8">
        <v>1888</v>
      </c>
      <c r="D1679" s="9">
        <v>45432</v>
      </c>
      <c r="E1679" s="13" t="str">
        <f>+HYPERLINK("http://trademark.i-assist.jp/data/china/image_1888th/77102961.pdf","77102961")</f>
        <v>77102961</v>
      </c>
      <c r="F1679" s="7" t="s">
        <v>4684</v>
      </c>
      <c r="G1679" s="7" t="s">
        <v>4685</v>
      </c>
      <c r="H1679" s="7" t="s">
        <v>4686</v>
      </c>
      <c r="I1679" s="9">
        <v>45356</v>
      </c>
    </row>
    <row r="1680" spans="1:9" ht="27" x14ac:dyDescent="0.15">
      <c r="A1680" s="6">
        <v>1679</v>
      </c>
      <c r="B1680" s="7" t="s">
        <v>10</v>
      </c>
      <c r="C1680" s="8">
        <v>1888</v>
      </c>
      <c r="D1680" s="9">
        <v>45432</v>
      </c>
      <c r="E1680" s="13" t="str">
        <f>+HYPERLINK("http://trademark.i-assist.jp/data/china/image_1888th/77102985.pdf","77102985")</f>
        <v>77102985</v>
      </c>
      <c r="F1680" s="7" t="s">
        <v>4687</v>
      </c>
      <c r="G1680" s="7" t="s">
        <v>4688</v>
      </c>
      <c r="H1680" s="7" t="s">
        <v>4689</v>
      </c>
      <c r="I1680" s="9">
        <v>45356</v>
      </c>
    </row>
    <row r="1681" spans="1:9" x14ac:dyDescent="0.15">
      <c r="A1681" s="6">
        <v>1680</v>
      </c>
      <c r="B1681" s="7" t="s">
        <v>10</v>
      </c>
      <c r="C1681" s="8">
        <v>1888</v>
      </c>
      <c r="D1681" s="9">
        <v>45432</v>
      </c>
      <c r="E1681" s="13" t="str">
        <f>+HYPERLINK("http://trademark.i-assist.jp/data/china/image_1888th/77102993.pdf","77102993")</f>
        <v>77102993</v>
      </c>
      <c r="F1681" s="7" t="s">
        <v>4690</v>
      </c>
      <c r="G1681" s="7" t="s">
        <v>4691</v>
      </c>
      <c r="H1681" s="7" t="s">
        <v>4692</v>
      </c>
      <c r="I1681" s="9">
        <v>45356</v>
      </c>
    </row>
    <row r="1682" spans="1:9" x14ac:dyDescent="0.15">
      <c r="A1682" s="6">
        <v>1681</v>
      </c>
      <c r="B1682" s="7" t="s">
        <v>10</v>
      </c>
      <c r="C1682" s="8">
        <v>1888</v>
      </c>
      <c r="D1682" s="9">
        <v>45432</v>
      </c>
      <c r="E1682" s="13" t="str">
        <f>+HYPERLINK("http://trademark.i-assist.jp/data/china/image_1888th/77103150.pdf","77103150")</f>
        <v>77103150</v>
      </c>
      <c r="F1682" s="7" t="s">
        <v>4693</v>
      </c>
      <c r="G1682" s="7" t="s">
        <v>4694</v>
      </c>
      <c r="H1682" s="7" t="s">
        <v>4695</v>
      </c>
      <c r="I1682" s="9">
        <v>45356</v>
      </c>
    </row>
    <row r="1683" spans="1:9" ht="27" x14ac:dyDescent="0.15">
      <c r="A1683" s="6">
        <v>1682</v>
      </c>
      <c r="B1683" s="7" t="s">
        <v>10</v>
      </c>
      <c r="C1683" s="8">
        <v>1888</v>
      </c>
      <c r="D1683" s="9">
        <v>45432</v>
      </c>
      <c r="E1683" s="13" t="str">
        <f>+HYPERLINK("http://trademark.i-assist.jp/data/china/image_1888th/77103157.pdf","77103157")</f>
        <v>77103157</v>
      </c>
      <c r="F1683" s="7" t="s">
        <v>4696</v>
      </c>
      <c r="G1683" s="7" t="s">
        <v>4697</v>
      </c>
      <c r="H1683" s="7" t="s">
        <v>4698</v>
      </c>
      <c r="I1683" s="9">
        <v>45356</v>
      </c>
    </row>
    <row r="1684" spans="1:9" x14ac:dyDescent="0.15">
      <c r="A1684" s="6">
        <v>1683</v>
      </c>
      <c r="B1684" s="7" t="s">
        <v>10</v>
      </c>
      <c r="C1684" s="8">
        <v>1888</v>
      </c>
      <c r="D1684" s="9">
        <v>45432</v>
      </c>
      <c r="E1684" s="13" t="str">
        <f>+HYPERLINK("http://trademark.i-assist.jp/data/china/image_1888th/77103222.pdf","77103222")</f>
        <v>77103222</v>
      </c>
      <c r="F1684" s="7" t="s">
        <v>4699</v>
      </c>
      <c r="G1684" s="7" t="s">
        <v>4605</v>
      </c>
      <c r="H1684" s="7" t="s">
        <v>4700</v>
      </c>
      <c r="I1684" s="9">
        <v>45356</v>
      </c>
    </row>
    <row r="1685" spans="1:9" x14ac:dyDescent="0.15">
      <c r="A1685" s="6">
        <v>1684</v>
      </c>
      <c r="B1685" s="7" t="s">
        <v>10</v>
      </c>
      <c r="C1685" s="8">
        <v>1888</v>
      </c>
      <c r="D1685" s="9">
        <v>45432</v>
      </c>
      <c r="E1685" s="13" t="str">
        <f>+HYPERLINK("http://trademark.i-assist.jp/data/china/image_1888th/77103286.pdf","77103286")</f>
        <v>77103286</v>
      </c>
      <c r="F1685" s="7" t="s">
        <v>4701</v>
      </c>
      <c r="G1685" s="7" t="s">
        <v>4702</v>
      </c>
      <c r="H1685" s="7" t="s">
        <v>4703</v>
      </c>
      <c r="I1685" s="9">
        <v>45356</v>
      </c>
    </row>
    <row r="1686" spans="1:9" x14ac:dyDescent="0.15">
      <c r="A1686" s="6">
        <v>1685</v>
      </c>
      <c r="B1686" s="7" t="s">
        <v>10</v>
      </c>
      <c r="C1686" s="8">
        <v>1888</v>
      </c>
      <c r="D1686" s="9">
        <v>45432</v>
      </c>
      <c r="E1686" s="13" t="str">
        <f>+HYPERLINK("http://trademark.i-assist.jp/data/china/image_1888th/77103426.pdf","77103426")</f>
        <v>77103426</v>
      </c>
      <c r="F1686" s="7" t="s">
        <v>4704</v>
      </c>
      <c r="G1686" s="7" t="s">
        <v>4705</v>
      </c>
      <c r="H1686" s="7" t="s">
        <v>4706</v>
      </c>
      <c r="I1686" s="9">
        <v>45356</v>
      </c>
    </row>
    <row r="1687" spans="1:9" x14ac:dyDescent="0.15">
      <c r="A1687" s="6">
        <v>1686</v>
      </c>
      <c r="B1687" s="7" t="s">
        <v>10</v>
      </c>
      <c r="C1687" s="8">
        <v>1888</v>
      </c>
      <c r="D1687" s="9">
        <v>45432</v>
      </c>
      <c r="E1687" s="13" t="str">
        <f>+HYPERLINK("http://trademark.i-assist.jp/data/china/image_1888th/77103575.pdf","77103575")</f>
        <v>77103575</v>
      </c>
      <c r="F1687" s="7" t="s">
        <v>4707</v>
      </c>
      <c r="G1687" s="7" t="s">
        <v>4708</v>
      </c>
      <c r="H1687" s="7" t="s">
        <v>4709</v>
      </c>
      <c r="I1687" s="9">
        <v>45356</v>
      </c>
    </row>
    <row r="1688" spans="1:9" ht="27" x14ac:dyDescent="0.15">
      <c r="A1688" s="6">
        <v>1687</v>
      </c>
      <c r="B1688" s="7" t="s">
        <v>10</v>
      </c>
      <c r="C1688" s="8">
        <v>1888</v>
      </c>
      <c r="D1688" s="9">
        <v>45432</v>
      </c>
      <c r="E1688" s="13" t="str">
        <f>+HYPERLINK("http://trademark.i-assist.jp/data/china/image_1888th/77104073.pdf","77104073")</f>
        <v>77104073</v>
      </c>
      <c r="F1688" s="7" t="s">
        <v>4710</v>
      </c>
      <c r="G1688" s="7" t="s">
        <v>4711</v>
      </c>
      <c r="H1688" s="7" t="s">
        <v>4712</v>
      </c>
      <c r="I1688" s="9">
        <v>45356</v>
      </c>
    </row>
    <row r="1689" spans="1:9" x14ac:dyDescent="0.15">
      <c r="A1689" s="6">
        <v>1688</v>
      </c>
      <c r="B1689" s="7" t="s">
        <v>10</v>
      </c>
      <c r="C1689" s="8">
        <v>1888</v>
      </c>
      <c r="D1689" s="9">
        <v>45432</v>
      </c>
      <c r="E1689" s="13" t="str">
        <f>+HYPERLINK("http://trademark.i-assist.jp/data/china/image_1888th/77104260.pdf","77104260")</f>
        <v>77104260</v>
      </c>
      <c r="F1689" s="7" t="s">
        <v>4713</v>
      </c>
      <c r="G1689" s="7" t="s">
        <v>4714</v>
      </c>
      <c r="H1689" s="7" t="s">
        <v>4715</v>
      </c>
      <c r="I1689" s="9">
        <v>45356</v>
      </c>
    </row>
    <row r="1690" spans="1:9" x14ac:dyDescent="0.15">
      <c r="A1690" s="6">
        <v>1689</v>
      </c>
      <c r="B1690" s="7" t="s">
        <v>10</v>
      </c>
      <c r="C1690" s="8">
        <v>1888</v>
      </c>
      <c r="D1690" s="9">
        <v>45432</v>
      </c>
      <c r="E1690" s="13" t="str">
        <f>+HYPERLINK("http://trademark.i-assist.jp/data/china/image_1888th/77104438.pdf","77104438")</f>
        <v>77104438</v>
      </c>
      <c r="F1690" s="7" t="s">
        <v>4716</v>
      </c>
      <c r="G1690" s="7" t="s">
        <v>4647</v>
      </c>
      <c r="H1690" s="7" t="s">
        <v>4717</v>
      </c>
      <c r="I1690" s="9">
        <v>45356</v>
      </c>
    </row>
    <row r="1691" spans="1:9" x14ac:dyDescent="0.15">
      <c r="A1691" s="6">
        <v>1690</v>
      </c>
      <c r="B1691" s="7" t="s">
        <v>10</v>
      </c>
      <c r="C1691" s="8">
        <v>1888</v>
      </c>
      <c r="D1691" s="9">
        <v>45432</v>
      </c>
      <c r="E1691" s="13" t="str">
        <f>+HYPERLINK("http://trademark.i-assist.jp/data/china/image_1888th/77104558.pdf","77104558")</f>
        <v>77104558</v>
      </c>
      <c r="F1691" s="7" t="s">
        <v>4718</v>
      </c>
      <c r="G1691" s="7" t="s">
        <v>4719</v>
      </c>
      <c r="H1691" s="7" t="s">
        <v>4720</v>
      </c>
      <c r="I1691" s="9">
        <v>45356</v>
      </c>
    </row>
    <row r="1692" spans="1:9" x14ac:dyDescent="0.15">
      <c r="A1692" s="6">
        <v>1691</v>
      </c>
      <c r="B1692" s="7" t="s">
        <v>10</v>
      </c>
      <c r="C1692" s="8">
        <v>1888</v>
      </c>
      <c r="D1692" s="9">
        <v>45432</v>
      </c>
      <c r="E1692" s="13" t="str">
        <f>+HYPERLINK("http://trademark.i-assist.jp/data/china/image_1888th/77104746.pdf","77104746")</f>
        <v>77104746</v>
      </c>
      <c r="F1692" s="7" t="s">
        <v>4721</v>
      </c>
      <c r="G1692" s="7" t="s">
        <v>4722</v>
      </c>
      <c r="H1692" s="7" t="s">
        <v>4723</v>
      </c>
      <c r="I1692" s="9">
        <v>45356</v>
      </c>
    </row>
    <row r="1693" spans="1:9" x14ac:dyDescent="0.15">
      <c r="A1693" s="6">
        <v>1692</v>
      </c>
      <c r="B1693" s="7" t="s">
        <v>10</v>
      </c>
      <c r="C1693" s="8">
        <v>1888</v>
      </c>
      <c r="D1693" s="9">
        <v>45432</v>
      </c>
      <c r="E1693" s="13" t="str">
        <f>+HYPERLINK("http://trademark.i-assist.jp/data/china/image_1888th/77104969.pdf","77104969")</f>
        <v>77104969</v>
      </c>
      <c r="F1693" s="7" t="s">
        <v>4724</v>
      </c>
      <c r="G1693" s="7" t="s">
        <v>4725</v>
      </c>
      <c r="H1693" s="7" t="s">
        <v>4726</v>
      </c>
      <c r="I1693" s="9">
        <v>45356</v>
      </c>
    </row>
    <row r="1694" spans="1:9" x14ac:dyDescent="0.15">
      <c r="A1694" s="6">
        <v>1693</v>
      </c>
      <c r="B1694" s="7" t="s">
        <v>10</v>
      </c>
      <c r="C1694" s="8">
        <v>1888</v>
      </c>
      <c r="D1694" s="9">
        <v>45432</v>
      </c>
      <c r="E1694" s="13" t="str">
        <f>+HYPERLINK("http://trademark.i-assist.jp/data/china/image_1888th/77105158.pdf","77105158")</f>
        <v>77105158</v>
      </c>
      <c r="F1694" s="7" t="s">
        <v>4727</v>
      </c>
      <c r="G1694" s="7" t="s">
        <v>4728</v>
      </c>
      <c r="H1694" s="7" t="s">
        <v>4729</v>
      </c>
      <c r="I1694" s="9">
        <v>45356</v>
      </c>
    </row>
    <row r="1695" spans="1:9" x14ac:dyDescent="0.15">
      <c r="A1695" s="6">
        <v>1694</v>
      </c>
      <c r="B1695" s="7" t="s">
        <v>10</v>
      </c>
      <c r="C1695" s="8">
        <v>1888</v>
      </c>
      <c r="D1695" s="9">
        <v>45432</v>
      </c>
      <c r="E1695" s="13" t="str">
        <f>+HYPERLINK("http://trademark.i-assist.jp/data/china/image_1888th/77105330.pdf","77105330")</f>
        <v>77105330</v>
      </c>
      <c r="F1695" s="7" t="s">
        <v>4730</v>
      </c>
      <c r="G1695" s="7" t="s">
        <v>4731</v>
      </c>
      <c r="H1695" s="7" t="s">
        <v>4732</v>
      </c>
      <c r="I1695" s="9">
        <v>45356</v>
      </c>
    </row>
    <row r="1696" spans="1:9" x14ac:dyDescent="0.15">
      <c r="A1696" s="6">
        <v>1695</v>
      </c>
      <c r="B1696" s="7" t="s">
        <v>10</v>
      </c>
      <c r="C1696" s="8">
        <v>1888</v>
      </c>
      <c r="D1696" s="9">
        <v>45432</v>
      </c>
      <c r="E1696" s="13" t="str">
        <f>+HYPERLINK("http://trademark.i-assist.jp/data/china/image_1888th/77105368.pdf","77105368")</f>
        <v>77105368</v>
      </c>
      <c r="F1696" s="7" t="s">
        <v>4733</v>
      </c>
      <c r="G1696" s="7" t="s">
        <v>4734</v>
      </c>
      <c r="H1696" s="7" t="s">
        <v>4735</v>
      </c>
      <c r="I1696" s="9">
        <v>45356</v>
      </c>
    </row>
    <row r="1697" spans="1:9" x14ac:dyDescent="0.15">
      <c r="A1697" s="6">
        <v>1696</v>
      </c>
      <c r="B1697" s="7" t="s">
        <v>10</v>
      </c>
      <c r="C1697" s="8">
        <v>1888</v>
      </c>
      <c r="D1697" s="9">
        <v>45432</v>
      </c>
      <c r="E1697" s="13" t="str">
        <f>+HYPERLINK("http://trademark.i-assist.jp/data/china/image_1888th/77105387.pdf","77105387")</f>
        <v>77105387</v>
      </c>
      <c r="F1697" s="7" t="s">
        <v>4736</v>
      </c>
      <c r="G1697" s="7" t="s">
        <v>4737</v>
      </c>
      <c r="H1697" s="7" t="s">
        <v>4738</v>
      </c>
      <c r="I1697" s="9">
        <v>45356</v>
      </c>
    </row>
    <row r="1698" spans="1:9" x14ac:dyDescent="0.15">
      <c r="A1698" s="6">
        <v>1697</v>
      </c>
      <c r="B1698" s="7" t="s">
        <v>10</v>
      </c>
      <c r="C1698" s="8">
        <v>1888</v>
      </c>
      <c r="D1698" s="9">
        <v>45432</v>
      </c>
      <c r="E1698" s="13" t="str">
        <f>+HYPERLINK("http://trademark.i-assist.jp/data/china/image_1888th/77105407.pdf","77105407")</f>
        <v>77105407</v>
      </c>
      <c r="F1698" s="7" t="s">
        <v>4739</v>
      </c>
      <c r="G1698" s="7" t="s">
        <v>4740</v>
      </c>
      <c r="H1698" s="7" t="s">
        <v>4741</v>
      </c>
      <c r="I1698" s="9">
        <v>45356</v>
      </c>
    </row>
    <row r="1699" spans="1:9" x14ac:dyDescent="0.15">
      <c r="A1699" s="6">
        <v>1698</v>
      </c>
      <c r="B1699" s="7" t="s">
        <v>10</v>
      </c>
      <c r="C1699" s="8">
        <v>1888</v>
      </c>
      <c r="D1699" s="9">
        <v>45432</v>
      </c>
      <c r="E1699" s="13" t="str">
        <f>+HYPERLINK("http://trademark.i-assist.jp/data/china/image_1888th/77105432.pdf","77105432")</f>
        <v>77105432</v>
      </c>
      <c r="F1699" s="7" t="s">
        <v>4742</v>
      </c>
      <c r="G1699" s="7" t="s">
        <v>4743</v>
      </c>
      <c r="H1699" s="7" t="s">
        <v>4744</v>
      </c>
      <c r="I1699" s="9">
        <v>45356</v>
      </c>
    </row>
    <row r="1700" spans="1:9" x14ac:dyDescent="0.15">
      <c r="A1700" s="6">
        <v>1699</v>
      </c>
      <c r="B1700" s="7" t="s">
        <v>10</v>
      </c>
      <c r="C1700" s="8">
        <v>1888</v>
      </c>
      <c r="D1700" s="9">
        <v>45432</v>
      </c>
      <c r="E1700" s="13" t="str">
        <f>+HYPERLINK("http://trademark.i-assist.jp/data/china/image_1888th/77105443.pdf","77105443")</f>
        <v>77105443</v>
      </c>
      <c r="F1700" s="7" t="s">
        <v>4745</v>
      </c>
      <c r="G1700" s="7" t="s">
        <v>4746</v>
      </c>
      <c r="H1700" s="7" t="s">
        <v>4747</v>
      </c>
      <c r="I1700" s="9">
        <v>45356</v>
      </c>
    </row>
    <row r="1701" spans="1:9" x14ac:dyDescent="0.15">
      <c r="A1701" s="6">
        <v>1700</v>
      </c>
      <c r="B1701" s="7" t="s">
        <v>10</v>
      </c>
      <c r="C1701" s="8">
        <v>1888</v>
      </c>
      <c r="D1701" s="9">
        <v>45432</v>
      </c>
      <c r="E1701" s="13" t="str">
        <f>+HYPERLINK("http://trademark.i-assist.jp/data/china/image_1888th/77105473.pdf","77105473")</f>
        <v>77105473</v>
      </c>
      <c r="F1701" s="7" t="s">
        <v>4748</v>
      </c>
      <c r="G1701" s="7" t="s">
        <v>4749</v>
      </c>
      <c r="H1701" s="7" t="s">
        <v>4750</v>
      </c>
      <c r="I1701" s="9">
        <v>45356</v>
      </c>
    </row>
    <row r="1702" spans="1:9" x14ac:dyDescent="0.15">
      <c r="A1702" s="6">
        <v>1701</v>
      </c>
      <c r="B1702" s="7" t="s">
        <v>10</v>
      </c>
      <c r="C1702" s="8">
        <v>1888</v>
      </c>
      <c r="D1702" s="9">
        <v>45432</v>
      </c>
      <c r="E1702" s="13" t="str">
        <f>+HYPERLINK("http://trademark.i-assist.jp/data/china/image_1888th/77105602.pdf","77105602")</f>
        <v>77105602</v>
      </c>
      <c r="F1702" s="7" t="s">
        <v>4751</v>
      </c>
      <c r="G1702" s="7" t="s">
        <v>4752</v>
      </c>
      <c r="H1702" s="7" t="s">
        <v>4753</v>
      </c>
      <c r="I1702" s="9">
        <v>45356</v>
      </c>
    </row>
    <row r="1703" spans="1:9" x14ac:dyDescent="0.15">
      <c r="A1703" s="6">
        <v>1702</v>
      </c>
      <c r="B1703" s="7" t="s">
        <v>10</v>
      </c>
      <c r="C1703" s="8">
        <v>1888</v>
      </c>
      <c r="D1703" s="9">
        <v>45432</v>
      </c>
      <c r="E1703" s="13" t="str">
        <f>+HYPERLINK("http://trademark.i-assist.jp/data/china/image_1888th/77105967.pdf","77105967")</f>
        <v>77105967</v>
      </c>
      <c r="F1703" s="7" t="s">
        <v>4754</v>
      </c>
      <c r="G1703" s="7" t="s">
        <v>4755</v>
      </c>
      <c r="H1703" s="7" t="s">
        <v>4756</v>
      </c>
      <c r="I1703" s="9">
        <v>45356</v>
      </c>
    </row>
    <row r="1704" spans="1:9" x14ac:dyDescent="0.15">
      <c r="A1704" s="6">
        <v>1703</v>
      </c>
      <c r="B1704" s="7" t="s">
        <v>10</v>
      </c>
      <c r="C1704" s="8">
        <v>1888</v>
      </c>
      <c r="D1704" s="9">
        <v>45432</v>
      </c>
      <c r="E1704" s="13" t="str">
        <f>+HYPERLINK("http://trademark.i-assist.jp/data/china/image_1888th/77106567.pdf","77106567")</f>
        <v>77106567</v>
      </c>
      <c r="F1704" s="7" t="s">
        <v>4757</v>
      </c>
      <c r="G1704" s="7" t="s">
        <v>873</v>
      </c>
      <c r="H1704" s="7" t="s">
        <v>4758</v>
      </c>
      <c r="I1704" s="9">
        <v>45356</v>
      </c>
    </row>
    <row r="1705" spans="1:9" x14ac:dyDescent="0.15">
      <c r="A1705" s="6">
        <v>1704</v>
      </c>
      <c r="B1705" s="7" t="s">
        <v>10</v>
      </c>
      <c r="C1705" s="8">
        <v>1888</v>
      </c>
      <c r="D1705" s="9">
        <v>45432</v>
      </c>
      <c r="E1705" s="13" t="str">
        <f>+HYPERLINK("http://trademark.i-assist.jp/data/china/image_1888th/77106571.pdf","77106571")</f>
        <v>77106571</v>
      </c>
      <c r="F1705" s="7" t="s">
        <v>4759</v>
      </c>
      <c r="G1705" s="7" t="s">
        <v>4760</v>
      </c>
      <c r="H1705" s="7" t="s">
        <v>4761</v>
      </c>
      <c r="I1705" s="9">
        <v>45356</v>
      </c>
    </row>
    <row r="1706" spans="1:9" x14ac:dyDescent="0.15">
      <c r="A1706" s="6">
        <v>1705</v>
      </c>
      <c r="B1706" s="7" t="s">
        <v>10</v>
      </c>
      <c r="C1706" s="8">
        <v>1888</v>
      </c>
      <c r="D1706" s="9">
        <v>45432</v>
      </c>
      <c r="E1706" s="13" t="str">
        <f>+HYPERLINK("http://trademark.i-assist.jp/data/china/image_1888th/77106777.pdf","77106777")</f>
        <v>77106777</v>
      </c>
      <c r="F1706" s="7" t="s">
        <v>4762</v>
      </c>
      <c r="G1706" s="7" t="s">
        <v>4763</v>
      </c>
      <c r="H1706" s="7" t="s">
        <v>4764</v>
      </c>
      <c r="I1706" s="9">
        <v>45356</v>
      </c>
    </row>
    <row r="1707" spans="1:9" x14ac:dyDescent="0.15">
      <c r="A1707" s="6">
        <v>1706</v>
      </c>
      <c r="B1707" s="7" t="s">
        <v>10</v>
      </c>
      <c r="C1707" s="8">
        <v>1888</v>
      </c>
      <c r="D1707" s="9">
        <v>45432</v>
      </c>
      <c r="E1707" s="13" t="str">
        <f>+HYPERLINK("http://trademark.i-assist.jp/data/china/image_1888th/77107196.pdf","77107196")</f>
        <v>77107196</v>
      </c>
      <c r="F1707" s="7" t="s">
        <v>4765</v>
      </c>
      <c r="G1707" s="7" t="s">
        <v>4766</v>
      </c>
      <c r="H1707" s="7" t="s">
        <v>4767</v>
      </c>
      <c r="I1707" s="9">
        <v>45356</v>
      </c>
    </row>
    <row r="1708" spans="1:9" x14ac:dyDescent="0.15">
      <c r="A1708" s="6">
        <v>1707</v>
      </c>
      <c r="B1708" s="7" t="s">
        <v>10</v>
      </c>
      <c r="C1708" s="8">
        <v>1888</v>
      </c>
      <c r="D1708" s="9">
        <v>45432</v>
      </c>
      <c r="E1708" s="13" t="str">
        <f>+HYPERLINK("http://trademark.i-assist.jp/data/china/image_1888th/77107569.pdf","77107569")</f>
        <v>77107569</v>
      </c>
      <c r="F1708" s="7" t="s">
        <v>4768</v>
      </c>
      <c r="G1708" s="7" t="s">
        <v>4769</v>
      </c>
      <c r="H1708" s="7" t="s">
        <v>4770</v>
      </c>
      <c r="I1708" s="9">
        <v>45356</v>
      </c>
    </row>
    <row r="1709" spans="1:9" x14ac:dyDescent="0.15">
      <c r="A1709" s="6">
        <v>1708</v>
      </c>
      <c r="B1709" s="7" t="s">
        <v>10</v>
      </c>
      <c r="C1709" s="8">
        <v>1888</v>
      </c>
      <c r="D1709" s="9">
        <v>45432</v>
      </c>
      <c r="E1709" s="13" t="str">
        <f>+HYPERLINK("http://trademark.i-assist.jp/data/china/image_1888th/77107728.pdf","77107728")</f>
        <v>77107728</v>
      </c>
      <c r="F1709" s="7" t="s">
        <v>4771</v>
      </c>
      <c r="G1709" s="7" t="s">
        <v>4772</v>
      </c>
      <c r="H1709" s="7" t="s">
        <v>4773</v>
      </c>
      <c r="I1709" s="9">
        <v>45356</v>
      </c>
    </row>
    <row r="1710" spans="1:9" x14ac:dyDescent="0.15">
      <c r="A1710" s="6">
        <v>1709</v>
      </c>
      <c r="B1710" s="7" t="s">
        <v>10</v>
      </c>
      <c r="C1710" s="8">
        <v>1888</v>
      </c>
      <c r="D1710" s="9">
        <v>45432</v>
      </c>
      <c r="E1710" s="13" t="str">
        <f>+HYPERLINK("http://trademark.i-assist.jp/data/china/image_1888th/77107772.pdf","77107772")</f>
        <v>77107772</v>
      </c>
      <c r="F1710" s="7" t="s">
        <v>4774</v>
      </c>
      <c r="G1710" s="7" t="s">
        <v>4775</v>
      </c>
      <c r="H1710" s="7" t="s">
        <v>4776</v>
      </c>
      <c r="I1710" s="9">
        <v>45356</v>
      </c>
    </row>
    <row r="1711" spans="1:9" ht="27" x14ac:dyDescent="0.15">
      <c r="A1711" s="6">
        <v>1710</v>
      </c>
      <c r="B1711" s="7" t="s">
        <v>10</v>
      </c>
      <c r="C1711" s="8">
        <v>1888</v>
      </c>
      <c r="D1711" s="9">
        <v>45432</v>
      </c>
      <c r="E1711" s="13" t="str">
        <f>+HYPERLINK("http://trademark.i-assist.jp/data/china/image_1888th/77108144.pdf","77108144")</f>
        <v>77108144</v>
      </c>
      <c r="F1711" s="7" t="s">
        <v>4777</v>
      </c>
      <c r="G1711" s="7" t="s">
        <v>4778</v>
      </c>
      <c r="H1711" s="7" t="s">
        <v>4779</v>
      </c>
      <c r="I1711" s="9">
        <v>45356</v>
      </c>
    </row>
    <row r="1712" spans="1:9" x14ac:dyDescent="0.15">
      <c r="A1712" s="6">
        <v>1711</v>
      </c>
      <c r="B1712" s="7" t="s">
        <v>10</v>
      </c>
      <c r="C1712" s="8">
        <v>1888</v>
      </c>
      <c r="D1712" s="9">
        <v>45432</v>
      </c>
      <c r="E1712" s="13" t="str">
        <f>+HYPERLINK("http://trademark.i-assist.jp/data/china/image_1888th/77108483.pdf","77108483")</f>
        <v>77108483</v>
      </c>
      <c r="F1712" s="7" t="s">
        <v>4780</v>
      </c>
      <c r="G1712" s="7" t="s">
        <v>4781</v>
      </c>
      <c r="H1712" s="7" t="s">
        <v>4782</v>
      </c>
      <c r="I1712" s="9">
        <v>45356</v>
      </c>
    </row>
    <row r="1713" spans="1:9" x14ac:dyDescent="0.15">
      <c r="A1713" s="6">
        <v>1712</v>
      </c>
      <c r="B1713" s="7" t="s">
        <v>10</v>
      </c>
      <c r="C1713" s="8">
        <v>1888</v>
      </c>
      <c r="D1713" s="9">
        <v>45432</v>
      </c>
      <c r="E1713" s="13" t="str">
        <f>+HYPERLINK("http://trademark.i-assist.jp/data/china/image_1888th/77108621.pdf","77108621")</f>
        <v>77108621</v>
      </c>
      <c r="F1713" s="7" t="s">
        <v>4783</v>
      </c>
      <c r="G1713" s="7" t="s">
        <v>4784</v>
      </c>
      <c r="H1713" s="7" t="s">
        <v>4785</v>
      </c>
      <c r="I1713" s="9">
        <v>45356</v>
      </c>
    </row>
    <row r="1714" spans="1:9" x14ac:dyDescent="0.15">
      <c r="A1714" s="6">
        <v>1713</v>
      </c>
      <c r="B1714" s="7" t="s">
        <v>10</v>
      </c>
      <c r="C1714" s="8">
        <v>1888</v>
      </c>
      <c r="D1714" s="9">
        <v>45432</v>
      </c>
      <c r="E1714" s="13" t="str">
        <f>+HYPERLINK("http://trademark.i-assist.jp/data/china/image_1888th/77108672.pdf","77108672")</f>
        <v>77108672</v>
      </c>
      <c r="F1714" s="7" t="s">
        <v>4786</v>
      </c>
      <c r="G1714" s="7" t="s">
        <v>4787</v>
      </c>
      <c r="H1714" s="7" t="s">
        <v>4788</v>
      </c>
      <c r="I1714" s="9">
        <v>45356</v>
      </c>
    </row>
    <row r="1715" spans="1:9" x14ac:dyDescent="0.15">
      <c r="A1715" s="6">
        <v>1714</v>
      </c>
      <c r="B1715" s="7" t="s">
        <v>10</v>
      </c>
      <c r="C1715" s="8">
        <v>1888</v>
      </c>
      <c r="D1715" s="9">
        <v>45432</v>
      </c>
      <c r="E1715" s="13" t="str">
        <f>+HYPERLINK("http://trademark.i-assist.jp/data/china/image_1888th/77108770.pdf","77108770")</f>
        <v>77108770</v>
      </c>
      <c r="F1715" s="7" t="s">
        <v>4789</v>
      </c>
      <c r="G1715" s="7" t="s">
        <v>4592</v>
      </c>
      <c r="H1715" s="7" t="s">
        <v>4790</v>
      </c>
      <c r="I1715" s="9">
        <v>45356</v>
      </c>
    </row>
    <row r="1716" spans="1:9" ht="27" x14ac:dyDescent="0.15">
      <c r="A1716" s="6">
        <v>1715</v>
      </c>
      <c r="B1716" s="7" t="s">
        <v>10</v>
      </c>
      <c r="C1716" s="8">
        <v>1888</v>
      </c>
      <c r="D1716" s="9">
        <v>45432</v>
      </c>
      <c r="E1716" s="13" t="str">
        <f>+HYPERLINK("http://trademark.i-assist.jp/data/china/image_1888th/77108776.pdf","77108776")</f>
        <v>77108776</v>
      </c>
      <c r="F1716" s="7" t="s">
        <v>4791</v>
      </c>
      <c r="G1716" s="7" t="s">
        <v>4792</v>
      </c>
      <c r="H1716" s="7" t="s">
        <v>4793</v>
      </c>
      <c r="I1716" s="9">
        <v>45356</v>
      </c>
    </row>
    <row r="1717" spans="1:9" x14ac:dyDescent="0.15">
      <c r="A1717" s="6">
        <v>1716</v>
      </c>
      <c r="B1717" s="7" t="s">
        <v>10</v>
      </c>
      <c r="C1717" s="8">
        <v>1888</v>
      </c>
      <c r="D1717" s="9">
        <v>45432</v>
      </c>
      <c r="E1717" s="13" t="str">
        <f>+HYPERLINK("http://trademark.i-assist.jp/data/china/image_1888th/77109016.pdf","77109016")</f>
        <v>77109016</v>
      </c>
      <c r="F1717" s="7" t="s">
        <v>4794</v>
      </c>
      <c r="G1717" s="7" t="s">
        <v>4787</v>
      </c>
      <c r="H1717" s="7" t="s">
        <v>4795</v>
      </c>
      <c r="I1717" s="9">
        <v>45356</v>
      </c>
    </row>
    <row r="1718" spans="1:9" x14ac:dyDescent="0.15">
      <c r="A1718" s="6">
        <v>1717</v>
      </c>
      <c r="B1718" s="7" t="s">
        <v>10</v>
      </c>
      <c r="C1718" s="8">
        <v>1888</v>
      </c>
      <c r="D1718" s="9">
        <v>45432</v>
      </c>
      <c r="E1718" s="13" t="str">
        <f>+HYPERLINK("http://trademark.i-assist.jp/data/china/image_1888th/77109146.pdf","77109146")</f>
        <v>77109146</v>
      </c>
      <c r="F1718" s="7" t="s">
        <v>4796</v>
      </c>
      <c r="G1718" s="7" t="s">
        <v>4797</v>
      </c>
      <c r="H1718" s="7" t="s">
        <v>4798</v>
      </c>
      <c r="I1718" s="9">
        <v>45356</v>
      </c>
    </row>
    <row r="1719" spans="1:9" x14ac:dyDescent="0.15">
      <c r="A1719" s="6">
        <v>1718</v>
      </c>
      <c r="B1719" s="7" t="s">
        <v>10</v>
      </c>
      <c r="C1719" s="8">
        <v>1888</v>
      </c>
      <c r="D1719" s="9">
        <v>45432</v>
      </c>
      <c r="E1719" s="13" t="str">
        <f>+HYPERLINK("http://trademark.i-assist.jp/data/china/image_1888th/77109156.pdf","77109156")</f>
        <v>77109156</v>
      </c>
      <c r="F1719" s="7" t="s">
        <v>4799</v>
      </c>
      <c r="G1719" s="7" t="s">
        <v>4800</v>
      </c>
      <c r="H1719" s="7" t="s">
        <v>4801</v>
      </c>
      <c r="I1719" s="9">
        <v>45356</v>
      </c>
    </row>
    <row r="1720" spans="1:9" x14ac:dyDescent="0.15">
      <c r="A1720" s="6">
        <v>1719</v>
      </c>
      <c r="B1720" s="7" t="s">
        <v>10</v>
      </c>
      <c r="C1720" s="8">
        <v>1888</v>
      </c>
      <c r="D1720" s="9">
        <v>45432</v>
      </c>
      <c r="E1720" s="13" t="str">
        <f>+HYPERLINK("http://trademark.i-assist.jp/data/china/image_1888th/77109436.pdf","77109436")</f>
        <v>77109436</v>
      </c>
      <c r="F1720" s="7" t="s">
        <v>4802</v>
      </c>
      <c r="G1720" s="7" t="s">
        <v>4803</v>
      </c>
      <c r="H1720" s="7" t="s">
        <v>4804</v>
      </c>
      <c r="I1720" s="9">
        <v>45356</v>
      </c>
    </row>
    <row r="1721" spans="1:9" ht="27" x14ac:dyDescent="0.15">
      <c r="A1721" s="6">
        <v>1720</v>
      </c>
      <c r="B1721" s="7" t="s">
        <v>10</v>
      </c>
      <c r="C1721" s="8">
        <v>1888</v>
      </c>
      <c r="D1721" s="9">
        <v>45432</v>
      </c>
      <c r="E1721" s="13" t="str">
        <f>+HYPERLINK("http://trademark.i-assist.jp/data/china/image_1888th/77109588.pdf","77109588")</f>
        <v>77109588</v>
      </c>
      <c r="F1721" s="7" t="s">
        <v>4805</v>
      </c>
      <c r="G1721" s="7" t="s">
        <v>4806</v>
      </c>
      <c r="H1721" s="7" t="s">
        <v>4807</v>
      </c>
      <c r="I1721" s="9">
        <v>45356</v>
      </c>
    </row>
    <row r="1722" spans="1:9" x14ac:dyDescent="0.15">
      <c r="A1722" s="6">
        <v>1721</v>
      </c>
      <c r="B1722" s="7" t="s">
        <v>10</v>
      </c>
      <c r="C1722" s="8">
        <v>1888</v>
      </c>
      <c r="D1722" s="9">
        <v>45432</v>
      </c>
      <c r="E1722" s="13" t="str">
        <f>+HYPERLINK("http://trademark.i-assist.jp/data/china/image_1888th/77109697.pdf","77109697")</f>
        <v>77109697</v>
      </c>
      <c r="F1722" s="7" t="s">
        <v>4808</v>
      </c>
      <c r="G1722" s="7" t="s">
        <v>4731</v>
      </c>
      <c r="H1722" s="7" t="s">
        <v>4809</v>
      </c>
      <c r="I1722" s="9">
        <v>45356</v>
      </c>
    </row>
    <row r="1723" spans="1:9" x14ac:dyDescent="0.15">
      <c r="A1723" s="6">
        <v>1722</v>
      </c>
      <c r="B1723" s="7" t="s">
        <v>10</v>
      </c>
      <c r="C1723" s="8">
        <v>1888</v>
      </c>
      <c r="D1723" s="9">
        <v>45432</v>
      </c>
      <c r="E1723" s="13" t="str">
        <f>+HYPERLINK("http://trademark.i-assist.jp/data/china/image_1888th/77109755.pdf","77109755")</f>
        <v>77109755</v>
      </c>
      <c r="F1723" s="7" t="s">
        <v>4810</v>
      </c>
      <c r="G1723" s="7" t="s">
        <v>4811</v>
      </c>
      <c r="H1723" s="7" t="s">
        <v>4812</v>
      </c>
      <c r="I1723" s="9">
        <v>45356</v>
      </c>
    </row>
    <row r="1724" spans="1:9" x14ac:dyDescent="0.15">
      <c r="A1724" s="6">
        <v>1723</v>
      </c>
      <c r="B1724" s="7" t="s">
        <v>10</v>
      </c>
      <c r="C1724" s="8">
        <v>1888</v>
      </c>
      <c r="D1724" s="9">
        <v>45432</v>
      </c>
      <c r="E1724" s="13" t="str">
        <f>+HYPERLINK("http://trademark.i-assist.jp/data/china/image_1888th/77110273.pdf","77110273")</f>
        <v>77110273</v>
      </c>
      <c r="F1724" s="7" t="s">
        <v>4813</v>
      </c>
      <c r="G1724" s="7" t="s">
        <v>4814</v>
      </c>
      <c r="H1724" s="7" t="s">
        <v>4815</v>
      </c>
      <c r="I1724" s="9">
        <v>45356</v>
      </c>
    </row>
    <row r="1725" spans="1:9" x14ac:dyDescent="0.15">
      <c r="A1725" s="6">
        <v>1724</v>
      </c>
      <c r="B1725" s="7" t="s">
        <v>10</v>
      </c>
      <c r="C1725" s="8">
        <v>1888</v>
      </c>
      <c r="D1725" s="9">
        <v>45432</v>
      </c>
      <c r="E1725" s="13" t="str">
        <f>+HYPERLINK("http://trademark.i-assist.jp/data/china/image_1888th/77110275.pdf","77110275")</f>
        <v>77110275</v>
      </c>
      <c r="F1725" s="7" t="s">
        <v>4816</v>
      </c>
      <c r="G1725" s="7" t="s">
        <v>2377</v>
      </c>
      <c r="H1725" s="7" t="s">
        <v>4817</v>
      </c>
      <c r="I1725" s="9">
        <v>45356</v>
      </c>
    </row>
    <row r="1726" spans="1:9" x14ac:dyDescent="0.15">
      <c r="A1726" s="6">
        <v>1725</v>
      </c>
      <c r="B1726" s="7" t="s">
        <v>10</v>
      </c>
      <c r="C1726" s="8">
        <v>1888</v>
      </c>
      <c r="D1726" s="9">
        <v>45432</v>
      </c>
      <c r="E1726" s="13" t="str">
        <f>+HYPERLINK("http://trademark.i-assist.jp/data/china/image_1888th/77110316.pdf","77110316")</f>
        <v>77110316</v>
      </c>
      <c r="F1726" s="7" t="s">
        <v>4818</v>
      </c>
      <c r="G1726" s="7" t="s">
        <v>4819</v>
      </c>
      <c r="H1726" s="7" t="s">
        <v>4820</v>
      </c>
      <c r="I1726" s="9">
        <v>45356</v>
      </c>
    </row>
    <row r="1727" spans="1:9" x14ac:dyDescent="0.15">
      <c r="A1727" s="6">
        <v>1726</v>
      </c>
      <c r="B1727" s="7" t="s">
        <v>10</v>
      </c>
      <c r="C1727" s="8">
        <v>1888</v>
      </c>
      <c r="D1727" s="9">
        <v>45432</v>
      </c>
      <c r="E1727" s="13" t="str">
        <f>+HYPERLINK("http://trademark.i-assist.jp/data/china/image_1888th/77110392.pdf","77110392")</f>
        <v>77110392</v>
      </c>
      <c r="F1727" s="7" t="s">
        <v>4821</v>
      </c>
      <c r="G1727" s="7" t="s">
        <v>4822</v>
      </c>
      <c r="H1727" s="7" t="s">
        <v>4823</v>
      </c>
      <c r="I1727" s="9">
        <v>45356</v>
      </c>
    </row>
    <row r="1728" spans="1:9" ht="27" x14ac:dyDescent="0.15">
      <c r="A1728" s="6">
        <v>1727</v>
      </c>
      <c r="B1728" s="7" t="s">
        <v>10</v>
      </c>
      <c r="C1728" s="8">
        <v>1888</v>
      </c>
      <c r="D1728" s="9">
        <v>45432</v>
      </c>
      <c r="E1728" s="13" t="str">
        <f>+HYPERLINK("http://trademark.i-assist.jp/data/china/image_1888th/77110481.pdf","77110481")</f>
        <v>77110481</v>
      </c>
      <c r="F1728" s="7" t="s">
        <v>4824</v>
      </c>
      <c r="G1728" s="7" t="s">
        <v>4825</v>
      </c>
      <c r="H1728" s="7" t="s">
        <v>4826</v>
      </c>
      <c r="I1728" s="9">
        <v>45356</v>
      </c>
    </row>
    <row r="1729" spans="1:9" x14ac:dyDescent="0.15">
      <c r="A1729" s="6">
        <v>1728</v>
      </c>
      <c r="B1729" s="7" t="s">
        <v>10</v>
      </c>
      <c r="C1729" s="8">
        <v>1888</v>
      </c>
      <c r="D1729" s="9">
        <v>45432</v>
      </c>
      <c r="E1729" s="13" t="str">
        <f>+HYPERLINK("http://trademark.i-assist.jp/data/china/image_1888th/77110668.pdf","77110668")</f>
        <v>77110668</v>
      </c>
      <c r="F1729" s="7" t="s">
        <v>4827</v>
      </c>
      <c r="G1729" s="7" t="s">
        <v>4828</v>
      </c>
      <c r="H1729" s="7" t="s">
        <v>4829</v>
      </c>
      <c r="I1729" s="9">
        <v>45356</v>
      </c>
    </row>
    <row r="1730" spans="1:9" x14ac:dyDescent="0.15">
      <c r="A1730" s="6">
        <v>1729</v>
      </c>
      <c r="B1730" s="7" t="s">
        <v>10</v>
      </c>
      <c r="C1730" s="8">
        <v>1888</v>
      </c>
      <c r="D1730" s="9">
        <v>45432</v>
      </c>
      <c r="E1730" s="13" t="str">
        <f>+HYPERLINK("http://trademark.i-assist.jp/data/china/image_1888th/77110691.pdf","77110691")</f>
        <v>77110691</v>
      </c>
      <c r="F1730" s="7" t="s">
        <v>4830</v>
      </c>
      <c r="G1730" s="7" t="s">
        <v>4831</v>
      </c>
      <c r="H1730" s="7" t="s">
        <v>4832</v>
      </c>
      <c r="I1730" s="9">
        <v>45356</v>
      </c>
    </row>
    <row r="1731" spans="1:9" x14ac:dyDescent="0.15">
      <c r="A1731" s="6">
        <v>1730</v>
      </c>
      <c r="B1731" s="7" t="s">
        <v>10</v>
      </c>
      <c r="C1731" s="8">
        <v>1888</v>
      </c>
      <c r="D1731" s="9">
        <v>45432</v>
      </c>
      <c r="E1731" s="13" t="str">
        <f>+HYPERLINK("http://trademark.i-assist.jp/data/china/image_1888th/77110950.pdf","77110950")</f>
        <v>77110950</v>
      </c>
      <c r="F1731" s="7" t="s">
        <v>4833</v>
      </c>
      <c r="G1731" s="7" t="s">
        <v>4834</v>
      </c>
      <c r="H1731" s="7" t="s">
        <v>4835</v>
      </c>
      <c r="I1731" s="9">
        <v>45356</v>
      </c>
    </row>
    <row r="1732" spans="1:9" x14ac:dyDescent="0.15">
      <c r="A1732" s="6">
        <v>1731</v>
      </c>
      <c r="B1732" s="7" t="s">
        <v>10</v>
      </c>
      <c r="C1732" s="8">
        <v>1888</v>
      </c>
      <c r="D1732" s="9">
        <v>45432</v>
      </c>
      <c r="E1732" s="13" t="str">
        <f>+HYPERLINK("http://trademark.i-assist.jp/data/china/image_1888th/77110992.pdf","77110992")</f>
        <v>77110992</v>
      </c>
      <c r="F1732" s="7" t="s">
        <v>4836</v>
      </c>
      <c r="G1732" s="7" t="s">
        <v>4837</v>
      </c>
      <c r="H1732" s="7" t="s">
        <v>4838</v>
      </c>
      <c r="I1732" s="9">
        <v>45356</v>
      </c>
    </row>
    <row r="1733" spans="1:9" x14ac:dyDescent="0.15">
      <c r="A1733" s="6">
        <v>1732</v>
      </c>
      <c r="B1733" s="7" t="s">
        <v>10</v>
      </c>
      <c r="C1733" s="8">
        <v>1888</v>
      </c>
      <c r="D1733" s="9">
        <v>45432</v>
      </c>
      <c r="E1733" s="13" t="str">
        <f>+HYPERLINK("http://trademark.i-assist.jp/data/china/image_1888th/77111166.pdf","77111166")</f>
        <v>77111166</v>
      </c>
      <c r="F1733" s="7" t="s">
        <v>4839</v>
      </c>
      <c r="G1733" s="7" t="s">
        <v>4840</v>
      </c>
      <c r="H1733" s="7" t="s">
        <v>4841</v>
      </c>
      <c r="I1733" s="9">
        <v>45356</v>
      </c>
    </row>
    <row r="1734" spans="1:9" x14ac:dyDescent="0.15">
      <c r="A1734" s="6">
        <v>1733</v>
      </c>
      <c r="B1734" s="7" t="s">
        <v>10</v>
      </c>
      <c r="C1734" s="8">
        <v>1888</v>
      </c>
      <c r="D1734" s="9">
        <v>45432</v>
      </c>
      <c r="E1734" s="13" t="str">
        <f>+HYPERLINK("http://trademark.i-assist.jp/data/china/image_1888th/77111405.pdf","77111405")</f>
        <v>77111405</v>
      </c>
      <c r="F1734" s="7" t="s">
        <v>4842</v>
      </c>
      <c r="G1734" s="7" t="s">
        <v>4781</v>
      </c>
      <c r="H1734" s="7" t="s">
        <v>4843</v>
      </c>
      <c r="I1734" s="9">
        <v>45356</v>
      </c>
    </row>
    <row r="1735" spans="1:9" ht="27" x14ac:dyDescent="0.15">
      <c r="A1735" s="6">
        <v>1734</v>
      </c>
      <c r="B1735" s="7" t="s">
        <v>10</v>
      </c>
      <c r="C1735" s="8">
        <v>1888</v>
      </c>
      <c r="D1735" s="9">
        <v>45432</v>
      </c>
      <c r="E1735" s="13" t="str">
        <f>+HYPERLINK("http://trademark.i-assist.jp/data/china/image_1888th/77111508.pdf","77111508")</f>
        <v>77111508</v>
      </c>
      <c r="F1735" s="7" t="s">
        <v>4844</v>
      </c>
      <c r="G1735" s="7" t="s">
        <v>4673</v>
      </c>
      <c r="H1735" s="7" t="s">
        <v>4845</v>
      </c>
      <c r="I1735" s="9">
        <v>45356</v>
      </c>
    </row>
    <row r="1736" spans="1:9" ht="27" x14ac:dyDescent="0.15">
      <c r="A1736" s="6">
        <v>1735</v>
      </c>
      <c r="B1736" s="7" t="s">
        <v>10</v>
      </c>
      <c r="C1736" s="8">
        <v>1888</v>
      </c>
      <c r="D1736" s="9">
        <v>45432</v>
      </c>
      <c r="E1736" s="13" t="str">
        <f>+HYPERLINK("http://trademark.i-assist.jp/data/china/image_1888th/77111511.pdf","77111511")</f>
        <v>77111511</v>
      </c>
      <c r="F1736" s="7" t="s">
        <v>4846</v>
      </c>
      <c r="G1736" s="7" t="s">
        <v>4847</v>
      </c>
      <c r="H1736" s="7" t="s">
        <v>4848</v>
      </c>
      <c r="I1736" s="9">
        <v>45356</v>
      </c>
    </row>
    <row r="1737" spans="1:9" x14ac:dyDescent="0.15">
      <c r="A1737" s="6">
        <v>1736</v>
      </c>
      <c r="B1737" s="7" t="s">
        <v>10</v>
      </c>
      <c r="C1737" s="8">
        <v>1888</v>
      </c>
      <c r="D1737" s="9">
        <v>45432</v>
      </c>
      <c r="E1737" s="13" t="str">
        <f>+HYPERLINK("http://trademark.i-assist.jp/data/china/image_1888th/77111584.pdf","77111584")</f>
        <v>77111584</v>
      </c>
      <c r="F1737" s="7" t="s">
        <v>4849</v>
      </c>
      <c r="G1737" s="7" t="s">
        <v>4850</v>
      </c>
      <c r="H1737" s="7" t="s">
        <v>4851</v>
      </c>
      <c r="I1737" s="9">
        <v>45356</v>
      </c>
    </row>
    <row r="1738" spans="1:9" x14ac:dyDescent="0.15">
      <c r="A1738" s="6">
        <v>1737</v>
      </c>
      <c r="B1738" s="7" t="s">
        <v>10</v>
      </c>
      <c r="C1738" s="8">
        <v>1888</v>
      </c>
      <c r="D1738" s="9">
        <v>45432</v>
      </c>
      <c r="E1738" s="13" t="str">
        <f>+HYPERLINK("http://trademark.i-assist.jp/data/china/image_1888th/77111618.pdf","77111618")</f>
        <v>77111618</v>
      </c>
      <c r="F1738" s="7" t="s">
        <v>4852</v>
      </c>
      <c r="G1738" s="7" t="s">
        <v>4853</v>
      </c>
      <c r="H1738" s="7" t="s">
        <v>4854</v>
      </c>
      <c r="I1738" s="9">
        <v>45356</v>
      </c>
    </row>
    <row r="1739" spans="1:9" x14ac:dyDescent="0.15">
      <c r="A1739" s="6">
        <v>1738</v>
      </c>
      <c r="B1739" s="7" t="s">
        <v>10</v>
      </c>
      <c r="C1739" s="8">
        <v>1888</v>
      </c>
      <c r="D1739" s="9">
        <v>45432</v>
      </c>
      <c r="E1739" s="13" t="str">
        <f>+HYPERLINK("http://trademark.i-assist.jp/data/china/image_1888th/77111792.pdf","77111792")</f>
        <v>77111792</v>
      </c>
      <c r="F1739" s="7" t="s">
        <v>4855</v>
      </c>
      <c r="G1739" s="7" t="s">
        <v>4856</v>
      </c>
      <c r="H1739" s="7" t="s">
        <v>4857</v>
      </c>
      <c r="I1739" s="9">
        <v>45356</v>
      </c>
    </row>
    <row r="1740" spans="1:9" x14ac:dyDescent="0.15">
      <c r="A1740" s="6">
        <v>1739</v>
      </c>
      <c r="B1740" s="7" t="s">
        <v>10</v>
      </c>
      <c r="C1740" s="8">
        <v>1888</v>
      </c>
      <c r="D1740" s="9">
        <v>45432</v>
      </c>
      <c r="E1740" s="13" t="str">
        <f>+HYPERLINK("http://trademark.i-assist.jp/data/china/image_1888th/77112054.pdf","77112054")</f>
        <v>77112054</v>
      </c>
      <c r="F1740" s="7" t="s">
        <v>4858</v>
      </c>
      <c r="G1740" s="7" t="s">
        <v>4859</v>
      </c>
      <c r="H1740" s="7" t="s">
        <v>4860</v>
      </c>
      <c r="I1740" s="9">
        <v>45356</v>
      </c>
    </row>
    <row r="1741" spans="1:9" x14ac:dyDescent="0.15">
      <c r="A1741" s="6">
        <v>1740</v>
      </c>
      <c r="B1741" s="7" t="s">
        <v>10</v>
      </c>
      <c r="C1741" s="8">
        <v>1888</v>
      </c>
      <c r="D1741" s="9">
        <v>45432</v>
      </c>
      <c r="E1741" s="13" t="str">
        <f>+HYPERLINK("http://trademark.i-assist.jp/data/china/image_1888th/77112488.pdf","77112488")</f>
        <v>77112488</v>
      </c>
      <c r="F1741" s="7" t="s">
        <v>76</v>
      </c>
      <c r="G1741" s="7" t="s">
        <v>4861</v>
      </c>
      <c r="H1741" s="7" t="s">
        <v>4862</v>
      </c>
      <c r="I1741" s="9">
        <v>45356</v>
      </c>
    </row>
    <row r="1742" spans="1:9" x14ac:dyDescent="0.15">
      <c r="A1742" s="6">
        <v>1741</v>
      </c>
      <c r="B1742" s="7" t="s">
        <v>10</v>
      </c>
      <c r="C1742" s="8">
        <v>1888</v>
      </c>
      <c r="D1742" s="9">
        <v>45432</v>
      </c>
      <c r="E1742" s="13" t="str">
        <f>+HYPERLINK("http://trademark.i-assist.jp/data/china/image_1888th/77112500.pdf","77112500")</f>
        <v>77112500</v>
      </c>
      <c r="F1742" s="7" t="s">
        <v>4863</v>
      </c>
      <c r="G1742" s="7" t="s">
        <v>4731</v>
      </c>
      <c r="H1742" s="7" t="s">
        <v>4864</v>
      </c>
      <c r="I1742" s="9">
        <v>45356</v>
      </c>
    </row>
    <row r="1743" spans="1:9" x14ac:dyDescent="0.15">
      <c r="A1743" s="6">
        <v>1742</v>
      </c>
      <c r="B1743" s="7" t="s">
        <v>10</v>
      </c>
      <c r="C1743" s="8">
        <v>1888</v>
      </c>
      <c r="D1743" s="9">
        <v>45432</v>
      </c>
      <c r="E1743" s="13" t="str">
        <f>+HYPERLINK("http://trademark.i-assist.jp/data/china/image_1888th/77112685.pdf","77112685")</f>
        <v>77112685</v>
      </c>
      <c r="F1743" s="7" t="s">
        <v>4865</v>
      </c>
      <c r="G1743" s="7" t="s">
        <v>4866</v>
      </c>
      <c r="H1743" s="7" t="s">
        <v>4867</v>
      </c>
      <c r="I1743" s="9">
        <v>45356</v>
      </c>
    </row>
    <row r="1744" spans="1:9" ht="27" x14ac:dyDescent="0.15">
      <c r="A1744" s="6">
        <v>1743</v>
      </c>
      <c r="B1744" s="7" t="s">
        <v>10</v>
      </c>
      <c r="C1744" s="8">
        <v>1888</v>
      </c>
      <c r="D1744" s="9">
        <v>45432</v>
      </c>
      <c r="E1744" s="13" t="str">
        <f>+HYPERLINK("http://trademark.i-assist.jp/data/china/image_1888th/77113006.pdf","77113006")</f>
        <v>77113006</v>
      </c>
      <c r="F1744" s="7" t="s">
        <v>4868</v>
      </c>
      <c r="G1744" s="7" t="s">
        <v>4869</v>
      </c>
      <c r="H1744" s="7" t="s">
        <v>4870</v>
      </c>
      <c r="I1744" s="9">
        <v>45356</v>
      </c>
    </row>
    <row r="1745" spans="1:9" x14ac:dyDescent="0.15">
      <c r="A1745" s="6">
        <v>1744</v>
      </c>
      <c r="B1745" s="7" t="s">
        <v>10</v>
      </c>
      <c r="C1745" s="8">
        <v>1888</v>
      </c>
      <c r="D1745" s="9">
        <v>45432</v>
      </c>
      <c r="E1745" s="13" t="str">
        <f>+HYPERLINK("http://trademark.i-assist.jp/data/china/image_1888th/77113042.pdf","77113042")</f>
        <v>77113042</v>
      </c>
      <c r="F1745" s="7" t="s">
        <v>4871</v>
      </c>
      <c r="G1745" s="7" t="s">
        <v>4872</v>
      </c>
      <c r="H1745" s="7" t="s">
        <v>4873</v>
      </c>
      <c r="I1745" s="9">
        <v>45356</v>
      </c>
    </row>
    <row r="1746" spans="1:9" x14ac:dyDescent="0.15">
      <c r="A1746" s="6">
        <v>1745</v>
      </c>
      <c r="B1746" s="7" t="s">
        <v>10</v>
      </c>
      <c r="C1746" s="8">
        <v>1888</v>
      </c>
      <c r="D1746" s="9">
        <v>45432</v>
      </c>
      <c r="E1746" s="13" t="str">
        <f>+HYPERLINK("http://trademark.i-assist.jp/data/china/image_1888th/77113160.pdf","77113160")</f>
        <v>77113160</v>
      </c>
      <c r="F1746" s="7" t="s">
        <v>76</v>
      </c>
      <c r="G1746" s="7" t="s">
        <v>4874</v>
      </c>
      <c r="H1746" s="7" t="s">
        <v>4875</v>
      </c>
      <c r="I1746" s="9">
        <v>45356</v>
      </c>
    </row>
    <row r="1747" spans="1:9" ht="27" x14ac:dyDescent="0.15">
      <c r="A1747" s="6">
        <v>1746</v>
      </c>
      <c r="B1747" s="7" t="s">
        <v>10</v>
      </c>
      <c r="C1747" s="8">
        <v>1888</v>
      </c>
      <c r="D1747" s="9">
        <v>45432</v>
      </c>
      <c r="E1747" s="13" t="str">
        <f>+HYPERLINK("http://trademark.i-assist.jp/data/china/image_1888th/77113617.pdf","77113617")</f>
        <v>77113617</v>
      </c>
      <c r="F1747" s="7" t="s">
        <v>4876</v>
      </c>
      <c r="G1747" s="7" t="s">
        <v>4877</v>
      </c>
      <c r="H1747" s="7" t="s">
        <v>4878</v>
      </c>
      <c r="I1747" s="9">
        <v>45356</v>
      </c>
    </row>
    <row r="1748" spans="1:9" x14ac:dyDescent="0.15">
      <c r="A1748" s="6">
        <v>1747</v>
      </c>
      <c r="B1748" s="7" t="s">
        <v>10</v>
      </c>
      <c r="C1748" s="8">
        <v>1888</v>
      </c>
      <c r="D1748" s="9">
        <v>45432</v>
      </c>
      <c r="E1748" s="13" t="str">
        <f>+HYPERLINK("http://trademark.i-assist.jp/data/china/image_1888th/77113672.pdf","77113672")</f>
        <v>77113672</v>
      </c>
      <c r="F1748" s="7" t="s">
        <v>4879</v>
      </c>
      <c r="G1748" s="7" t="s">
        <v>4880</v>
      </c>
      <c r="H1748" s="7" t="s">
        <v>4881</v>
      </c>
      <c r="I1748" s="9">
        <v>45356</v>
      </c>
    </row>
    <row r="1749" spans="1:9" x14ac:dyDescent="0.15">
      <c r="A1749" s="6">
        <v>1748</v>
      </c>
      <c r="B1749" s="7" t="s">
        <v>10</v>
      </c>
      <c r="C1749" s="8">
        <v>1888</v>
      </c>
      <c r="D1749" s="9">
        <v>45432</v>
      </c>
      <c r="E1749" s="13" t="str">
        <f>+HYPERLINK("http://trademark.i-assist.jp/data/china/image_1888th/77113876.pdf","77113876")</f>
        <v>77113876</v>
      </c>
      <c r="F1749" s="7" t="s">
        <v>4882</v>
      </c>
      <c r="G1749" s="7" t="s">
        <v>4883</v>
      </c>
      <c r="H1749" s="7" t="s">
        <v>4884</v>
      </c>
      <c r="I1749" s="9">
        <v>45356</v>
      </c>
    </row>
    <row r="1750" spans="1:9" x14ac:dyDescent="0.15">
      <c r="A1750" s="6">
        <v>1749</v>
      </c>
      <c r="B1750" s="7" t="s">
        <v>10</v>
      </c>
      <c r="C1750" s="8">
        <v>1888</v>
      </c>
      <c r="D1750" s="9">
        <v>45432</v>
      </c>
      <c r="E1750" s="13" t="str">
        <f>+HYPERLINK("http://trademark.i-assist.jp/data/china/image_1888th/77113931.pdf","77113931")</f>
        <v>77113931</v>
      </c>
      <c r="F1750" s="7" t="s">
        <v>4885</v>
      </c>
      <c r="G1750" s="7" t="s">
        <v>4886</v>
      </c>
      <c r="H1750" s="7" t="s">
        <v>4887</v>
      </c>
      <c r="I1750" s="9">
        <v>45356</v>
      </c>
    </row>
    <row r="1751" spans="1:9" x14ac:dyDescent="0.15">
      <c r="A1751" s="6">
        <v>1750</v>
      </c>
      <c r="B1751" s="7" t="s">
        <v>10</v>
      </c>
      <c r="C1751" s="8">
        <v>1888</v>
      </c>
      <c r="D1751" s="9">
        <v>45432</v>
      </c>
      <c r="E1751" s="13" t="str">
        <f>+HYPERLINK("http://trademark.i-assist.jp/data/china/image_1888th/77114282.pdf","77114282")</f>
        <v>77114282</v>
      </c>
      <c r="F1751" s="7" t="s">
        <v>4888</v>
      </c>
      <c r="G1751" s="7" t="s">
        <v>4889</v>
      </c>
      <c r="H1751" s="7" t="s">
        <v>4890</v>
      </c>
      <c r="I1751" s="9">
        <v>45356</v>
      </c>
    </row>
    <row r="1752" spans="1:9" ht="27" x14ac:dyDescent="0.15">
      <c r="A1752" s="6">
        <v>1751</v>
      </c>
      <c r="B1752" s="7" t="s">
        <v>10</v>
      </c>
      <c r="C1752" s="8">
        <v>1888</v>
      </c>
      <c r="D1752" s="9">
        <v>45432</v>
      </c>
      <c r="E1752" s="13" t="str">
        <f>+HYPERLINK("http://trademark.i-assist.jp/data/china/image_1888th/77114368.pdf","77114368")</f>
        <v>77114368</v>
      </c>
      <c r="F1752" s="7" t="s">
        <v>4891</v>
      </c>
      <c r="G1752" s="7" t="s">
        <v>4711</v>
      </c>
      <c r="H1752" s="7" t="s">
        <v>4892</v>
      </c>
      <c r="I1752" s="9">
        <v>45356</v>
      </c>
    </row>
    <row r="1753" spans="1:9" x14ac:dyDescent="0.15">
      <c r="A1753" s="6">
        <v>1752</v>
      </c>
      <c r="B1753" s="7" t="s">
        <v>10</v>
      </c>
      <c r="C1753" s="8">
        <v>1888</v>
      </c>
      <c r="D1753" s="9">
        <v>45432</v>
      </c>
      <c r="E1753" s="13" t="str">
        <f>+HYPERLINK("http://trademark.i-assist.jp/data/china/image_1888th/77114404.pdf","77114404")</f>
        <v>77114404</v>
      </c>
      <c r="F1753" s="7" t="s">
        <v>4893</v>
      </c>
      <c r="G1753" s="7" t="s">
        <v>4894</v>
      </c>
      <c r="H1753" s="7" t="s">
        <v>4895</v>
      </c>
      <c r="I1753" s="9">
        <v>45356</v>
      </c>
    </row>
    <row r="1754" spans="1:9" x14ac:dyDescent="0.15">
      <c r="A1754" s="6">
        <v>1753</v>
      </c>
      <c r="B1754" s="7" t="s">
        <v>10</v>
      </c>
      <c r="C1754" s="8">
        <v>1888</v>
      </c>
      <c r="D1754" s="9">
        <v>45432</v>
      </c>
      <c r="E1754" s="13" t="str">
        <f>+HYPERLINK("http://trademark.i-assist.jp/data/china/image_1888th/77114567.pdf","77114567")</f>
        <v>77114567</v>
      </c>
      <c r="F1754" s="7" t="s">
        <v>4896</v>
      </c>
      <c r="G1754" s="7" t="s">
        <v>4897</v>
      </c>
      <c r="H1754" s="7" t="s">
        <v>4898</v>
      </c>
      <c r="I1754" s="9">
        <v>45356</v>
      </c>
    </row>
    <row r="1755" spans="1:9" x14ac:dyDescent="0.15">
      <c r="A1755" s="6">
        <v>1754</v>
      </c>
      <c r="B1755" s="7" t="s">
        <v>10</v>
      </c>
      <c r="C1755" s="8">
        <v>1888</v>
      </c>
      <c r="D1755" s="9">
        <v>45432</v>
      </c>
      <c r="E1755" s="13" t="str">
        <f>+HYPERLINK("http://trademark.i-assist.jp/data/china/image_1888th/77114966.pdf","77114966")</f>
        <v>77114966</v>
      </c>
      <c r="F1755" s="7" t="s">
        <v>4899</v>
      </c>
      <c r="G1755" s="7" t="s">
        <v>4900</v>
      </c>
      <c r="H1755" s="7" t="s">
        <v>4901</v>
      </c>
      <c r="I1755" s="9">
        <v>45356</v>
      </c>
    </row>
    <row r="1756" spans="1:9" ht="27" x14ac:dyDescent="0.15">
      <c r="A1756" s="6">
        <v>1755</v>
      </c>
      <c r="B1756" s="7" t="s">
        <v>10</v>
      </c>
      <c r="C1756" s="8">
        <v>1888</v>
      </c>
      <c r="D1756" s="9">
        <v>45432</v>
      </c>
      <c r="E1756" s="13" t="str">
        <f>+HYPERLINK("http://trademark.i-assist.jp/data/china/image_1888th/77115167.pdf","77115167")</f>
        <v>77115167</v>
      </c>
      <c r="F1756" s="7" t="s">
        <v>4902</v>
      </c>
      <c r="G1756" s="7" t="s">
        <v>4903</v>
      </c>
      <c r="H1756" s="7" t="s">
        <v>4904</v>
      </c>
      <c r="I1756" s="9">
        <v>45356</v>
      </c>
    </row>
    <row r="1757" spans="1:9" x14ac:dyDescent="0.15">
      <c r="A1757" s="6">
        <v>1756</v>
      </c>
      <c r="B1757" s="7" t="s">
        <v>10</v>
      </c>
      <c r="C1757" s="8">
        <v>1888</v>
      </c>
      <c r="D1757" s="9">
        <v>45432</v>
      </c>
      <c r="E1757" s="13" t="str">
        <f>+HYPERLINK("http://trademark.i-assist.jp/data/china/image_1888th/77115216.pdf","77115216")</f>
        <v>77115216</v>
      </c>
      <c r="F1757" s="7" t="s">
        <v>76</v>
      </c>
      <c r="G1757" s="7" t="s">
        <v>4905</v>
      </c>
      <c r="H1757" s="7" t="s">
        <v>4906</v>
      </c>
      <c r="I1757" s="9">
        <v>45356</v>
      </c>
    </row>
    <row r="1758" spans="1:9" ht="27" x14ac:dyDescent="0.15">
      <c r="A1758" s="6">
        <v>1757</v>
      </c>
      <c r="B1758" s="7" t="s">
        <v>10</v>
      </c>
      <c r="C1758" s="8">
        <v>1888</v>
      </c>
      <c r="D1758" s="9">
        <v>45432</v>
      </c>
      <c r="E1758" s="13" t="str">
        <f>+HYPERLINK("http://trademark.i-assist.jp/data/china/image_1888th/77115468.pdf","77115468")</f>
        <v>77115468</v>
      </c>
      <c r="F1758" s="7" t="s">
        <v>4907</v>
      </c>
      <c r="G1758" s="7" t="s">
        <v>4908</v>
      </c>
      <c r="H1758" s="7" t="s">
        <v>4909</v>
      </c>
      <c r="I1758" s="9">
        <v>45356</v>
      </c>
    </row>
    <row r="1759" spans="1:9" ht="27" x14ac:dyDescent="0.15">
      <c r="A1759" s="6">
        <v>1758</v>
      </c>
      <c r="B1759" s="7" t="s">
        <v>10</v>
      </c>
      <c r="C1759" s="8">
        <v>1888</v>
      </c>
      <c r="D1759" s="9">
        <v>45432</v>
      </c>
      <c r="E1759" s="13" t="str">
        <f>+HYPERLINK("http://trademark.i-assist.jp/data/china/image_1888th/77115503.pdf","77115503")</f>
        <v>77115503</v>
      </c>
      <c r="F1759" s="7" t="s">
        <v>4910</v>
      </c>
      <c r="G1759" s="7" t="s">
        <v>4911</v>
      </c>
      <c r="H1759" s="7" t="s">
        <v>4912</v>
      </c>
      <c r="I1759" s="9">
        <v>45356</v>
      </c>
    </row>
    <row r="1760" spans="1:9" x14ac:dyDescent="0.15">
      <c r="A1760" s="6">
        <v>1759</v>
      </c>
      <c r="B1760" s="7" t="s">
        <v>10</v>
      </c>
      <c r="C1760" s="8">
        <v>1888</v>
      </c>
      <c r="D1760" s="9">
        <v>45432</v>
      </c>
      <c r="E1760" s="13" t="str">
        <f>+HYPERLINK("http://trademark.i-assist.jp/data/china/image_1888th/77115524.pdf","77115524")</f>
        <v>77115524</v>
      </c>
      <c r="F1760" s="7" t="s">
        <v>4913</v>
      </c>
      <c r="G1760" s="7" t="s">
        <v>4914</v>
      </c>
      <c r="H1760" s="7" t="s">
        <v>4915</v>
      </c>
      <c r="I1760" s="9">
        <v>45356</v>
      </c>
    </row>
    <row r="1761" spans="1:9" x14ac:dyDescent="0.15">
      <c r="A1761" s="6">
        <v>1760</v>
      </c>
      <c r="B1761" s="7" t="s">
        <v>10</v>
      </c>
      <c r="C1761" s="8">
        <v>1888</v>
      </c>
      <c r="D1761" s="9">
        <v>45432</v>
      </c>
      <c r="E1761" s="13" t="str">
        <f>+HYPERLINK("http://trademark.i-assist.jp/data/china/image_1888th/77115724.pdf","77115724")</f>
        <v>77115724</v>
      </c>
      <c r="F1761" s="7" t="s">
        <v>4916</v>
      </c>
      <c r="G1761" s="7" t="s">
        <v>4917</v>
      </c>
      <c r="H1761" s="7" t="s">
        <v>4918</v>
      </c>
      <c r="I1761" s="9">
        <v>45356</v>
      </c>
    </row>
    <row r="1762" spans="1:9" ht="27" x14ac:dyDescent="0.15">
      <c r="A1762" s="6">
        <v>1761</v>
      </c>
      <c r="B1762" s="7" t="s">
        <v>10</v>
      </c>
      <c r="C1762" s="8">
        <v>1888</v>
      </c>
      <c r="D1762" s="9">
        <v>45432</v>
      </c>
      <c r="E1762" s="13" t="str">
        <f>+HYPERLINK("http://trademark.i-assist.jp/data/china/image_1888th/77115870.pdf","77115870")</f>
        <v>77115870</v>
      </c>
      <c r="F1762" s="7" t="s">
        <v>4919</v>
      </c>
      <c r="G1762" s="7" t="s">
        <v>4920</v>
      </c>
      <c r="H1762" s="7" t="s">
        <v>4921</v>
      </c>
      <c r="I1762" s="9">
        <v>45356</v>
      </c>
    </row>
    <row r="1763" spans="1:9" x14ac:dyDescent="0.15">
      <c r="A1763" s="6">
        <v>1762</v>
      </c>
      <c r="B1763" s="7" t="s">
        <v>10</v>
      </c>
      <c r="C1763" s="8">
        <v>1888</v>
      </c>
      <c r="D1763" s="9">
        <v>45432</v>
      </c>
      <c r="E1763" s="13" t="str">
        <f>+HYPERLINK("http://trademark.i-assist.jp/data/china/image_1888th/77115954.pdf","77115954")</f>
        <v>77115954</v>
      </c>
      <c r="F1763" s="7" t="s">
        <v>76</v>
      </c>
      <c r="G1763" s="7" t="s">
        <v>4861</v>
      </c>
      <c r="H1763" s="7" t="s">
        <v>4922</v>
      </c>
      <c r="I1763" s="9">
        <v>45356</v>
      </c>
    </row>
    <row r="1764" spans="1:9" x14ac:dyDescent="0.15">
      <c r="A1764" s="6">
        <v>1763</v>
      </c>
      <c r="B1764" s="7" t="s">
        <v>10</v>
      </c>
      <c r="C1764" s="8">
        <v>1888</v>
      </c>
      <c r="D1764" s="9">
        <v>45432</v>
      </c>
      <c r="E1764" s="13" t="str">
        <f>+HYPERLINK("http://trademark.i-assist.jp/data/china/image_1888th/77115979.pdf","77115979")</f>
        <v>77115979</v>
      </c>
      <c r="F1764" s="7" t="s">
        <v>4923</v>
      </c>
      <c r="G1764" s="7" t="s">
        <v>4924</v>
      </c>
      <c r="H1764" s="7" t="s">
        <v>4925</v>
      </c>
      <c r="I1764" s="9">
        <v>45356</v>
      </c>
    </row>
    <row r="1765" spans="1:9" x14ac:dyDescent="0.15">
      <c r="A1765" s="6">
        <v>1764</v>
      </c>
      <c r="B1765" s="7" t="s">
        <v>10</v>
      </c>
      <c r="C1765" s="8">
        <v>1888</v>
      </c>
      <c r="D1765" s="9">
        <v>45432</v>
      </c>
      <c r="E1765" s="13" t="str">
        <f>+HYPERLINK("http://trademark.i-assist.jp/data/china/image_1888th/77116003.pdf","77116003")</f>
        <v>77116003</v>
      </c>
      <c r="F1765" s="7" t="s">
        <v>4926</v>
      </c>
      <c r="G1765" s="7" t="s">
        <v>4927</v>
      </c>
      <c r="H1765" s="7" t="s">
        <v>4928</v>
      </c>
      <c r="I1765" s="9">
        <v>45356</v>
      </c>
    </row>
    <row r="1766" spans="1:9" x14ac:dyDescent="0.15">
      <c r="A1766" s="6">
        <v>1765</v>
      </c>
      <c r="B1766" s="7" t="s">
        <v>10</v>
      </c>
      <c r="C1766" s="8">
        <v>1888</v>
      </c>
      <c r="D1766" s="9">
        <v>45432</v>
      </c>
      <c r="E1766" s="13" t="str">
        <f>+HYPERLINK("http://trademark.i-assist.jp/data/china/image_1888th/77116020.pdf","77116020")</f>
        <v>77116020</v>
      </c>
      <c r="F1766" s="7" t="s">
        <v>4929</v>
      </c>
      <c r="G1766" s="7" t="s">
        <v>4592</v>
      </c>
      <c r="H1766" s="7" t="s">
        <v>4930</v>
      </c>
      <c r="I1766" s="9">
        <v>45356</v>
      </c>
    </row>
    <row r="1767" spans="1:9" ht="27" x14ac:dyDescent="0.15">
      <c r="A1767" s="6">
        <v>1766</v>
      </c>
      <c r="B1767" s="7" t="s">
        <v>10</v>
      </c>
      <c r="C1767" s="8">
        <v>1888</v>
      </c>
      <c r="D1767" s="9">
        <v>45432</v>
      </c>
      <c r="E1767" s="13" t="str">
        <f>+HYPERLINK("http://trademark.i-assist.jp/data/china/image_1888th/77116136.pdf","77116136")</f>
        <v>77116136</v>
      </c>
      <c r="F1767" s="7" t="s">
        <v>4931</v>
      </c>
      <c r="G1767" s="7" t="s">
        <v>4711</v>
      </c>
      <c r="H1767" s="7" t="s">
        <v>4932</v>
      </c>
      <c r="I1767" s="9">
        <v>45356</v>
      </c>
    </row>
    <row r="1768" spans="1:9" x14ac:dyDescent="0.15">
      <c r="A1768" s="6">
        <v>1767</v>
      </c>
      <c r="B1768" s="7" t="s">
        <v>10</v>
      </c>
      <c r="C1768" s="8">
        <v>1888</v>
      </c>
      <c r="D1768" s="9">
        <v>45432</v>
      </c>
      <c r="E1768" s="13" t="str">
        <f>+HYPERLINK("http://trademark.i-assist.jp/data/china/image_1888th/77116320.pdf","77116320")</f>
        <v>77116320</v>
      </c>
      <c r="F1768" s="7" t="s">
        <v>4933</v>
      </c>
      <c r="G1768" s="7" t="s">
        <v>4934</v>
      </c>
      <c r="H1768" s="7" t="s">
        <v>4935</v>
      </c>
      <c r="I1768" s="9">
        <v>45356</v>
      </c>
    </row>
    <row r="1769" spans="1:9" x14ac:dyDescent="0.15">
      <c r="A1769" s="6">
        <v>1768</v>
      </c>
      <c r="B1769" s="7" t="s">
        <v>10</v>
      </c>
      <c r="C1769" s="8">
        <v>1888</v>
      </c>
      <c r="D1769" s="9">
        <v>45432</v>
      </c>
      <c r="E1769" s="13" t="str">
        <f>+HYPERLINK("http://trademark.i-assist.jp/data/china/image_1888th/77116460.pdf","77116460")</f>
        <v>77116460</v>
      </c>
      <c r="F1769" s="7" t="s">
        <v>4936</v>
      </c>
      <c r="G1769" s="7" t="s">
        <v>4937</v>
      </c>
      <c r="H1769" s="7" t="s">
        <v>4938</v>
      </c>
      <c r="I1769" s="9">
        <v>45356</v>
      </c>
    </row>
    <row r="1770" spans="1:9" x14ac:dyDescent="0.15">
      <c r="A1770" s="6">
        <v>1769</v>
      </c>
      <c r="B1770" s="7" t="s">
        <v>10</v>
      </c>
      <c r="C1770" s="8">
        <v>1888</v>
      </c>
      <c r="D1770" s="9">
        <v>45432</v>
      </c>
      <c r="E1770" s="13" t="str">
        <f>+HYPERLINK("http://trademark.i-assist.jp/data/china/image_1888th/77116482.pdf","77116482")</f>
        <v>77116482</v>
      </c>
      <c r="F1770" s="7" t="s">
        <v>4939</v>
      </c>
      <c r="G1770" s="7" t="s">
        <v>4940</v>
      </c>
      <c r="H1770" s="7" t="s">
        <v>4941</v>
      </c>
      <c r="I1770" s="9">
        <v>45356</v>
      </c>
    </row>
    <row r="1771" spans="1:9" x14ac:dyDescent="0.15">
      <c r="A1771" s="6">
        <v>1770</v>
      </c>
      <c r="B1771" s="7" t="s">
        <v>10</v>
      </c>
      <c r="C1771" s="8">
        <v>1888</v>
      </c>
      <c r="D1771" s="9">
        <v>45432</v>
      </c>
      <c r="E1771" s="13" t="str">
        <f>+HYPERLINK("http://trademark.i-assist.jp/data/china/image_1888th/77116790.pdf","77116790")</f>
        <v>77116790</v>
      </c>
      <c r="F1771" s="7" t="s">
        <v>4942</v>
      </c>
      <c r="G1771" s="7" t="s">
        <v>4943</v>
      </c>
      <c r="H1771" s="7" t="s">
        <v>4944</v>
      </c>
      <c r="I1771" s="9">
        <v>45356</v>
      </c>
    </row>
    <row r="1772" spans="1:9" x14ac:dyDescent="0.15">
      <c r="A1772" s="6">
        <v>1771</v>
      </c>
      <c r="B1772" s="7" t="s">
        <v>10</v>
      </c>
      <c r="C1772" s="8">
        <v>1888</v>
      </c>
      <c r="D1772" s="9">
        <v>45432</v>
      </c>
      <c r="E1772" s="13" t="str">
        <f>+HYPERLINK("http://trademark.i-assist.jp/data/china/image_1888th/77117191.pdf","77117191")</f>
        <v>77117191</v>
      </c>
      <c r="F1772" s="7" t="s">
        <v>4945</v>
      </c>
      <c r="G1772" s="7" t="s">
        <v>4946</v>
      </c>
      <c r="H1772" s="7" t="s">
        <v>4947</v>
      </c>
      <c r="I1772" s="9">
        <v>45356</v>
      </c>
    </row>
    <row r="1773" spans="1:9" x14ac:dyDescent="0.15">
      <c r="A1773" s="6">
        <v>1772</v>
      </c>
      <c r="B1773" s="7" t="s">
        <v>10</v>
      </c>
      <c r="C1773" s="8">
        <v>1888</v>
      </c>
      <c r="D1773" s="9">
        <v>45432</v>
      </c>
      <c r="E1773" s="13" t="str">
        <f>+HYPERLINK("http://trademark.i-assist.jp/data/china/image_1888th/77117193.pdf","77117193")</f>
        <v>77117193</v>
      </c>
      <c r="F1773" s="7" t="s">
        <v>4948</v>
      </c>
      <c r="G1773" s="7" t="s">
        <v>4949</v>
      </c>
      <c r="H1773" s="7" t="s">
        <v>4950</v>
      </c>
      <c r="I1773" s="9">
        <v>45356</v>
      </c>
    </row>
    <row r="1774" spans="1:9" ht="27" x14ac:dyDescent="0.15">
      <c r="A1774" s="6">
        <v>1773</v>
      </c>
      <c r="B1774" s="7" t="s">
        <v>10</v>
      </c>
      <c r="C1774" s="8">
        <v>1888</v>
      </c>
      <c r="D1774" s="9">
        <v>45432</v>
      </c>
      <c r="E1774" s="13" t="str">
        <f>+HYPERLINK("http://trademark.i-assist.jp/data/china/image_1888th/77117216.pdf","77117216")</f>
        <v>77117216</v>
      </c>
      <c r="F1774" s="7" t="s">
        <v>4951</v>
      </c>
      <c r="G1774" s="7" t="s">
        <v>4952</v>
      </c>
      <c r="H1774" s="7" t="s">
        <v>4953</v>
      </c>
      <c r="I1774" s="9">
        <v>45356</v>
      </c>
    </row>
    <row r="1775" spans="1:9" x14ac:dyDescent="0.15">
      <c r="A1775" s="6">
        <v>1774</v>
      </c>
      <c r="B1775" s="7" t="s">
        <v>10</v>
      </c>
      <c r="C1775" s="8">
        <v>1888</v>
      </c>
      <c r="D1775" s="9">
        <v>45432</v>
      </c>
      <c r="E1775" s="13" t="str">
        <f>+HYPERLINK("http://trademark.i-assist.jp/data/china/image_1888th/77117274.pdf","77117274")</f>
        <v>77117274</v>
      </c>
      <c r="F1775" s="7" t="s">
        <v>76</v>
      </c>
      <c r="G1775" s="7" t="s">
        <v>4954</v>
      </c>
      <c r="H1775" s="7" t="s">
        <v>4955</v>
      </c>
      <c r="I1775" s="9">
        <v>45356</v>
      </c>
    </row>
    <row r="1776" spans="1:9" ht="27" x14ac:dyDescent="0.15">
      <c r="A1776" s="6">
        <v>1775</v>
      </c>
      <c r="B1776" s="7" t="s">
        <v>10</v>
      </c>
      <c r="C1776" s="8">
        <v>1888</v>
      </c>
      <c r="D1776" s="9">
        <v>45432</v>
      </c>
      <c r="E1776" s="13" t="str">
        <f>+HYPERLINK("http://trademark.i-assist.jp/data/china/image_1888th/77117411.pdf","77117411")</f>
        <v>77117411</v>
      </c>
      <c r="F1776" s="7" t="s">
        <v>4956</v>
      </c>
      <c r="G1776" s="7" t="s">
        <v>4957</v>
      </c>
      <c r="H1776" s="7" t="s">
        <v>4958</v>
      </c>
      <c r="I1776" s="9">
        <v>45356</v>
      </c>
    </row>
    <row r="1777" spans="1:9" x14ac:dyDescent="0.15">
      <c r="A1777" s="6">
        <v>1776</v>
      </c>
      <c r="B1777" s="7" t="s">
        <v>10</v>
      </c>
      <c r="C1777" s="8">
        <v>1888</v>
      </c>
      <c r="D1777" s="9">
        <v>45432</v>
      </c>
      <c r="E1777" s="13" t="str">
        <f>+HYPERLINK("http://trademark.i-assist.jp/data/china/image_1888th/77117451.pdf","77117451")</f>
        <v>77117451</v>
      </c>
      <c r="F1777" s="7" t="s">
        <v>4959</v>
      </c>
      <c r="G1777" s="7" t="s">
        <v>4960</v>
      </c>
      <c r="H1777" s="7" t="s">
        <v>4961</v>
      </c>
      <c r="I1777" s="9">
        <v>45356</v>
      </c>
    </row>
    <row r="1778" spans="1:9" x14ac:dyDescent="0.15">
      <c r="A1778" s="6">
        <v>1777</v>
      </c>
      <c r="B1778" s="7" t="s">
        <v>10</v>
      </c>
      <c r="C1778" s="8">
        <v>1888</v>
      </c>
      <c r="D1778" s="9">
        <v>45432</v>
      </c>
      <c r="E1778" s="13" t="str">
        <f>+HYPERLINK("http://trademark.i-assist.jp/data/china/image_1888th/77117591.pdf","77117591")</f>
        <v>77117591</v>
      </c>
      <c r="F1778" s="7" t="s">
        <v>4962</v>
      </c>
      <c r="G1778" s="7" t="s">
        <v>4963</v>
      </c>
      <c r="H1778" s="7" t="s">
        <v>4964</v>
      </c>
      <c r="I1778" s="9">
        <v>45356</v>
      </c>
    </row>
    <row r="1779" spans="1:9" x14ac:dyDescent="0.15">
      <c r="A1779" s="6">
        <v>1778</v>
      </c>
      <c r="B1779" s="7" t="s">
        <v>10</v>
      </c>
      <c r="C1779" s="8">
        <v>1888</v>
      </c>
      <c r="D1779" s="9">
        <v>45432</v>
      </c>
      <c r="E1779" s="13" t="str">
        <f>+HYPERLINK("http://trademark.i-assist.jp/data/china/image_1888th/77117635.pdf","77117635")</f>
        <v>77117635</v>
      </c>
      <c r="F1779" s="7" t="s">
        <v>4965</v>
      </c>
      <c r="G1779" s="7" t="s">
        <v>4966</v>
      </c>
      <c r="H1779" s="7" t="s">
        <v>4967</v>
      </c>
      <c r="I1779" s="9">
        <v>45356</v>
      </c>
    </row>
    <row r="1780" spans="1:9" ht="27" x14ac:dyDescent="0.15">
      <c r="A1780" s="6">
        <v>1779</v>
      </c>
      <c r="B1780" s="7" t="s">
        <v>10</v>
      </c>
      <c r="C1780" s="8">
        <v>1888</v>
      </c>
      <c r="D1780" s="9">
        <v>45432</v>
      </c>
      <c r="E1780" s="13" t="str">
        <f>+HYPERLINK("http://trademark.i-assist.jp/data/china/image_1888th/77117771.pdf","77117771")</f>
        <v>77117771</v>
      </c>
      <c r="F1780" s="7" t="s">
        <v>4968</v>
      </c>
      <c r="G1780" s="7" t="s">
        <v>958</v>
      </c>
      <c r="H1780" s="7" t="s">
        <v>4969</v>
      </c>
      <c r="I1780" s="9">
        <v>45356</v>
      </c>
    </row>
    <row r="1781" spans="1:9" x14ac:dyDescent="0.15">
      <c r="A1781" s="6">
        <v>1780</v>
      </c>
      <c r="B1781" s="7" t="s">
        <v>10</v>
      </c>
      <c r="C1781" s="8">
        <v>1888</v>
      </c>
      <c r="D1781" s="9">
        <v>45432</v>
      </c>
      <c r="E1781" s="13" t="str">
        <f>+HYPERLINK("http://trademark.i-assist.jp/data/china/image_1888th/77117985.pdf","77117985")</f>
        <v>77117985</v>
      </c>
      <c r="F1781" s="7" t="s">
        <v>4970</v>
      </c>
      <c r="G1781" s="7" t="s">
        <v>4940</v>
      </c>
      <c r="H1781" s="7" t="s">
        <v>4971</v>
      </c>
      <c r="I1781" s="9">
        <v>45356</v>
      </c>
    </row>
    <row r="1782" spans="1:9" ht="27" x14ac:dyDescent="0.15">
      <c r="A1782" s="6">
        <v>1781</v>
      </c>
      <c r="B1782" s="7" t="s">
        <v>10</v>
      </c>
      <c r="C1782" s="8">
        <v>1888</v>
      </c>
      <c r="D1782" s="9">
        <v>45432</v>
      </c>
      <c r="E1782" s="13" t="str">
        <f>+HYPERLINK("http://trademark.i-assist.jp/data/china/image_1888th/77118236.pdf","77118236")</f>
        <v>77118236</v>
      </c>
      <c r="F1782" s="7" t="s">
        <v>4972</v>
      </c>
      <c r="G1782" s="7" t="s">
        <v>4973</v>
      </c>
      <c r="H1782" s="7" t="s">
        <v>4974</v>
      </c>
      <c r="I1782" s="9">
        <v>45356</v>
      </c>
    </row>
    <row r="1783" spans="1:9" x14ac:dyDescent="0.15">
      <c r="A1783" s="6">
        <v>1782</v>
      </c>
      <c r="B1783" s="7" t="s">
        <v>10</v>
      </c>
      <c r="C1783" s="8">
        <v>1888</v>
      </c>
      <c r="D1783" s="9">
        <v>45432</v>
      </c>
      <c r="E1783" s="13" t="str">
        <f>+HYPERLINK("http://trademark.i-assist.jp/data/china/image_1888th/77118287.pdf","77118287")</f>
        <v>77118287</v>
      </c>
      <c r="F1783" s="7" t="s">
        <v>4975</v>
      </c>
      <c r="G1783" s="7" t="s">
        <v>4976</v>
      </c>
      <c r="H1783" s="7" t="s">
        <v>4977</v>
      </c>
      <c r="I1783" s="9">
        <v>45356</v>
      </c>
    </row>
    <row r="1784" spans="1:9" x14ac:dyDescent="0.15">
      <c r="A1784" s="6">
        <v>1783</v>
      </c>
      <c r="B1784" s="7" t="s">
        <v>10</v>
      </c>
      <c r="C1784" s="8">
        <v>1888</v>
      </c>
      <c r="D1784" s="9">
        <v>45432</v>
      </c>
      <c r="E1784" s="13" t="str">
        <f>+HYPERLINK("http://trademark.i-assist.jp/data/china/image_1888th/77118292.pdf","77118292")</f>
        <v>77118292</v>
      </c>
      <c r="F1784" s="7" t="s">
        <v>4978</v>
      </c>
      <c r="G1784" s="7" t="s">
        <v>4979</v>
      </c>
      <c r="H1784" s="7" t="s">
        <v>4980</v>
      </c>
      <c r="I1784" s="9">
        <v>45356</v>
      </c>
    </row>
    <row r="1785" spans="1:9" x14ac:dyDescent="0.15">
      <c r="A1785" s="6">
        <v>1784</v>
      </c>
      <c r="B1785" s="7" t="s">
        <v>10</v>
      </c>
      <c r="C1785" s="8">
        <v>1888</v>
      </c>
      <c r="D1785" s="9">
        <v>45432</v>
      </c>
      <c r="E1785" s="13" t="str">
        <f>+HYPERLINK("http://trademark.i-assist.jp/data/china/image_1888th/77118303.pdf","77118303")</f>
        <v>77118303</v>
      </c>
      <c r="F1785" s="7" t="s">
        <v>4981</v>
      </c>
      <c r="G1785" s="7" t="s">
        <v>4982</v>
      </c>
      <c r="H1785" s="7" t="s">
        <v>4983</v>
      </c>
      <c r="I1785" s="9">
        <v>45356</v>
      </c>
    </row>
    <row r="1786" spans="1:9" x14ac:dyDescent="0.15">
      <c r="A1786" s="6">
        <v>1785</v>
      </c>
      <c r="B1786" s="7" t="s">
        <v>10</v>
      </c>
      <c r="C1786" s="8">
        <v>1888</v>
      </c>
      <c r="D1786" s="9">
        <v>45432</v>
      </c>
      <c r="E1786" s="13" t="str">
        <f>+HYPERLINK("http://trademark.i-assist.jp/data/china/image_1888th/77118369.pdf","77118369")</f>
        <v>77118369</v>
      </c>
      <c r="F1786" s="7" t="s">
        <v>4984</v>
      </c>
      <c r="G1786" s="7" t="s">
        <v>4940</v>
      </c>
      <c r="H1786" s="7" t="s">
        <v>4985</v>
      </c>
      <c r="I1786" s="9">
        <v>45356</v>
      </c>
    </row>
    <row r="1787" spans="1:9" x14ac:dyDescent="0.15">
      <c r="A1787" s="6">
        <v>1786</v>
      </c>
      <c r="B1787" s="7" t="s">
        <v>10</v>
      </c>
      <c r="C1787" s="8">
        <v>1888</v>
      </c>
      <c r="D1787" s="9">
        <v>45432</v>
      </c>
      <c r="E1787" s="13" t="str">
        <f>+HYPERLINK("http://trademark.i-assist.jp/data/china/image_1888th/77118462.pdf","77118462")</f>
        <v>77118462</v>
      </c>
      <c r="F1787" s="7" t="s">
        <v>4986</v>
      </c>
      <c r="G1787" s="7" t="s">
        <v>4987</v>
      </c>
      <c r="H1787" s="7" t="s">
        <v>4988</v>
      </c>
      <c r="I1787" s="9">
        <v>45356</v>
      </c>
    </row>
    <row r="1788" spans="1:9" x14ac:dyDescent="0.15">
      <c r="A1788" s="6">
        <v>1787</v>
      </c>
      <c r="B1788" s="7" t="s">
        <v>10</v>
      </c>
      <c r="C1788" s="8">
        <v>1888</v>
      </c>
      <c r="D1788" s="9">
        <v>45432</v>
      </c>
      <c r="E1788" s="13" t="str">
        <f>+HYPERLINK("http://trademark.i-assist.jp/data/china/image_1888th/77118465.pdf","77118465")</f>
        <v>77118465</v>
      </c>
      <c r="F1788" s="7" t="s">
        <v>4989</v>
      </c>
      <c r="G1788" s="7" t="s">
        <v>4605</v>
      </c>
      <c r="H1788" s="7" t="s">
        <v>4990</v>
      </c>
      <c r="I1788" s="9">
        <v>45356</v>
      </c>
    </row>
    <row r="1789" spans="1:9" x14ac:dyDescent="0.15">
      <c r="A1789" s="6">
        <v>1788</v>
      </c>
      <c r="B1789" s="7" t="s">
        <v>10</v>
      </c>
      <c r="C1789" s="8">
        <v>1888</v>
      </c>
      <c r="D1789" s="9">
        <v>45432</v>
      </c>
      <c r="E1789" s="13" t="str">
        <f>+HYPERLINK("http://trademark.i-assist.jp/data/china/image_1888th/77118795.pdf","77118795")</f>
        <v>77118795</v>
      </c>
      <c r="F1789" s="7" t="s">
        <v>4991</v>
      </c>
      <c r="G1789" s="7" t="s">
        <v>4992</v>
      </c>
      <c r="H1789" s="7" t="s">
        <v>4993</v>
      </c>
      <c r="I1789" s="9">
        <v>45356</v>
      </c>
    </row>
    <row r="1790" spans="1:9" x14ac:dyDescent="0.15">
      <c r="A1790" s="6">
        <v>1789</v>
      </c>
      <c r="B1790" s="7" t="s">
        <v>10</v>
      </c>
      <c r="C1790" s="8">
        <v>1888</v>
      </c>
      <c r="D1790" s="9">
        <v>45432</v>
      </c>
      <c r="E1790" s="13" t="str">
        <f>+HYPERLINK("http://trademark.i-assist.jp/data/china/image_1888th/77118825.pdf","77118825")</f>
        <v>77118825</v>
      </c>
      <c r="F1790" s="7" t="s">
        <v>4994</v>
      </c>
      <c r="G1790" s="7" t="s">
        <v>4995</v>
      </c>
      <c r="H1790" s="7" t="s">
        <v>4996</v>
      </c>
      <c r="I1790" s="9">
        <v>45356</v>
      </c>
    </row>
    <row r="1791" spans="1:9" x14ac:dyDescent="0.15">
      <c r="A1791" s="6">
        <v>1790</v>
      </c>
      <c r="B1791" s="7" t="s">
        <v>10</v>
      </c>
      <c r="C1791" s="8">
        <v>1888</v>
      </c>
      <c r="D1791" s="9">
        <v>45432</v>
      </c>
      <c r="E1791" s="13" t="str">
        <f>+HYPERLINK("http://trademark.i-assist.jp/data/china/image_1888th/77118912.pdf","77118912")</f>
        <v>77118912</v>
      </c>
      <c r="F1791" s="7" t="s">
        <v>4997</v>
      </c>
      <c r="G1791" s="7" t="s">
        <v>4998</v>
      </c>
      <c r="H1791" s="7" t="s">
        <v>4999</v>
      </c>
      <c r="I1791" s="9">
        <v>45356</v>
      </c>
    </row>
    <row r="1792" spans="1:9" x14ac:dyDescent="0.15">
      <c r="A1792" s="6">
        <v>1791</v>
      </c>
      <c r="B1792" s="7" t="s">
        <v>10</v>
      </c>
      <c r="C1792" s="8">
        <v>1888</v>
      </c>
      <c r="D1792" s="9">
        <v>45432</v>
      </c>
      <c r="E1792" s="13" t="str">
        <f>+HYPERLINK("http://trademark.i-assist.jp/data/china/image_1888th/77119138.pdf","77119138")</f>
        <v>77119138</v>
      </c>
      <c r="F1792" s="7" t="s">
        <v>5000</v>
      </c>
      <c r="G1792" s="7" t="s">
        <v>1568</v>
      </c>
      <c r="H1792" s="7" t="s">
        <v>5001</v>
      </c>
      <c r="I1792" s="9">
        <v>45356</v>
      </c>
    </row>
    <row r="1793" spans="1:9" ht="27" x14ac:dyDescent="0.15">
      <c r="A1793" s="6">
        <v>1792</v>
      </c>
      <c r="B1793" s="7" t="s">
        <v>10</v>
      </c>
      <c r="C1793" s="8">
        <v>1888</v>
      </c>
      <c r="D1793" s="9">
        <v>45432</v>
      </c>
      <c r="E1793" s="13" t="str">
        <f>+HYPERLINK("http://trademark.i-assist.jp/data/china/image_1888th/77119194.pdf","77119194")</f>
        <v>77119194</v>
      </c>
      <c r="F1793" s="7" t="s">
        <v>5002</v>
      </c>
      <c r="G1793" s="7" t="s">
        <v>958</v>
      </c>
      <c r="H1793" s="7" t="s">
        <v>5003</v>
      </c>
      <c r="I1793" s="9">
        <v>45356</v>
      </c>
    </row>
    <row r="1794" spans="1:9" ht="27" x14ac:dyDescent="0.15">
      <c r="A1794" s="6">
        <v>1793</v>
      </c>
      <c r="B1794" s="7" t="s">
        <v>10</v>
      </c>
      <c r="C1794" s="8">
        <v>1888</v>
      </c>
      <c r="D1794" s="9">
        <v>45432</v>
      </c>
      <c r="E1794" s="13" t="str">
        <f>+HYPERLINK("http://trademark.i-assist.jp/data/china/image_1888th/77119208.pdf","77119208")</f>
        <v>77119208</v>
      </c>
      <c r="F1794" s="7" t="s">
        <v>5004</v>
      </c>
      <c r="G1794" s="7" t="s">
        <v>958</v>
      </c>
      <c r="H1794" s="7" t="s">
        <v>5005</v>
      </c>
      <c r="I1794" s="9">
        <v>45356</v>
      </c>
    </row>
    <row r="1795" spans="1:9" x14ac:dyDescent="0.15">
      <c r="A1795" s="6">
        <v>1794</v>
      </c>
      <c r="B1795" s="7" t="s">
        <v>10</v>
      </c>
      <c r="C1795" s="8">
        <v>1888</v>
      </c>
      <c r="D1795" s="9">
        <v>45432</v>
      </c>
      <c r="E1795" s="13" t="str">
        <f>+HYPERLINK("http://trademark.i-assist.jp/data/china/image_1888th/77119318.pdf","77119318")</f>
        <v>77119318</v>
      </c>
      <c r="F1795" s="7" t="s">
        <v>5006</v>
      </c>
      <c r="G1795" s="7" t="s">
        <v>4866</v>
      </c>
      <c r="H1795" s="7" t="s">
        <v>5007</v>
      </c>
      <c r="I1795" s="9">
        <v>45356</v>
      </c>
    </row>
    <row r="1796" spans="1:9" x14ac:dyDescent="0.15">
      <c r="A1796" s="6">
        <v>1795</v>
      </c>
      <c r="B1796" s="7" t="s">
        <v>10</v>
      </c>
      <c r="C1796" s="8">
        <v>1888</v>
      </c>
      <c r="D1796" s="9">
        <v>45432</v>
      </c>
      <c r="E1796" s="13" t="str">
        <f>+HYPERLINK("http://trademark.i-assist.jp/data/china/image_1888th/77119378.pdf","77119378")</f>
        <v>77119378</v>
      </c>
      <c r="F1796" s="7" t="s">
        <v>5008</v>
      </c>
      <c r="G1796" s="7" t="s">
        <v>5009</v>
      </c>
      <c r="H1796" s="7" t="s">
        <v>5010</v>
      </c>
      <c r="I1796" s="9">
        <v>45356</v>
      </c>
    </row>
    <row r="1797" spans="1:9" x14ac:dyDescent="0.15">
      <c r="A1797" s="6">
        <v>1796</v>
      </c>
      <c r="B1797" s="7" t="s">
        <v>10</v>
      </c>
      <c r="C1797" s="8">
        <v>1888</v>
      </c>
      <c r="D1797" s="9">
        <v>45432</v>
      </c>
      <c r="E1797" s="13" t="str">
        <f>+HYPERLINK("http://trademark.i-assist.jp/data/china/image_1888th/77119458.pdf","77119458")</f>
        <v>77119458</v>
      </c>
      <c r="F1797" s="7" t="s">
        <v>5011</v>
      </c>
      <c r="G1797" s="7" t="s">
        <v>5012</v>
      </c>
      <c r="H1797" s="7" t="s">
        <v>5013</v>
      </c>
      <c r="I1797" s="9">
        <v>45356</v>
      </c>
    </row>
    <row r="1798" spans="1:9" x14ac:dyDescent="0.15">
      <c r="A1798" s="6">
        <v>1797</v>
      </c>
      <c r="B1798" s="7" t="s">
        <v>10</v>
      </c>
      <c r="C1798" s="8">
        <v>1888</v>
      </c>
      <c r="D1798" s="9">
        <v>45432</v>
      </c>
      <c r="E1798" s="13" t="str">
        <f>+HYPERLINK("http://trademark.i-assist.jp/data/china/image_1888th/77119819.pdf","77119819")</f>
        <v>77119819</v>
      </c>
      <c r="F1798" s="7" t="s">
        <v>5014</v>
      </c>
      <c r="G1798" s="7" t="s">
        <v>5015</v>
      </c>
      <c r="H1798" s="7" t="s">
        <v>5016</v>
      </c>
      <c r="I1798" s="9">
        <v>45356</v>
      </c>
    </row>
    <row r="1799" spans="1:9" x14ac:dyDescent="0.15">
      <c r="A1799" s="6">
        <v>1798</v>
      </c>
      <c r="B1799" s="7" t="s">
        <v>10</v>
      </c>
      <c r="C1799" s="8">
        <v>1888</v>
      </c>
      <c r="D1799" s="9">
        <v>45432</v>
      </c>
      <c r="E1799" s="13" t="str">
        <f>+HYPERLINK("http://trademark.i-assist.jp/data/china/image_1888th/77119832.pdf","77119832")</f>
        <v>77119832</v>
      </c>
      <c r="F1799" s="7" t="s">
        <v>5017</v>
      </c>
      <c r="G1799" s="7" t="s">
        <v>5018</v>
      </c>
      <c r="H1799" s="7" t="s">
        <v>5019</v>
      </c>
      <c r="I1799" s="9">
        <v>45356</v>
      </c>
    </row>
    <row r="1800" spans="1:9" ht="27" x14ac:dyDescent="0.15">
      <c r="A1800" s="6">
        <v>1799</v>
      </c>
      <c r="B1800" s="7" t="s">
        <v>10</v>
      </c>
      <c r="C1800" s="8">
        <v>1888</v>
      </c>
      <c r="D1800" s="9">
        <v>45432</v>
      </c>
      <c r="E1800" s="13" t="str">
        <f>+HYPERLINK("http://trademark.i-assist.jp/data/china/image_1888th/77119855.pdf","77119855")</f>
        <v>77119855</v>
      </c>
      <c r="F1800" s="7" t="s">
        <v>5020</v>
      </c>
      <c r="G1800" s="7" t="s">
        <v>5021</v>
      </c>
      <c r="H1800" s="7" t="s">
        <v>5022</v>
      </c>
      <c r="I1800" s="9">
        <v>45356</v>
      </c>
    </row>
    <row r="1801" spans="1:9" x14ac:dyDescent="0.15">
      <c r="A1801" s="6">
        <v>1800</v>
      </c>
      <c r="B1801" s="7" t="s">
        <v>10</v>
      </c>
      <c r="C1801" s="8">
        <v>1888</v>
      </c>
      <c r="D1801" s="9">
        <v>45432</v>
      </c>
      <c r="E1801" s="13" t="str">
        <f>+HYPERLINK("http://trademark.i-assist.jp/data/china/image_1888th/77119865.pdf","77119865")</f>
        <v>77119865</v>
      </c>
      <c r="F1801" s="7" t="s">
        <v>5023</v>
      </c>
      <c r="G1801" s="7" t="s">
        <v>4819</v>
      </c>
      <c r="H1801" s="7" t="s">
        <v>5024</v>
      </c>
      <c r="I1801" s="9">
        <v>45356</v>
      </c>
    </row>
    <row r="1802" spans="1:9" x14ac:dyDescent="0.15">
      <c r="A1802" s="6">
        <v>1801</v>
      </c>
      <c r="B1802" s="7" t="s">
        <v>10</v>
      </c>
      <c r="C1802" s="8">
        <v>1888</v>
      </c>
      <c r="D1802" s="9">
        <v>45432</v>
      </c>
      <c r="E1802" s="13" t="str">
        <f>+HYPERLINK("http://trademark.i-assist.jp/data/china/image_1888th/77120102.pdf","77120102")</f>
        <v>77120102</v>
      </c>
      <c r="F1802" s="7" t="s">
        <v>5025</v>
      </c>
      <c r="G1802" s="7" t="s">
        <v>4662</v>
      </c>
      <c r="H1802" s="7" t="s">
        <v>5026</v>
      </c>
      <c r="I1802" s="9">
        <v>45356</v>
      </c>
    </row>
    <row r="1803" spans="1:9" x14ac:dyDescent="0.15">
      <c r="A1803" s="6">
        <v>1802</v>
      </c>
      <c r="B1803" s="7" t="s">
        <v>10</v>
      </c>
      <c r="C1803" s="8">
        <v>1888</v>
      </c>
      <c r="D1803" s="9">
        <v>45432</v>
      </c>
      <c r="E1803" s="13" t="str">
        <f>+HYPERLINK("http://trademark.i-assist.jp/data/china/image_1888th/77120505.pdf","77120505")</f>
        <v>77120505</v>
      </c>
      <c r="F1803" s="7" t="s">
        <v>5027</v>
      </c>
      <c r="G1803" s="7" t="s">
        <v>5028</v>
      </c>
      <c r="H1803" s="7" t="s">
        <v>5029</v>
      </c>
      <c r="I1803" s="9">
        <v>45356</v>
      </c>
    </row>
    <row r="1804" spans="1:9" x14ac:dyDescent="0.15">
      <c r="A1804" s="6">
        <v>1803</v>
      </c>
      <c r="B1804" s="7" t="s">
        <v>10</v>
      </c>
      <c r="C1804" s="8">
        <v>1888</v>
      </c>
      <c r="D1804" s="9">
        <v>45432</v>
      </c>
      <c r="E1804" s="13" t="str">
        <f>+HYPERLINK("http://trademark.i-assist.jp/data/china/image_1888th/77120882.pdf","77120882")</f>
        <v>77120882</v>
      </c>
      <c r="F1804" s="7" t="s">
        <v>76</v>
      </c>
      <c r="G1804" s="7" t="s">
        <v>5030</v>
      </c>
      <c r="H1804" s="7" t="s">
        <v>5031</v>
      </c>
      <c r="I1804" s="9">
        <v>45356</v>
      </c>
    </row>
    <row r="1805" spans="1:9" x14ac:dyDescent="0.15">
      <c r="A1805" s="6">
        <v>1804</v>
      </c>
      <c r="B1805" s="7" t="s">
        <v>10</v>
      </c>
      <c r="C1805" s="8">
        <v>1888</v>
      </c>
      <c r="D1805" s="9">
        <v>45432</v>
      </c>
      <c r="E1805" s="13" t="str">
        <f>+HYPERLINK("http://trademark.i-assist.jp/data/china/image_1888th/77120963.pdf","77120963")</f>
        <v>77120963</v>
      </c>
      <c r="F1805" s="7" t="s">
        <v>5032</v>
      </c>
      <c r="G1805" s="7" t="s">
        <v>5033</v>
      </c>
      <c r="H1805" s="7" t="s">
        <v>5034</v>
      </c>
      <c r="I1805" s="9">
        <v>45356</v>
      </c>
    </row>
    <row r="1806" spans="1:9" x14ac:dyDescent="0.15">
      <c r="A1806" s="6">
        <v>1805</v>
      </c>
      <c r="B1806" s="7" t="s">
        <v>10</v>
      </c>
      <c r="C1806" s="8">
        <v>1888</v>
      </c>
      <c r="D1806" s="9">
        <v>45432</v>
      </c>
      <c r="E1806" s="13" t="str">
        <f>+HYPERLINK("http://trademark.i-assist.jp/data/china/image_1888th/77121016.pdf","77121016")</f>
        <v>77121016</v>
      </c>
      <c r="F1806" s="7" t="s">
        <v>5035</v>
      </c>
      <c r="G1806" s="7" t="s">
        <v>4616</v>
      </c>
      <c r="H1806" s="7" t="s">
        <v>5036</v>
      </c>
      <c r="I1806" s="9">
        <v>45356</v>
      </c>
    </row>
    <row r="1807" spans="1:9" x14ac:dyDescent="0.15">
      <c r="A1807" s="6">
        <v>1806</v>
      </c>
      <c r="B1807" s="7" t="s">
        <v>10</v>
      </c>
      <c r="C1807" s="8">
        <v>1888</v>
      </c>
      <c r="D1807" s="9">
        <v>45432</v>
      </c>
      <c r="E1807" s="13" t="str">
        <f>+HYPERLINK("http://trademark.i-assist.jp/data/china/image_1888th/77121421.pdf","77121421")</f>
        <v>77121421</v>
      </c>
      <c r="F1807" s="7" t="s">
        <v>5037</v>
      </c>
      <c r="G1807" s="7" t="s">
        <v>5038</v>
      </c>
      <c r="H1807" s="7" t="s">
        <v>5039</v>
      </c>
      <c r="I1807" s="9">
        <v>45356</v>
      </c>
    </row>
    <row r="1808" spans="1:9" x14ac:dyDescent="0.15">
      <c r="A1808" s="6">
        <v>1807</v>
      </c>
      <c r="B1808" s="7" t="s">
        <v>10</v>
      </c>
      <c r="C1808" s="8">
        <v>1888</v>
      </c>
      <c r="D1808" s="9">
        <v>45432</v>
      </c>
      <c r="E1808" s="13" t="str">
        <f>+HYPERLINK("http://trademark.i-assist.jp/data/china/image_1888th/77121622.pdf","77121622")</f>
        <v>77121622</v>
      </c>
      <c r="F1808" s="7" t="s">
        <v>5040</v>
      </c>
      <c r="G1808" s="7" t="s">
        <v>5041</v>
      </c>
      <c r="H1808" s="7" t="s">
        <v>5042</v>
      </c>
      <c r="I1808" s="9">
        <v>45356</v>
      </c>
    </row>
    <row r="1809" spans="1:9" x14ac:dyDescent="0.15">
      <c r="A1809" s="6">
        <v>1808</v>
      </c>
      <c r="B1809" s="7" t="s">
        <v>10</v>
      </c>
      <c r="C1809" s="8">
        <v>1888</v>
      </c>
      <c r="D1809" s="9">
        <v>45432</v>
      </c>
      <c r="E1809" s="13" t="str">
        <f>+HYPERLINK("http://trademark.i-assist.jp/data/china/image_1888th/77121785.pdf","77121785")</f>
        <v>77121785</v>
      </c>
      <c r="F1809" s="7" t="s">
        <v>5043</v>
      </c>
      <c r="G1809" s="7" t="s">
        <v>4592</v>
      </c>
      <c r="H1809" s="7" t="s">
        <v>5044</v>
      </c>
      <c r="I1809" s="9">
        <v>45356</v>
      </c>
    </row>
    <row r="1810" spans="1:9" x14ac:dyDescent="0.15">
      <c r="A1810" s="6">
        <v>1809</v>
      </c>
      <c r="B1810" s="7" t="s">
        <v>10</v>
      </c>
      <c r="C1810" s="8">
        <v>1888</v>
      </c>
      <c r="D1810" s="9">
        <v>45432</v>
      </c>
      <c r="E1810" s="13" t="str">
        <f>+HYPERLINK("http://trademark.i-assist.jp/data/china/image_1888th/77122017.pdf","77122017")</f>
        <v>77122017</v>
      </c>
      <c r="F1810" s="7" t="s">
        <v>5045</v>
      </c>
      <c r="G1810" s="7" t="s">
        <v>5046</v>
      </c>
      <c r="H1810" s="7" t="s">
        <v>5047</v>
      </c>
      <c r="I1810" s="9">
        <v>45356</v>
      </c>
    </row>
    <row r="1811" spans="1:9" x14ac:dyDescent="0.15">
      <c r="A1811" s="6">
        <v>1810</v>
      </c>
      <c r="B1811" s="7" t="s">
        <v>10</v>
      </c>
      <c r="C1811" s="8">
        <v>1888</v>
      </c>
      <c r="D1811" s="9">
        <v>45432</v>
      </c>
      <c r="E1811" s="13" t="str">
        <f>+HYPERLINK("http://trademark.i-assist.jp/data/china/image_1888th/77122329.pdf","77122329")</f>
        <v>77122329</v>
      </c>
      <c r="F1811" s="7" t="s">
        <v>5048</v>
      </c>
      <c r="G1811" s="7" t="s">
        <v>4647</v>
      </c>
      <c r="H1811" s="7" t="s">
        <v>5049</v>
      </c>
      <c r="I1811" s="9">
        <v>45356</v>
      </c>
    </row>
    <row r="1812" spans="1:9" ht="27" x14ac:dyDescent="0.15">
      <c r="A1812" s="6">
        <v>1811</v>
      </c>
      <c r="B1812" s="7" t="s">
        <v>10</v>
      </c>
      <c r="C1812" s="8">
        <v>1888</v>
      </c>
      <c r="D1812" s="9">
        <v>45432</v>
      </c>
      <c r="E1812" s="13" t="str">
        <f>+HYPERLINK("http://trademark.i-assist.jp/data/china/image_1888th/77122334.pdf","77122334")</f>
        <v>77122334</v>
      </c>
      <c r="F1812" s="7" t="s">
        <v>5050</v>
      </c>
      <c r="G1812" s="7" t="s">
        <v>5051</v>
      </c>
      <c r="H1812" s="7" t="s">
        <v>5052</v>
      </c>
      <c r="I1812" s="9">
        <v>45356</v>
      </c>
    </row>
    <row r="1813" spans="1:9" ht="27" x14ac:dyDescent="0.15">
      <c r="A1813" s="6">
        <v>1812</v>
      </c>
      <c r="B1813" s="7" t="s">
        <v>10</v>
      </c>
      <c r="C1813" s="8">
        <v>1888</v>
      </c>
      <c r="D1813" s="9">
        <v>45432</v>
      </c>
      <c r="E1813" s="13" t="str">
        <f>+HYPERLINK("http://trademark.i-assist.jp/data/china/image_1888th/77122428.pdf","77122428")</f>
        <v>77122428</v>
      </c>
      <c r="F1813" s="7" t="s">
        <v>5053</v>
      </c>
      <c r="G1813" s="7" t="s">
        <v>5054</v>
      </c>
      <c r="H1813" s="7" t="s">
        <v>5055</v>
      </c>
      <c r="I1813" s="9">
        <v>45356</v>
      </c>
    </row>
    <row r="1814" spans="1:9" x14ac:dyDescent="0.15">
      <c r="A1814" s="6">
        <v>1813</v>
      </c>
      <c r="B1814" s="7" t="s">
        <v>10</v>
      </c>
      <c r="C1814" s="8">
        <v>1888</v>
      </c>
      <c r="D1814" s="9">
        <v>45432</v>
      </c>
      <c r="E1814" s="13" t="str">
        <f>+HYPERLINK("http://trademark.i-assist.jp/data/china/image_1888th/77122644.pdf","77122644")</f>
        <v>77122644</v>
      </c>
      <c r="F1814" s="7" t="s">
        <v>5056</v>
      </c>
      <c r="G1814" s="7" t="s">
        <v>4822</v>
      </c>
      <c r="H1814" s="7" t="s">
        <v>5057</v>
      </c>
      <c r="I1814" s="9">
        <v>45356</v>
      </c>
    </row>
    <row r="1815" spans="1:9" x14ac:dyDescent="0.15">
      <c r="A1815" s="6">
        <v>1814</v>
      </c>
      <c r="B1815" s="7" t="s">
        <v>10</v>
      </c>
      <c r="C1815" s="8">
        <v>1888</v>
      </c>
      <c r="D1815" s="9">
        <v>45432</v>
      </c>
      <c r="E1815" s="13" t="str">
        <f>+HYPERLINK("http://trademark.i-assist.jp/data/china/image_1888th/77122665.pdf","77122665")</f>
        <v>77122665</v>
      </c>
      <c r="F1815" s="7" t="s">
        <v>5058</v>
      </c>
      <c r="G1815" s="7" t="s">
        <v>5059</v>
      </c>
      <c r="H1815" s="7" t="s">
        <v>5060</v>
      </c>
      <c r="I1815" s="9">
        <v>45356</v>
      </c>
    </row>
    <row r="1816" spans="1:9" x14ac:dyDescent="0.15">
      <c r="A1816" s="6">
        <v>1815</v>
      </c>
      <c r="B1816" s="7" t="s">
        <v>10</v>
      </c>
      <c r="C1816" s="8">
        <v>1888</v>
      </c>
      <c r="D1816" s="9">
        <v>45432</v>
      </c>
      <c r="E1816" s="13" t="str">
        <f>+HYPERLINK("http://trademark.i-assist.jp/data/china/image_1888th/77122790.pdf","77122790")</f>
        <v>77122790</v>
      </c>
      <c r="F1816" s="7" t="s">
        <v>5061</v>
      </c>
      <c r="G1816" s="7" t="s">
        <v>5062</v>
      </c>
      <c r="H1816" s="7" t="s">
        <v>5063</v>
      </c>
      <c r="I1816" s="9">
        <v>45356</v>
      </c>
    </row>
    <row r="1817" spans="1:9" x14ac:dyDescent="0.15">
      <c r="A1817" s="6">
        <v>1816</v>
      </c>
      <c r="B1817" s="7" t="s">
        <v>10</v>
      </c>
      <c r="C1817" s="8">
        <v>1888</v>
      </c>
      <c r="D1817" s="9">
        <v>45432</v>
      </c>
      <c r="E1817" s="13" t="str">
        <f>+HYPERLINK("http://trademark.i-assist.jp/data/china/image_1888th/77123357.pdf","77123357")</f>
        <v>77123357</v>
      </c>
      <c r="F1817" s="7" t="s">
        <v>5064</v>
      </c>
      <c r="G1817" s="7" t="s">
        <v>4605</v>
      </c>
      <c r="H1817" s="7" t="s">
        <v>5065</v>
      </c>
      <c r="I1817" s="9">
        <v>45356</v>
      </c>
    </row>
    <row r="1818" spans="1:9" x14ac:dyDescent="0.15">
      <c r="A1818" s="6">
        <v>1817</v>
      </c>
      <c r="B1818" s="7" t="s">
        <v>10</v>
      </c>
      <c r="C1818" s="8">
        <v>1888</v>
      </c>
      <c r="D1818" s="9">
        <v>45432</v>
      </c>
      <c r="E1818" s="13" t="str">
        <f>+HYPERLINK("http://trademark.i-assist.jp/data/china/image_1888th/77123358.pdf","77123358")</f>
        <v>77123358</v>
      </c>
      <c r="F1818" s="7" t="s">
        <v>5066</v>
      </c>
      <c r="G1818" s="7" t="s">
        <v>5067</v>
      </c>
      <c r="H1818" s="7" t="s">
        <v>5068</v>
      </c>
      <c r="I1818" s="9">
        <v>45357</v>
      </c>
    </row>
    <row r="1819" spans="1:9" ht="27" x14ac:dyDescent="0.15">
      <c r="A1819" s="6">
        <v>1818</v>
      </c>
      <c r="B1819" s="7" t="s">
        <v>10</v>
      </c>
      <c r="C1819" s="8">
        <v>1888</v>
      </c>
      <c r="D1819" s="9">
        <v>45432</v>
      </c>
      <c r="E1819" s="13" t="str">
        <f>+HYPERLINK("http://trademark.i-assist.jp/data/china/image_1888th/77123485.pdf","77123485")</f>
        <v>77123485</v>
      </c>
      <c r="F1819" s="7" t="s">
        <v>5069</v>
      </c>
      <c r="G1819" s="7" t="s">
        <v>5070</v>
      </c>
      <c r="H1819" s="7" t="s">
        <v>5071</v>
      </c>
      <c r="I1819" s="9">
        <v>45357</v>
      </c>
    </row>
    <row r="1820" spans="1:9" x14ac:dyDescent="0.15">
      <c r="A1820" s="6">
        <v>1819</v>
      </c>
      <c r="B1820" s="7" t="s">
        <v>10</v>
      </c>
      <c r="C1820" s="8">
        <v>1888</v>
      </c>
      <c r="D1820" s="9">
        <v>45432</v>
      </c>
      <c r="E1820" s="13" t="str">
        <f>+HYPERLINK("http://trademark.i-assist.jp/data/china/image_1888th/77123550.pdf","77123550")</f>
        <v>77123550</v>
      </c>
      <c r="F1820" s="7" t="s">
        <v>5072</v>
      </c>
      <c r="G1820" s="7" t="s">
        <v>5073</v>
      </c>
      <c r="H1820" s="7" t="s">
        <v>5074</v>
      </c>
      <c r="I1820" s="9">
        <v>45357</v>
      </c>
    </row>
    <row r="1821" spans="1:9" x14ac:dyDescent="0.15">
      <c r="A1821" s="6">
        <v>1820</v>
      </c>
      <c r="B1821" s="7" t="s">
        <v>10</v>
      </c>
      <c r="C1821" s="8">
        <v>1888</v>
      </c>
      <c r="D1821" s="9">
        <v>45432</v>
      </c>
      <c r="E1821" s="13" t="str">
        <f>+HYPERLINK("http://trademark.i-assist.jp/data/china/image_1888th/77123673.pdf","77123673")</f>
        <v>77123673</v>
      </c>
      <c r="F1821" s="7" t="s">
        <v>5075</v>
      </c>
      <c r="G1821" s="7" t="s">
        <v>5076</v>
      </c>
      <c r="H1821" s="7" t="s">
        <v>5077</v>
      </c>
      <c r="I1821" s="9">
        <v>45357</v>
      </c>
    </row>
    <row r="1822" spans="1:9" x14ac:dyDescent="0.15">
      <c r="A1822" s="6">
        <v>1821</v>
      </c>
      <c r="B1822" s="7" t="s">
        <v>10</v>
      </c>
      <c r="C1822" s="8">
        <v>1888</v>
      </c>
      <c r="D1822" s="9">
        <v>45432</v>
      </c>
      <c r="E1822" s="13" t="str">
        <f>+HYPERLINK("http://trademark.i-assist.jp/data/china/image_1888th/77123765.pdf","77123765")</f>
        <v>77123765</v>
      </c>
      <c r="F1822" s="7" t="s">
        <v>76</v>
      </c>
      <c r="G1822" s="7" t="s">
        <v>5078</v>
      </c>
      <c r="H1822" s="7" t="s">
        <v>5079</v>
      </c>
      <c r="I1822" s="9">
        <v>45357</v>
      </c>
    </row>
    <row r="1823" spans="1:9" x14ac:dyDescent="0.15">
      <c r="A1823" s="6">
        <v>1822</v>
      </c>
      <c r="B1823" s="7" t="s">
        <v>10</v>
      </c>
      <c r="C1823" s="8">
        <v>1888</v>
      </c>
      <c r="D1823" s="9">
        <v>45432</v>
      </c>
      <c r="E1823" s="13" t="str">
        <f>+HYPERLINK("http://trademark.i-assist.jp/data/china/image_1888th/77123907.pdf","77123907")</f>
        <v>77123907</v>
      </c>
      <c r="F1823" s="7" t="s">
        <v>5080</v>
      </c>
      <c r="G1823" s="7" t="s">
        <v>5081</v>
      </c>
      <c r="H1823" s="7" t="s">
        <v>5082</v>
      </c>
      <c r="I1823" s="9">
        <v>45357</v>
      </c>
    </row>
    <row r="1824" spans="1:9" ht="27" x14ac:dyDescent="0.15">
      <c r="A1824" s="6">
        <v>1823</v>
      </c>
      <c r="B1824" s="7" t="s">
        <v>10</v>
      </c>
      <c r="C1824" s="8">
        <v>1888</v>
      </c>
      <c r="D1824" s="9">
        <v>45432</v>
      </c>
      <c r="E1824" s="13" t="str">
        <f>+HYPERLINK("http://trademark.i-assist.jp/data/china/image_1888th/77123932.pdf","77123932")</f>
        <v>77123932</v>
      </c>
      <c r="F1824" s="7" t="s">
        <v>5083</v>
      </c>
      <c r="G1824" s="7" t="s">
        <v>5084</v>
      </c>
      <c r="H1824" s="7" t="s">
        <v>5085</v>
      </c>
      <c r="I1824" s="9">
        <v>45357</v>
      </c>
    </row>
    <row r="1825" spans="1:9" x14ac:dyDescent="0.15">
      <c r="A1825" s="6">
        <v>1824</v>
      </c>
      <c r="B1825" s="7" t="s">
        <v>10</v>
      </c>
      <c r="C1825" s="8">
        <v>1888</v>
      </c>
      <c r="D1825" s="9">
        <v>45432</v>
      </c>
      <c r="E1825" s="13" t="str">
        <f>+HYPERLINK("http://trademark.i-assist.jp/data/china/image_1888th/77123993.pdf","77123993")</f>
        <v>77123993</v>
      </c>
      <c r="F1825" s="7" t="s">
        <v>5086</v>
      </c>
      <c r="G1825" s="7" t="s">
        <v>5087</v>
      </c>
      <c r="H1825" s="7" t="s">
        <v>5088</v>
      </c>
      <c r="I1825" s="9">
        <v>45357</v>
      </c>
    </row>
    <row r="1826" spans="1:9" x14ac:dyDescent="0.15">
      <c r="A1826" s="6">
        <v>1825</v>
      </c>
      <c r="B1826" s="7" t="s">
        <v>10</v>
      </c>
      <c r="C1826" s="8">
        <v>1888</v>
      </c>
      <c r="D1826" s="9">
        <v>45432</v>
      </c>
      <c r="E1826" s="13" t="str">
        <f>+HYPERLINK("http://trademark.i-assist.jp/data/china/image_1888th/77124010.pdf","77124010")</f>
        <v>77124010</v>
      </c>
      <c r="F1826" s="7" t="s">
        <v>5089</v>
      </c>
      <c r="G1826" s="7" t="s">
        <v>5090</v>
      </c>
      <c r="H1826" s="7" t="s">
        <v>5091</v>
      </c>
      <c r="I1826" s="9">
        <v>45357</v>
      </c>
    </row>
    <row r="1827" spans="1:9" ht="27" x14ac:dyDescent="0.15">
      <c r="A1827" s="6">
        <v>1826</v>
      </c>
      <c r="B1827" s="7" t="s">
        <v>10</v>
      </c>
      <c r="C1827" s="8">
        <v>1888</v>
      </c>
      <c r="D1827" s="9">
        <v>45432</v>
      </c>
      <c r="E1827" s="13" t="str">
        <f>+HYPERLINK("http://trademark.i-assist.jp/data/china/image_1888th/77124358.pdf","77124358")</f>
        <v>77124358</v>
      </c>
      <c r="F1827" s="7" t="s">
        <v>5092</v>
      </c>
      <c r="G1827" s="7" t="s">
        <v>5093</v>
      </c>
      <c r="H1827" s="7" t="s">
        <v>5094</v>
      </c>
      <c r="I1827" s="9">
        <v>45357</v>
      </c>
    </row>
    <row r="1828" spans="1:9" x14ac:dyDescent="0.15">
      <c r="A1828" s="6">
        <v>1827</v>
      </c>
      <c r="B1828" s="7" t="s">
        <v>10</v>
      </c>
      <c r="C1828" s="8">
        <v>1888</v>
      </c>
      <c r="D1828" s="9">
        <v>45432</v>
      </c>
      <c r="E1828" s="13" t="str">
        <f>+HYPERLINK("http://trademark.i-assist.jp/data/china/image_1888th/77124818.pdf","77124818")</f>
        <v>77124818</v>
      </c>
      <c r="F1828" s="7" t="s">
        <v>5095</v>
      </c>
      <c r="G1828" s="7" t="s">
        <v>5096</v>
      </c>
      <c r="H1828" s="7" t="s">
        <v>5097</v>
      </c>
      <c r="I1828" s="9">
        <v>45357</v>
      </c>
    </row>
    <row r="1829" spans="1:9" x14ac:dyDescent="0.15">
      <c r="A1829" s="6">
        <v>1828</v>
      </c>
      <c r="B1829" s="7" t="s">
        <v>10</v>
      </c>
      <c r="C1829" s="8">
        <v>1888</v>
      </c>
      <c r="D1829" s="9">
        <v>45432</v>
      </c>
      <c r="E1829" s="13" t="str">
        <f>+HYPERLINK("http://trademark.i-assist.jp/data/china/image_1888th/77124829.pdf","77124829")</f>
        <v>77124829</v>
      </c>
      <c r="F1829" s="7" t="s">
        <v>5098</v>
      </c>
      <c r="G1829" s="7" t="s">
        <v>5096</v>
      </c>
      <c r="H1829" s="7" t="s">
        <v>5099</v>
      </c>
      <c r="I1829" s="9">
        <v>45357</v>
      </c>
    </row>
    <row r="1830" spans="1:9" x14ac:dyDescent="0.15">
      <c r="A1830" s="6">
        <v>1829</v>
      </c>
      <c r="B1830" s="7" t="s">
        <v>10</v>
      </c>
      <c r="C1830" s="8">
        <v>1888</v>
      </c>
      <c r="D1830" s="9">
        <v>45432</v>
      </c>
      <c r="E1830" s="13" t="str">
        <f>+HYPERLINK("http://trademark.i-assist.jp/data/china/image_1888th/77125181.pdf","77125181")</f>
        <v>77125181</v>
      </c>
      <c r="F1830" s="7" t="s">
        <v>5100</v>
      </c>
      <c r="G1830" s="7" t="s">
        <v>873</v>
      </c>
      <c r="H1830" s="7" t="s">
        <v>5101</v>
      </c>
      <c r="I1830" s="9">
        <v>45357</v>
      </c>
    </row>
    <row r="1831" spans="1:9" x14ac:dyDescent="0.15">
      <c r="A1831" s="6">
        <v>1830</v>
      </c>
      <c r="B1831" s="7" t="s">
        <v>10</v>
      </c>
      <c r="C1831" s="8">
        <v>1888</v>
      </c>
      <c r="D1831" s="9">
        <v>45432</v>
      </c>
      <c r="E1831" s="13" t="str">
        <f>+HYPERLINK("http://trademark.i-assist.jp/data/china/image_1888th/77125478.pdf","77125478")</f>
        <v>77125478</v>
      </c>
      <c r="F1831" s="7" t="s">
        <v>5102</v>
      </c>
      <c r="G1831" s="7" t="s">
        <v>5103</v>
      </c>
      <c r="H1831" s="7" t="s">
        <v>5104</v>
      </c>
      <c r="I1831" s="9">
        <v>45357</v>
      </c>
    </row>
    <row r="1832" spans="1:9" x14ac:dyDescent="0.15">
      <c r="A1832" s="6">
        <v>1831</v>
      </c>
      <c r="B1832" s="7" t="s">
        <v>10</v>
      </c>
      <c r="C1832" s="8">
        <v>1888</v>
      </c>
      <c r="D1832" s="9">
        <v>45432</v>
      </c>
      <c r="E1832" s="13" t="str">
        <f>+HYPERLINK("http://trademark.i-assist.jp/data/china/image_1888th/77125753.pdf","77125753")</f>
        <v>77125753</v>
      </c>
      <c r="F1832" s="7" t="s">
        <v>5105</v>
      </c>
      <c r="G1832" s="7" t="s">
        <v>5106</v>
      </c>
      <c r="H1832" s="7" t="s">
        <v>5107</v>
      </c>
      <c r="I1832" s="9">
        <v>45357</v>
      </c>
    </row>
    <row r="1833" spans="1:9" x14ac:dyDescent="0.15">
      <c r="A1833" s="6">
        <v>1832</v>
      </c>
      <c r="B1833" s="7" t="s">
        <v>10</v>
      </c>
      <c r="C1833" s="8">
        <v>1888</v>
      </c>
      <c r="D1833" s="9">
        <v>45432</v>
      </c>
      <c r="E1833" s="13" t="str">
        <f>+HYPERLINK("http://trademark.i-assist.jp/data/china/image_1888th/77125874.pdf","77125874")</f>
        <v>77125874</v>
      </c>
      <c r="F1833" s="7" t="s">
        <v>5108</v>
      </c>
      <c r="G1833" s="7" t="s">
        <v>5109</v>
      </c>
      <c r="H1833" s="7" t="s">
        <v>5110</v>
      </c>
      <c r="I1833" s="9">
        <v>45357</v>
      </c>
    </row>
    <row r="1834" spans="1:9" ht="27" x14ac:dyDescent="0.15">
      <c r="A1834" s="6">
        <v>1833</v>
      </c>
      <c r="B1834" s="7" t="s">
        <v>10</v>
      </c>
      <c r="C1834" s="8">
        <v>1888</v>
      </c>
      <c r="D1834" s="9">
        <v>45432</v>
      </c>
      <c r="E1834" s="13" t="str">
        <f>+HYPERLINK("http://trademark.i-assist.jp/data/china/image_1888th/77125876.pdf","77125876")</f>
        <v>77125876</v>
      </c>
      <c r="F1834" s="7" t="s">
        <v>5111</v>
      </c>
      <c r="G1834" s="7" t="s">
        <v>5112</v>
      </c>
      <c r="H1834" s="7" t="s">
        <v>5113</v>
      </c>
      <c r="I1834" s="9">
        <v>45357</v>
      </c>
    </row>
    <row r="1835" spans="1:9" x14ac:dyDescent="0.15">
      <c r="A1835" s="6">
        <v>1834</v>
      </c>
      <c r="B1835" s="7" t="s">
        <v>10</v>
      </c>
      <c r="C1835" s="8">
        <v>1888</v>
      </c>
      <c r="D1835" s="9">
        <v>45432</v>
      </c>
      <c r="E1835" s="13" t="str">
        <f>+HYPERLINK("http://trademark.i-assist.jp/data/china/image_1888th/77126075.pdf","77126075")</f>
        <v>77126075</v>
      </c>
      <c r="F1835" s="7" t="s">
        <v>5114</v>
      </c>
      <c r="G1835" s="7" t="s">
        <v>5115</v>
      </c>
      <c r="H1835" s="7" t="s">
        <v>5116</v>
      </c>
      <c r="I1835" s="9">
        <v>45357</v>
      </c>
    </row>
    <row r="1836" spans="1:9" x14ac:dyDescent="0.15">
      <c r="A1836" s="6">
        <v>1835</v>
      </c>
      <c r="B1836" s="7" t="s">
        <v>10</v>
      </c>
      <c r="C1836" s="8">
        <v>1888</v>
      </c>
      <c r="D1836" s="9">
        <v>45432</v>
      </c>
      <c r="E1836" s="13" t="str">
        <f>+HYPERLINK("http://trademark.i-assist.jp/data/china/image_1888th/77126078.pdf","77126078")</f>
        <v>77126078</v>
      </c>
      <c r="F1836" s="7" t="s">
        <v>5117</v>
      </c>
      <c r="G1836" s="7" t="s">
        <v>5118</v>
      </c>
      <c r="H1836" s="7" t="s">
        <v>5119</v>
      </c>
      <c r="I1836" s="9">
        <v>45357</v>
      </c>
    </row>
    <row r="1837" spans="1:9" x14ac:dyDescent="0.15">
      <c r="A1837" s="6">
        <v>1836</v>
      </c>
      <c r="B1837" s="7" t="s">
        <v>10</v>
      </c>
      <c r="C1837" s="8">
        <v>1888</v>
      </c>
      <c r="D1837" s="9">
        <v>45432</v>
      </c>
      <c r="E1837" s="13" t="str">
        <f>+HYPERLINK("http://trademark.i-assist.jp/data/china/image_1888th/77126196.pdf","77126196")</f>
        <v>77126196</v>
      </c>
      <c r="F1837" s="7" t="s">
        <v>5120</v>
      </c>
      <c r="G1837" s="7" t="s">
        <v>5121</v>
      </c>
      <c r="H1837" s="7" t="s">
        <v>5122</v>
      </c>
      <c r="I1837" s="9">
        <v>45357</v>
      </c>
    </row>
    <row r="1838" spans="1:9" x14ac:dyDescent="0.15">
      <c r="A1838" s="6">
        <v>1837</v>
      </c>
      <c r="B1838" s="7" t="s">
        <v>10</v>
      </c>
      <c r="C1838" s="8">
        <v>1888</v>
      </c>
      <c r="D1838" s="9">
        <v>45432</v>
      </c>
      <c r="E1838" s="13" t="str">
        <f>+HYPERLINK("http://trademark.i-assist.jp/data/china/image_1888th/77126213.pdf","77126213")</f>
        <v>77126213</v>
      </c>
      <c r="F1838" s="7" t="s">
        <v>5123</v>
      </c>
      <c r="G1838" s="7" t="s">
        <v>5124</v>
      </c>
      <c r="H1838" s="7" t="s">
        <v>5125</v>
      </c>
      <c r="I1838" s="9">
        <v>45357</v>
      </c>
    </row>
    <row r="1839" spans="1:9" x14ac:dyDescent="0.15">
      <c r="A1839" s="6">
        <v>1838</v>
      </c>
      <c r="B1839" s="7" t="s">
        <v>10</v>
      </c>
      <c r="C1839" s="8">
        <v>1888</v>
      </c>
      <c r="D1839" s="9">
        <v>45432</v>
      </c>
      <c r="E1839" s="13" t="str">
        <f>+HYPERLINK("http://trademark.i-assist.jp/data/china/image_1888th/77126499.pdf","77126499")</f>
        <v>77126499</v>
      </c>
      <c r="F1839" s="7" t="s">
        <v>5126</v>
      </c>
      <c r="G1839" s="7" t="s">
        <v>5127</v>
      </c>
      <c r="H1839" s="7" t="s">
        <v>5128</v>
      </c>
      <c r="I1839" s="9">
        <v>45357</v>
      </c>
    </row>
    <row r="1840" spans="1:9" x14ac:dyDescent="0.15">
      <c r="A1840" s="6">
        <v>1839</v>
      </c>
      <c r="B1840" s="7" t="s">
        <v>10</v>
      </c>
      <c r="C1840" s="8">
        <v>1888</v>
      </c>
      <c r="D1840" s="9">
        <v>45432</v>
      </c>
      <c r="E1840" s="13" t="str">
        <f>+HYPERLINK("http://trademark.i-assist.jp/data/china/image_1888th/77126511.pdf","77126511")</f>
        <v>77126511</v>
      </c>
      <c r="F1840" s="7" t="s">
        <v>5129</v>
      </c>
      <c r="G1840" s="7" t="s">
        <v>5130</v>
      </c>
      <c r="H1840" s="7" t="s">
        <v>5131</v>
      </c>
      <c r="I1840" s="9">
        <v>45357</v>
      </c>
    </row>
    <row r="1841" spans="1:9" x14ac:dyDescent="0.15">
      <c r="A1841" s="6">
        <v>1840</v>
      </c>
      <c r="B1841" s="7" t="s">
        <v>10</v>
      </c>
      <c r="C1841" s="8">
        <v>1888</v>
      </c>
      <c r="D1841" s="9">
        <v>45432</v>
      </c>
      <c r="E1841" s="13" t="str">
        <f>+HYPERLINK("http://trademark.i-assist.jp/data/china/image_1888th/77126542.pdf","77126542")</f>
        <v>77126542</v>
      </c>
      <c r="F1841" s="7" t="s">
        <v>76</v>
      </c>
      <c r="G1841" s="7" t="s">
        <v>5132</v>
      </c>
      <c r="H1841" s="7" t="s">
        <v>5133</v>
      </c>
      <c r="I1841" s="9">
        <v>45357</v>
      </c>
    </row>
    <row r="1842" spans="1:9" x14ac:dyDescent="0.15">
      <c r="A1842" s="6">
        <v>1841</v>
      </c>
      <c r="B1842" s="7" t="s">
        <v>10</v>
      </c>
      <c r="C1842" s="8">
        <v>1888</v>
      </c>
      <c r="D1842" s="9">
        <v>45432</v>
      </c>
      <c r="E1842" s="13" t="str">
        <f>+HYPERLINK("http://trademark.i-assist.jp/data/china/image_1888th/77126581.pdf","77126581")</f>
        <v>77126581</v>
      </c>
      <c r="F1842" s="7" t="s">
        <v>5134</v>
      </c>
      <c r="G1842" s="7" t="s">
        <v>5135</v>
      </c>
      <c r="H1842" s="7" t="s">
        <v>5136</v>
      </c>
      <c r="I1842" s="9">
        <v>45357</v>
      </c>
    </row>
    <row r="1843" spans="1:9" x14ac:dyDescent="0.15">
      <c r="A1843" s="6">
        <v>1842</v>
      </c>
      <c r="B1843" s="7" t="s">
        <v>10</v>
      </c>
      <c r="C1843" s="8">
        <v>1888</v>
      </c>
      <c r="D1843" s="9">
        <v>45432</v>
      </c>
      <c r="E1843" s="13" t="str">
        <f>+HYPERLINK("http://trademark.i-assist.jp/data/china/image_1888th/77126680.pdf","77126680")</f>
        <v>77126680</v>
      </c>
      <c r="F1843" s="7" t="s">
        <v>5137</v>
      </c>
      <c r="G1843" s="7" t="s">
        <v>5138</v>
      </c>
      <c r="H1843" s="7" t="s">
        <v>5139</v>
      </c>
      <c r="I1843" s="9">
        <v>45357</v>
      </c>
    </row>
    <row r="1844" spans="1:9" x14ac:dyDescent="0.15">
      <c r="A1844" s="6">
        <v>1843</v>
      </c>
      <c r="B1844" s="7" t="s">
        <v>10</v>
      </c>
      <c r="C1844" s="8">
        <v>1888</v>
      </c>
      <c r="D1844" s="9">
        <v>45432</v>
      </c>
      <c r="E1844" s="13" t="str">
        <f>+HYPERLINK("http://trademark.i-assist.jp/data/china/image_1888th/77126681.pdf","77126681")</f>
        <v>77126681</v>
      </c>
      <c r="F1844" s="7" t="s">
        <v>5140</v>
      </c>
      <c r="G1844" s="7" t="s">
        <v>5141</v>
      </c>
      <c r="H1844" s="7" t="s">
        <v>5142</v>
      </c>
      <c r="I1844" s="9">
        <v>45357</v>
      </c>
    </row>
    <row r="1845" spans="1:9" ht="40.5" x14ac:dyDescent="0.15">
      <c r="A1845" s="6">
        <v>1844</v>
      </c>
      <c r="B1845" s="7" t="s">
        <v>10</v>
      </c>
      <c r="C1845" s="8">
        <v>1888</v>
      </c>
      <c r="D1845" s="9">
        <v>45432</v>
      </c>
      <c r="E1845" s="13" t="str">
        <f>+HYPERLINK("http://trademark.i-assist.jp/data/china/image_1888th/77126705.pdf","77126705")</f>
        <v>77126705</v>
      </c>
      <c r="F1845" s="7" t="s">
        <v>5143</v>
      </c>
      <c r="G1845" s="7" t="s">
        <v>5144</v>
      </c>
      <c r="H1845" s="7" t="s">
        <v>5145</v>
      </c>
      <c r="I1845" s="9">
        <v>45357</v>
      </c>
    </row>
    <row r="1846" spans="1:9" x14ac:dyDescent="0.15">
      <c r="A1846" s="6">
        <v>1845</v>
      </c>
      <c r="B1846" s="7" t="s">
        <v>10</v>
      </c>
      <c r="C1846" s="8">
        <v>1888</v>
      </c>
      <c r="D1846" s="9">
        <v>45432</v>
      </c>
      <c r="E1846" s="13" t="str">
        <f>+HYPERLINK("http://trademark.i-assist.jp/data/china/image_1888th/77126912.pdf","77126912")</f>
        <v>77126912</v>
      </c>
      <c r="F1846" s="7" t="s">
        <v>5146</v>
      </c>
      <c r="G1846" s="7" t="s">
        <v>5147</v>
      </c>
      <c r="H1846" s="7" t="s">
        <v>5148</v>
      </c>
      <c r="I1846" s="9">
        <v>45357</v>
      </c>
    </row>
    <row r="1847" spans="1:9" x14ac:dyDescent="0.15">
      <c r="A1847" s="6">
        <v>1846</v>
      </c>
      <c r="B1847" s="7" t="s">
        <v>10</v>
      </c>
      <c r="C1847" s="8">
        <v>1888</v>
      </c>
      <c r="D1847" s="9">
        <v>45432</v>
      </c>
      <c r="E1847" s="13" t="str">
        <f>+HYPERLINK("http://trademark.i-assist.jp/data/china/image_1888th/77126987.pdf","77126987")</f>
        <v>77126987</v>
      </c>
      <c r="F1847" s="7" t="s">
        <v>5149</v>
      </c>
      <c r="G1847" s="7" t="s">
        <v>5150</v>
      </c>
      <c r="H1847" s="7" t="s">
        <v>5151</v>
      </c>
      <c r="I1847" s="9">
        <v>45357</v>
      </c>
    </row>
    <row r="1848" spans="1:9" x14ac:dyDescent="0.15">
      <c r="A1848" s="6">
        <v>1847</v>
      </c>
      <c r="B1848" s="7" t="s">
        <v>10</v>
      </c>
      <c r="C1848" s="8">
        <v>1888</v>
      </c>
      <c r="D1848" s="9">
        <v>45432</v>
      </c>
      <c r="E1848" s="13" t="str">
        <f>+HYPERLINK("http://trademark.i-assist.jp/data/china/image_1888th/77126997.pdf","77126997")</f>
        <v>77126997</v>
      </c>
      <c r="F1848" s="7" t="s">
        <v>5152</v>
      </c>
      <c r="G1848" s="7" t="s">
        <v>5153</v>
      </c>
      <c r="H1848" s="7" t="s">
        <v>5154</v>
      </c>
      <c r="I1848" s="9">
        <v>45357</v>
      </c>
    </row>
    <row r="1849" spans="1:9" x14ac:dyDescent="0.15">
      <c r="A1849" s="6">
        <v>1848</v>
      </c>
      <c r="B1849" s="7" t="s">
        <v>10</v>
      </c>
      <c r="C1849" s="8">
        <v>1888</v>
      </c>
      <c r="D1849" s="9">
        <v>45432</v>
      </c>
      <c r="E1849" s="13" t="str">
        <f>+HYPERLINK("http://trademark.i-assist.jp/data/china/image_1888th/77127100.pdf","77127100")</f>
        <v>77127100</v>
      </c>
      <c r="F1849" s="7" t="s">
        <v>5155</v>
      </c>
      <c r="G1849" s="7" t="s">
        <v>5156</v>
      </c>
      <c r="H1849" s="7" t="s">
        <v>5157</v>
      </c>
      <c r="I1849" s="9">
        <v>45357</v>
      </c>
    </row>
    <row r="1850" spans="1:9" x14ac:dyDescent="0.15">
      <c r="A1850" s="6">
        <v>1849</v>
      </c>
      <c r="B1850" s="7" t="s">
        <v>10</v>
      </c>
      <c r="C1850" s="8">
        <v>1888</v>
      </c>
      <c r="D1850" s="9">
        <v>45432</v>
      </c>
      <c r="E1850" s="13" t="str">
        <f>+HYPERLINK("http://trademark.i-assist.jp/data/china/image_1888th/77127159.pdf","77127159")</f>
        <v>77127159</v>
      </c>
      <c r="F1850" s="7" t="s">
        <v>5158</v>
      </c>
      <c r="G1850" s="7" t="s">
        <v>5159</v>
      </c>
      <c r="H1850" s="7" t="s">
        <v>5160</v>
      </c>
      <c r="I1850" s="9">
        <v>45357</v>
      </c>
    </row>
    <row r="1851" spans="1:9" x14ac:dyDescent="0.15">
      <c r="A1851" s="6">
        <v>1850</v>
      </c>
      <c r="B1851" s="7" t="s">
        <v>10</v>
      </c>
      <c r="C1851" s="8">
        <v>1888</v>
      </c>
      <c r="D1851" s="9">
        <v>45432</v>
      </c>
      <c r="E1851" s="13" t="str">
        <f>+HYPERLINK("http://trademark.i-assist.jp/data/china/image_1888th/77127214.pdf","77127214")</f>
        <v>77127214</v>
      </c>
      <c r="F1851" s="7" t="s">
        <v>5161</v>
      </c>
      <c r="G1851" s="7" t="s">
        <v>5162</v>
      </c>
      <c r="H1851" s="7" t="s">
        <v>5163</v>
      </c>
      <c r="I1851" s="9">
        <v>45357</v>
      </c>
    </row>
    <row r="1852" spans="1:9" x14ac:dyDescent="0.15">
      <c r="A1852" s="6">
        <v>1851</v>
      </c>
      <c r="B1852" s="7" t="s">
        <v>10</v>
      </c>
      <c r="C1852" s="8">
        <v>1888</v>
      </c>
      <c r="D1852" s="9">
        <v>45432</v>
      </c>
      <c r="E1852" s="13" t="str">
        <f>+HYPERLINK("http://trademark.i-assist.jp/data/china/image_1888th/77127584.pdf","77127584")</f>
        <v>77127584</v>
      </c>
      <c r="F1852" s="7" t="s">
        <v>5164</v>
      </c>
      <c r="G1852" s="7" t="s">
        <v>5165</v>
      </c>
      <c r="H1852" s="7" t="s">
        <v>5166</v>
      </c>
      <c r="I1852" s="9">
        <v>45357</v>
      </c>
    </row>
    <row r="1853" spans="1:9" x14ac:dyDescent="0.15">
      <c r="A1853" s="6">
        <v>1852</v>
      </c>
      <c r="B1853" s="7" t="s">
        <v>10</v>
      </c>
      <c r="C1853" s="8">
        <v>1888</v>
      </c>
      <c r="D1853" s="9">
        <v>45432</v>
      </c>
      <c r="E1853" s="13" t="str">
        <f>+HYPERLINK("http://trademark.i-assist.jp/data/china/image_1888th/77127687.pdf","77127687")</f>
        <v>77127687</v>
      </c>
      <c r="F1853" s="7" t="s">
        <v>5167</v>
      </c>
      <c r="G1853" s="7" t="s">
        <v>5168</v>
      </c>
      <c r="H1853" s="7" t="s">
        <v>5169</v>
      </c>
      <c r="I1853" s="9">
        <v>45357</v>
      </c>
    </row>
    <row r="1854" spans="1:9" x14ac:dyDescent="0.15">
      <c r="A1854" s="6">
        <v>1853</v>
      </c>
      <c r="B1854" s="7" t="s">
        <v>10</v>
      </c>
      <c r="C1854" s="8">
        <v>1888</v>
      </c>
      <c r="D1854" s="9">
        <v>45432</v>
      </c>
      <c r="E1854" s="13" t="str">
        <f>+HYPERLINK("http://trademark.i-assist.jp/data/china/image_1888th/77127844.pdf","77127844")</f>
        <v>77127844</v>
      </c>
      <c r="F1854" s="7" t="s">
        <v>5170</v>
      </c>
      <c r="G1854" s="7" t="s">
        <v>5171</v>
      </c>
      <c r="H1854" s="7" t="s">
        <v>5172</v>
      </c>
      <c r="I1854" s="9">
        <v>45357</v>
      </c>
    </row>
    <row r="1855" spans="1:9" ht="27" x14ac:dyDescent="0.15">
      <c r="A1855" s="6">
        <v>1854</v>
      </c>
      <c r="B1855" s="7" t="s">
        <v>10</v>
      </c>
      <c r="C1855" s="8">
        <v>1888</v>
      </c>
      <c r="D1855" s="9">
        <v>45432</v>
      </c>
      <c r="E1855" s="13" t="str">
        <f>+HYPERLINK("http://trademark.i-assist.jp/data/china/image_1888th/77128099.pdf","77128099")</f>
        <v>77128099</v>
      </c>
      <c r="F1855" s="7" t="s">
        <v>5173</v>
      </c>
      <c r="G1855" s="7" t="s">
        <v>1465</v>
      </c>
      <c r="H1855" s="7" t="s">
        <v>5174</v>
      </c>
      <c r="I1855" s="9">
        <v>45357</v>
      </c>
    </row>
    <row r="1856" spans="1:9" x14ac:dyDescent="0.15">
      <c r="A1856" s="6">
        <v>1855</v>
      </c>
      <c r="B1856" s="7" t="s">
        <v>10</v>
      </c>
      <c r="C1856" s="8">
        <v>1888</v>
      </c>
      <c r="D1856" s="9">
        <v>45432</v>
      </c>
      <c r="E1856" s="13" t="str">
        <f>+HYPERLINK("http://trademark.i-assist.jp/data/china/image_1888th/77128305.pdf","77128305")</f>
        <v>77128305</v>
      </c>
      <c r="F1856" s="7" t="s">
        <v>5175</v>
      </c>
      <c r="G1856" s="7" t="s">
        <v>5176</v>
      </c>
      <c r="H1856" s="7" t="s">
        <v>5177</v>
      </c>
      <c r="I1856" s="9">
        <v>45357</v>
      </c>
    </row>
    <row r="1857" spans="1:9" x14ac:dyDescent="0.15">
      <c r="A1857" s="6">
        <v>1856</v>
      </c>
      <c r="B1857" s="7" t="s">
        <v>10</v>
      </c>
      <c r="C1857" s="8">
        <v>1888</v>
      </c>
      <c r="D1857" s="9">
        <v>45432</v>
      </c>
      <c r="E1857" s="13" t="str">
        <f>+HYPERLINK("http://trademark.i-assist.jp/data/china/image_1888th/77128417.pdf","77128417")</f>
        <v>77128417</v>
      </c>
      <c r="F1857" s="7" t="s">
        <v>5178</v>
      </c>
      <c r="G1857" s="7" t="s">
        <v>5179</v>
      </c>
      <c r="H1857" s="7" t="s">
        <v>5180</v>
      </c>
      <c r="I1857" s="9">
        <v>45357</v>
      </c>
    </row>
    <row r="1858" spans="1:9" ht="27" x14ac:dyDescent="0.15">
      <c r="A1858" s="6">
        <v>1857</v>
      </c>
      <c r="B1858" s="7" t="s">
        <v>10</v>
      </c>
      <c r="C1858" s="8">
        <v>1888</v>
      </c>
      <c r="D1858" s="9">
        <v>45432</v>
      </c>
      <c r="E1858" s="13" t="str">
        <f>+HYPERLINK("http://trademark.i-assist.jp/data/china/image_1888th/77128763.pdf","77128763")</f>
        <v>77128763</v>
      </c>
      <c r="F1858" s="7" t="s">
        <v>5181</v>
      </c>
      <c r="G1858" s="7" t="s">
        <v>5112</v>
      </c>
      <c r="H1858" s="7" t="s">
        <v>5182</v>
      </c>
      <c r="I1858" s="9">
        <v>45357</v>
      </c>
    </row>
    <row r="1859" spans="1:9" x14ac:dyDescent="0.15">
      <c r="A1859" s="6">
        <v>1858</v>
      </c>
      <c r="B1859" s="7" t="s">
        <v>10</v>
      </c>
      <c r="C1859" s="8">
        <v>1888</v>
      </c>
      <c r="D1859" s="9">
        <v>45432</v>
      </c>
      <c r="E1859" s="13" t="str">
        <f>+HYPERLINK("http://trademark.i-assist.jp/data/china/image_1888th/77128806.pdf","77128806")</f>
        <v>77128806</v>
      </c>
      <c r="F1859" s="7" t="s">
        <v>5183</v>
      </c>
      <c r="G1859" s="7" t="s">
        <v>5184</v>
      </c>
      <c r="H1859" s="7" t="s">
        <v>5185</v>
      </c>
      <c r="I1859" s="9">
        <v>45357</v>
      </c>
    </row>
    <row r="1860" spans="1:9" x14ac:dyDescent="0.15">
      <c r="A1860" s="6">
        <v>1859</v>
      </c>
      <c r="B1860" s="7" t="s">
        <v>10</v>
      </c>
      <c r="C1860" s="8">
        <v>1888</v>
      </c>
      <c r="D1860" s="9">
        <v>45432</v>
      </c>
      <c r="E1860" s="13" t="str">
        <f>+HYPERLINK("http://trademark.i-assist.jp/data/china/image_1888th/77128838.pdf","77128838")</f>
        <v>77128838</v>
      </c>
      <c r="F1860" s="7" t="s">
        <v>5186</v>
      </c>
      <c r="G1860" s="7" t="s">
        <v>5187</v>
      </c>
      <c r="H1860" s="7" t="s">
        <v>5188</v>
      </c>
      <c r="I1860" s="9">
        <v>45357</v>
      </c>
    </row>
    <row r="1861" spans="1:9" ht="27" x14ac:dyDescent="0.15">
      <c r="A1861" s="6">
        <v>1860</v>
      </c>
      <c r="B1861" s="7" t="s">
        <v>10</v>
      </c>
      <c r="C1861" s="8">
        <v>1888</v>
      </c>
      <c r="D1861" s="9">
        <v>45432</v>
      </c>
      <c r="E1861" s="13" t="str">
        <f>+HYPERLINK("http://trademark.i-assist.jp/data/china/image_1888th/77128853.pdf","77128853")</f>
        <v>77128853</v>
      </c>
      <c r="F1861" s="7" t="s">
        <v>5189</v>
      </c>
      <c r="G1861" s="7" t="s">
        <v>5190</v>
      </c>
      <c r="H1861" s="7" t="s">
        <v>5191</v>
      </c>
      <c r="I1861" s="9">
        <v>45357</v>
      </c>
    </row>
    <row r="1862" spans="1:9" x14ac:dyDescent="0.15">
      <c r="A1862" s="6">
        <v>1861</v>
      </c>
      <c r="B1862" s="7" t="s">
        <v>10</v>
      </c>
      <c r="C1862" s="8">
        <v>1888</v>
      </c>
      <c r="D1862" s="9">
        <v>45432</v>
      </c>
      <c r="E1862" s="13" t="str">
        <f>+HYPERLINK("http://trademark.i-assist.jp/data/china/image_1888th/77128958.pdf","77128958")</f>
        <v>77128958</v>
      </c>
      <c r="F1862" s="7" t="s">
        <v>5192</v>
      </c>
      <c r="G1862" s="7" t="s">
        <v>5193</v>
      </c>
      <c r="H1862" s="7" t="s">
        <v>5194</v>
      </c>
      <c r="I1862" s="9">
        <v>45357</v>
      </c>
    </row>
    <row r="1863" spans="1:9" ht="27" x14ac:dyDescent="0.15">
      <c r="A1863" s="6">
        <v>1862</v>
      </c>
      <c r="B1863" s="7" t="s">
        <v>10</v>
      </c>
      <c r="C1863" s="8">
        <v>1888</v>
      </c>
      <c r="D1863" s="9">
        <v>45432</v>
      </c>
      <c r="E1863" s="13" t="str">
        <f>+HYPERLINK("http://trademark.i-assist.jp/data/china/image_1888th/77128964.pdf","77128964")</f>
        <v>77128964</v>
      </c>
      <c r="F1863" s="7" t="s">
        <v>5195</v>
      </c>
      <c r="G1863" s="7" t="s">
        <v>5196</v>
      </c>
      <c r="H1863" s="7" t="s">
        <v>5197</v>
      </c>
      <c r="I1863" s="9">
        <v>45357</v>
      </c>
    </row>
    <row r="1864" spans="1:9" x14ac:dyDescent="0.15">
      <c r="A1864" s="6">
        <v>1863</v>
      </c>
      <c r="B1864" s="7" t="s">
        <v>10</v>
      </c>
      <c r="C1864" s="8">
        <v>1888</v>
      </c>
      <c r="D1864" s="9">
        <v>45432</v>
      </c>
      <c r="E1864" s="13" t="str">
        <f>+HYPERLINK("http://trademark.i-assist.jp/data/china/image_1888th/77129052.pdf","77129052")</f>
        <v>77129052</v>
      </c>
      <c r="F1864" s="7" t="s">
        <v>5198</v>
      </c>
      <c r="G1864" s="7" t="s">
        <v>5199</v>
      </c>
      <c r="H1864" s="7" t="s">
        <v>5200</v>
      </c>
      <c r="I1864" s="9">
        <v>45357</v>
      </c>
    </row>
    <row r="1865" spans="1:9" ht="27" x14ac:dyDescent="0.15">
      <c r="A1865" s="6">
        <v>1864</v>
      </c>
      <c r="B1865" s="7" t="s">
        <v>10</v>
      </c>
      <c r="C1865" s="8">
        <v>1888</v>
      </c>
      <c r="D1865" s="9">
        <v>45432</v>
      </c>
      <c r="E1865" s="13" t="str">
        <f>+HYPERLINK("http://trademark.i-assist.jp/data/china/image_1888th/77129113.pdf","77129113")</f>
        <v>77129113</v>
      </c>
      <c r="F1865" s="7" t="s">
        <v>5201</v>
      </c>
      <c r="G1865" s="7" t="s">
        <v>5202</v>
      </c>
      <c r="H1865" s="7" t="s">
        <v>5203</v>
      </c>
      <c r="I1865" s="9">
        <v>45357</v>
      </c>
    </row>
    <row r="1866" spans="1:9" x14ac:dyDescent="0.15">
      <c r="A1866" s="6">
        <v>1865</v>
      </c>
      <c r="B1866" s="7" t="s">
        <v>10</v>
      </c>
      <c r="C1866" s="8">
        <v>1888</v>
      </c>
      <c r="D1866" s="9">
        <v>45432</v>
      </c>
      <c r="E1866" s="13" t="str">
        <f>+HYPERLINK("http://trademark.i-assist.jp/data/china/image_1888th/77129120.pdf","77129120")</f>
        <v>77129120</v>
      </c>
      <c r="F1866" s="7" t="s">
        <v>5204</v>
      </c>
      <c r="G1866" s="7" t="s">
        <v>5204</v>
      </c>
      <c r="H1866" s="7" t="s">
        <v>5205</v>
      </c>
      <c r="I1866" s="9">
        <v>45357</v>
      </c>
    </row>
    <row r="1867" spans="1:9" x14ac:dyDescent="0.15">
      <c r="A1867" s="6">
        <v>1866</v>
      </c>
      <c r="B1867" s="7" t="s">
        <v>10</v>
      </c>
      <c r="C1867" s="8">
        <v>1888</v>
      </c>
      <c r="D1867" s="9">
        <v>45432</v>
      </c>
      <c r="E1867" s="13" t="str">
        <f>+HYPERLINK("http://trademark.i-assist.jp/data/china/image_1888th/77129205.pdf","77129205")</f>
        <v>77129205</v>
      </c>
      <c r="F1867" s="7" t="s">
        <v>5206</v>
      </c>
      <c r="G1867" s="7" t="s">
        <v>5207</v>
      </c>
      <c r="H1867" s="7" t="s">
        <v>5208</v>
      </c>
      <c r="I1867" s="9">
        <v>45357</v>
      </c>
    </row>
    <row r="1868" spans="1:9" ht="27" x14ac:dyDescent="0.15">
      <c r="A1868" s="6">
        <v>1867</v>
      </c>
      <c r="B1868" s="7" t="s">
        <v>10</v>
      </c>
      <c r="C1868" s="8">
        <v>1888</v>
      </c>
      <c r="D1868" s="9">
        <v>45432</v>
      </c>
      <c r="E1868" s="13" t="str">
        <f>+HYPERLINK("http://trademark.i-assist.jp/data/china/image_1888th/77129267.pdf","77129267")</f>
        <v>77129267</v>
      </c>
      <c r="F1868" s="7" t="s">
        <v>5209</v>
      </c>
      <c r="G1868" s="7" t="s">
        <v>5210</v>
      </c>
      <c r="H1868" s="7" t="s">
        <v>5211</v>
      </c>
      <c r="I1868" s="9">
        <v>45357</v>
      </c>
    </row>
    <row r="1869" spans="1:9" x14ac:dyDescent="0.15">
      <c r="A1869" s="6">
        <v>1868</v>
      </c>
      <c r="B1869" s="7" t="s">
        <v>10</v>
      </c>
      <c r="C1869" s="8">
        <v>1888</v>
      </c>
      <c r="D1869" s="9">
        <v>45432</v>
      </c>
      <c r="E1869" s="13" t="str">
        <f>+HYPERLINK("http://trademark.i-assist.jp/data/china/image_1888th/77129304.pdf","77129304")</f>
        <v>77129304</v>
      </c>
      <c r="F1869" s="7" t="s">
        <v>5212</v>
      </c>
      <c r="G1869" s="7" t="s">
        <v>5213</v>
      </c>
      <c r="H1869" s="7" t="s">
        <v>5214</v>
      </c>
      <c r="I1869" s="9">
        <v>45357</v>
      </c>
    </row>
    <row r="1870" spans="1:9" x14ac:dyDescent="0.15">
      <c r="A1870" s="6">
        <v>1869</v>
      </c>
      <c r="B1870" s="7" t="s">
        <v>10</v>
      </c>
      <c r="C1870" s="8">
        <v>1888</v>
      </c>
      <c r="D1870" s="9">
        <v>45432</v>
      </c>
      <c r="E1870" s="13" t="str">
        <f>+HYPERLINK("http://trademark.i-assist.jp/data/china/image_1888th/77129428.pdf","77129428")</f>
        <v>77129428</v>
      </c>
      <c r="F1870" s="7" t="s">
        <v>5215</v>
      </c>
      <c r="G1870" s="7" t="s">
        <v>5216</v>
      </c>
      <c r="H1870" s="7" t="s">
        <v>5217</v>
      </c>
      <c r="I1870" s="9">
        <v>45357</v>
      </c>
    </row>
    <row r="1871" spans="1:9" x14ac:dyDescent="0.15">
      <c r="A1871" s="6">
        <v>1870</v>
      </c>
      <c r="B1871" s="7" t="s">
        <v>10</v>
      </c>
      <c r="C1871" s="8">
        <v>1888</v>
      </c>
      <c r="D1871" s="9">
        <v>45432</v>
      </c>
      <c r="E1871" s="13" t="str">
        <f>+HYPERLINK("http://trademark.i-assist.jp/data/china/image_1888th/77129560.pdf","77129560")</f>
        <v>77129560</v>
      </c>
      <c r="F1871" s="7" t="s">
        <v>76</v>
      </c>
      <c r="G1871" s="7" t="s">
        <v>5218</v>
      </c>
      <c r="H1871" s="7" t="s">
        <v>5219</v>
      </c>
      <c r="I1871" s="9">
        <v>45357</v>
      </c>
    </row>
    <row r="1872" spans="1:9" x14ac:dyDescent="0.15">
      <c r="A1872" s="6">
        <v>1871</v>
      </c>
      <c r="B1872" s="7" t="s">
        <v>10</v>
      </c>
      <c r="C1872" s="8">
        <v>1888</v>
      </c>
      <c r="D1872" s="9">
        <v>45432</v>
      </c>
      <c r="E1872" s="13" t="str">
        <f>+HYPERLINK("http://trademark.i-assist.jp/data/china/image_1888th/77129580.pdf","77129580")</f>
        <v>77129580</v>
      </c>
      <c r="F1872" s="7" t="s">
        <v>5220</v>
      </c>
      <c r="G1872" s="7" t="s">
        <v>5221</v>
      </c>
      <c r="H1872" s="7" t="s">
        <v>5222</v>
      </c>
      <c r="I1872" s="9">
        <v>45357</v>
      </c>
    </row>
    <row r="1873" spans="1:9" x14ac:dyDescent="0.15">
      <c r="A1873" s="6">
        <v>1872</v>
      </c>
      <c r="B1873" s="7" t="s">
        <v>10</v>
      </c>
      <c r="C1873" s="8">
        <v>1888</v>
      </c>
      <c r="D1873" s="9">
        <v>45432</v>
      </c>
      <c r="E1873" s="13" t="str">
        <f>+HYPERLINK("http://trademark.i-assist.jp/data/china/image_1888th/77129747.pdf","77129747")</f>
        <v>77129747</v>
      </c>
      <c r="F1873" s="7" t="s">
        <v>5223</v>
      </c>
      <c r="G1873" s="7" t="s">
        <v>5224</v>
      </c>
      <c r="H1873" s="7" t="s">
        <v>5225</v>
      </c>
      <c r="I1873" s="9">
        <v>45357</v>
      </c>
    </row>
    <row r="1874" spans="1:9" x14ac:dyDescent="0.15">
      <c r="A1874" s="6">
        <v>1873</v>
      </c>
      <c r="B1874" s="7" t="s">
        <v>10</v>
      </c>
      <c r="C1874" s="8">
        <v>1888</v>
      </c>
      <c r="D1874" s="9">
        <v>45432</v>
      </c>
      <c r="E1874" s="13" t="str">
        <f>+HYPERLINK("http://trademark.i-assist.jp/data/china/image_1888th/77129756.pdf","77129756")</f>
        <v>77129756</v>
      </c>
      <c r="F1874" s="7" t="s">
        <v>5226</v>
      </c>
      <c r="G1874" s="7" t="s">
        <v>5227</v>
      </c>
      <c r="H1874" s="7" t="s">
        <v>5228</v>
      </c>
      <c r="I1874" s="9">
        <v>45357</v>
      </c>
    </row>
    <row r="1875" spans="1:9" x14ac:dyDescent="0.15">
      <c r="A1875" s="6">
        <v>1874</v>
      </c>
      <c r="B1875" s="7" t="s">
        <v>10</v>
      </c>
      <c r="C1875" s="8">
        <v>1888</v>
      </c>
      <c r="D1875" s="9">
        <v>45432</v>
      </c>
      <c r="E1875" s="13" t="str">
        <f>+HYPERLINK("http://trademark.i-assist.jp/data/china/image_1888th/77129836.pdf","77129836")</f>
        <v>77129836</v>
      </c>
      <c r="F1875" s="7" t="s">
        <v>5229</v>
      </c>
      <c r="G1875" s="7" t="s">
        <v>5230</v>
      </c>
      <c r="H1875" s="7" t="s">
        <v>5231</v>
      </c>
      <c r="I1875" s="9">
        <v>45357</v>
      </c>
    </row>
    <row r="1876" spans="1:9" x14ac:dyDescent="0.15">
      <c r="A1876" s="6">
        <v>1875</v>
      </c>
      <c r="B1876" s="7" t="s">
        <v>10</v>
      </c>
      <c r="C1876" s="8">
        <v>1888</v>
      </c>
      <c r="D1876" s="9">
        <v>45432</v>
      </c>
      <c r="E1876" s="13" t="str">
        <f>+HYPERLINK("http://trademark.i-assist.jp/data/china/image_1888th/77129941.pdf","77129941")</f>
        <v>77129941</v>
      </c>
      <c r="F1876" s="7" t="s">
        <v>5232</v>
      </c>
      <c r="G1876" s="7" t="s">
        <v>5233</v>
      </c>
      <c r="H1876" s="7" t="s">
        <v>5234</v>
      </c>
      <c r="I1876" s="9">
        <v>45357</v>
      </c>
    </row>
    <row r="1877" spans="1:9" x14ac:dyDescent="0.15">
      <c r="A1877" s="6">
        <v>1876</v>
      </c>
      <c r="B1877" s="7" t="s">
        <v>10</v>
      </c>
      <c r="C1877" s="8">
        <v>1888</v>
      </c>
      <c r="D1877" s="9">
        <v>45432</v>
      </c>
      <c r="E1877" s="13" t="str">
        <f>+HYPERLINK("http://trademark.i-assist.jp/data/china/image_1888th/77130234.pdf","77130234")</f>
        <v>77130234</v>
      </c>
      <c r="F1877" s="7" t="s">
        <v>5235</v>
      </c>
      <c r="G1877" s="7" t="s">
        <v>5236</v>
      </c>
      <c r="H1877" s="7" t="s">
        <v>5237</v>
      </c>
      <c r="I1877" s="9">
        <v>45357</v>
      </c>
    </row>
    <row r="1878" spans="1:9" x14ac:dyDescent="0.15">
      <c r="A1878" s="6">
        <v>1877</v>
      </c>
      <c r="B1878" s="7" t="s">
        <v>10</v>
      </c>
      <c r="C1878" s="8">
        <v>1888</v>
      </c>
      <c r="D1878" s="9">
        <v>45432</v>
      </c>
      <c r="E1878" s="13" t="str">
        <f>+HYPERLINK("http://trademark.i-assist.jp/data/china/image_1888th/77130313.pdf","77130313")</f>
        <v>77130313</v>
      </c>
      <c r="F1878" s="7" t="s">
        <v>5238</v>
      </c>
      <c r="G1878" s="7" t="s">
        <v>5239</v>
      </c>
      <c r="H1878" s="7" t="s">
        <v>5240</v>
      </c>
      <c r="I1878" s="9">
        <v>45357</v>
      </c>
    </row>
    <row r="1879" spans="1:9" x14ac:dyDescent="0.15">
      <c r="A1879" s="6">
        <v>1878</v>
      </c>
      <c r="B1879" s="7" t="s">
        <v>10</v>
      </c>
      <c r="C1879" s="8">
        <v>1888</v>
      </c>
      <c r="D1879" s="9">
        <v>45432</v>
      </c>
      <c r="E1879" s="13" t="str">
        <f>+HYPERLINK("http://trademark.i-assist.jp/data/china/image_1888th/77130379.pdf","77130379")</f>
        <v>77130379</v>
      </c>
      <c r="F1879" s="7" t="s">
        <v>5241</v>
      </c>
      <c r="G1879" s="7" t="s">
        <v>5242</v>
      </c>
      <c r="H1879" s="7" t="s">
        <v>5243</v>
      </c>
      <c r="I1879" s="9">
        <v>45357</v>
      </c>
    </row>
    <row r="1880" spans="1:9" x14ac:dyDescent="0.15">
      <c r="A1880" s="6">
        <v>1879</v>
      </c>
      <c r="B1880" s="7" t="s">
        <v>10</v>
      </c>
      <c r="C1880" s="8">
        <v>1888</v>
      </c>
      <c r="D1880" s="9">
        <v>45432</v>
      </c>
      <c r="E1880" s="13" t="str">
        <f>+HYPERLINK("http://trademark.i-assist.jp/data/china/image_1888th/77130417.pdf","77130417")</f>
        <v>77130417</v>
      </c>
      <c r="F1880" s="7" t="s">
        <v>5244</v>
      </c>
      <c r="G1880" s="7" t="s">
        <v>5245</v>
      </c>
      <c r="H1880" s="7" t="s">
        <v>5246</v>
      </c>
      <c r="I1880" s="9">
        <v>45357</v>
      </c>
    </row>
    <row r="1881" spans="1:9" ht="27" x14ac:dyDescent="0.15">
      <c r="A1881" s="6">
        <v>1880</v>
      </c>
      <c r="B1881" s="7" t="s">
        <v>10</v>
      </c>
      <c r="C1881" s="8">
        <v>1888</v>
      </c>
      <c r="D1881" s="9">
        <v>45432</v>
      </c>
      <c r="E1881" s="13" t="str">
        <f>+HYPERLINK("http://trademark.i-assist.jp/data/china/image_1888th/77130463.pdf","77130463")</f>
        <v>77130463</v>
      </c>
      <c r="F1881" s="7" t="s">
        <v>5247</v>
      </c>
      <c r="G1881" s="7" t="s">
        <v>5248</v>
      </c>
      <c r="H1881" s="7" t="s">
        <v>5249</v>
      </c>
      <c r="I1881" s="9">
        <v>45357</v>
      </c>
    </row>
    <row r="1882" spans="1:9" x14ac:dyDescent="0.15">
      <c r="A1882" s="6">
        <v>1881</v>
      </c>
      <c r="B1882" s="7" t="s">
        <v>10</v>
      </c>
      <c r="C1882" s="8">
        <v>1888</v>
      </c>
      <c r="D1882" s="9">
        <v>45432</v>
      </c>
      <c r="E1882" s="13" t="str">
        <f>+HYPERLINK("http://trademark.i-assist.jp/data/china/image_1888th/77130560.pdf","77130560")</f>
        <v>77130560</v>
      </c>
      <c r="F1882" s="7" t="s">
        <v>5250</v>
      </c>
      <c r="G1882" s="7" t="s">
        <v>5251</v>
      </c>
      <c r="H1882" s="7" t="s">
        <v>5252</v>
      </c>
      <c r="I1882" s="9">
        <v>45357</v>
      </c>
    </row>
    <row r="1883" spans="1:9" x14ac:dyDescent="0.15">
      <c r="A1883" s="6">
        <v>1882</v>
      </c>
      <c r="B1883" s="7" t="s">
        <v>10</v>
      </c>
      <c r="C1883" s="8">
        <v>1888</v>
      </c>
      <c r="D1883" s="9">
        <v>45432</v>
      </c>
      <c r="E1883" s="13" t="str">
        <f>+HYPERLINK("http://trademark.i-assist.jp/data/china/image_1888th/77130880.pdf","77130880")</f>
        <v>77130880</v>
      </c>
      <c r="F1883" s="7" t="s">
        <v>5253</v>
      </c>
      <c r="G1883" s="7" t="s">
        <v>5254</v>
      </c>
      <c r="H1883" s="7" t="s">
        <v>5255</v>
      </c>
      <c r="I1883" s="9">
        <v>45357</v>
      </c>
    </row>
    <row r="1884" spans="1:9" x14ac:dyDescent="0.15">
      <c r="A1884" s="6">
        <v>1883</v>
      </c>
      <c r="B1884" s="7" t="s">
        <v>10</v>
      </c>
      <c r="C1884" s="8">
        <v>1888</v>
      </c>
      <c r="D1884" s="9">
        <v>45432</v>
      </c>
      <c r="E1884" s="13" t="str">
        <f>+HYPERLINK("http://trademark.i-assist.jp/data/china/image_1888th/77131052.pdf","77131052")</f>
        <v>77131052</v>
      </c>
      <c r="F1884" s="7" t="s">
        <v>5256</v>
      </c>
      <c r="G1884" s="7" t="s">
        <v>5257</v>
      </c>
      <c r="H1884" s="7" t="s">
        <v>5258</v>
      </c>
      <c r="I1884" s="9">
        <v>45357</v>
      </c>
    </row>
    <row r="1885" spans="1:9" x14ac:dyDescent="0.15">
      <c r="A1885" s="6">
        <v>1884</v>
      </c>
      <c r="B1885" s="7" t="s">
        <v>10</v>
      </c>
      <c r="C1885" s="8">
        <v>1888</v>
      </c>
      <c r="D1885" s="9">
        <v>45432</v>
      </c>
      <c r="E1885" s="13" t="str">
        <f>+HYPERLINK("http://trademark.i-assist.jp/data/china/image_1888th/77131182.pdf","77131182")</f>
        <v>77131182</v>
      </c>
      <c r="F1885" s="7" t="s">
        <v>5259</v>
      </c>
      <c r="G1885" s="7" t="s">
        <v>5260</v>
      </c>
      <c r="H1885" s="7" t="s">
        <v>5261</v>
      </c>
      <c r="I1885" s="9">
        <v>45357</v>
      </c>
    </row>
    <row r="1886" spans="1:9" x14ac:dyDescent="0.15">
      <c r="A1886" s="6">
        <v>1885</v>
      </c>
      <c r="B1886" s="7" t="s">
        <v>10</v>
      </c>
      <c r="C1886" s="8">
        <v>1888</v>
      </c>
      <c r="D1886" s="9">
        <v>45432</v>
      </c>
      <c r="E1886" s="13" t="str">
        <f>+HYPERLINK("http://trademark.i-assist.jp/data/china/image_1888th/77131248.pdf","77131248")</f>
        <v>77131248</v>
      </c>
      <c r="F1886" s="7" t="s">
        <v>5262</v>
      </c>
      <c r="G1886" s="7" t="s">
        <v>5263</v>
      </c>
      <c r="H1886" s="7" t="s">
        <v>5264</v>
      </c>
      <c r="I1886" s="9">
        <v>45357</v>
      </c>
    </row>
    <row r="1887" spans="1:9" x14ac:dyDescent="0.15">
      <c r="A1887" s="6">
        <v>1886</v>
      </c>
      <c r="B1887" s="7" t="s">
        <v>10</v>
      </c>
      <c r="C1887" s="8">
        <v>1888</v>
      </c>
      <c r="D1887" s="9">
        <v>45432</v>
      </c>
      <c r="E1887" s="13" t="str">
        <f>+HYPERLINK("http://trademark.i-assist.jp/data/china/image_1888th/77131277.pdf","77131277")</f>
        <v>77131277</v>
      </c>
      <c r="F1887" s="7" t="s">
        <v>5265</v>
      </c>
      <c r="G1887" s="7" t="s">
        <v>5118</v>
      </c>
      <c r="H1887" s="7" t="s">
        <v>5266</v>
      </c>
      <c r="I1887" s="9">
        <v>45357</v>
      </c>
    </row>
    <row r="1888" spans="1:9" x14ac:dyDescent="0.15">
      <c r="A1888" s="6">
        <v>1887</v>
      </c>
      <c r="B1888" s="7" t="s">
        <v>10</v>
      </c>
      <c r="C1888" s="8">
        <v>1888</v>
      </c>
      <c r="D1888" s="9">
        <v>45432</v>
      </c>
      <c r="E1888" s="13" t="str">
        <f>+HYPERLINK("http://trademark.i-assist.jp/data/china/image_1888th/77131447.pdf","77131447")</f>
        <v>77131447</v>
      </c>
      <c r="F1888" s="7" t="s">
        <v>5267</v>
      </c>
      <c r="G1888" s="7" t="s">
        <v>5268</v>
      </c>
      <c r="H1888" s="7" t="s">
        <v>5269</v>
      </c>
      <c r="I1888" s="9">
        <v>45357</v>
      </c>
    </row>
    <row r="1889" spans="1:9" x14ac:dyDescent="0.15">
      <c r="A1889" s="6">
        <v>1888</v>
      </c>
      <c r="B1889" s="7" t="s">
        <v>10</v>
      </c>
      <c r="C1889" s="8">
        <v>1888</v>
      </c>
      <c r="D1889" s="9">
        <v>45432</v>
      </c>
      <c r="E1889" s="13" t="str">
        <f>+HYPERLINK("http://trademark.i-assist.jp/data/china/image_1888th/77131509.pdf","77131509")</f>
        <v>77131509</v>
      </c>
      <c r="F1889" s="7" t="s">
        <v>5270</v>
      </c>
      <c r="G1889" s="7" t="s">
        <v>5271</v>
      </c>
      <c r="H1889" s="7" t="s">
        <v>5272</v>
      </c>
      <c r="I1889" s="9">
        <v>45357</v>
      </c>
    </row>
    <row r="1890" spans="1:9" x14ac:dyDescent="0.15">
      <c r="A1890" s="6">
        <v>1889</v>
      </c>
      <c r="B1890" s="7" t="s">
        <v>10</v>
      </c>
      <c r="C1890" s="8">
        <v>1888</v>
      </c>
      <c r="D1890" s="9">
        <v>45432</v>
      </c>
      <c r="E1890" s="13" t="str">
        <f>+HYPERLINK("http://trademark.i-assist.jp/data/china/image_1888th/77131721.pdf","77131721")</f>
        <v>77131721</v>
      </c>
      <c r="F1890" s="7" t="s">
        <v>5273</v>
      </c>
      <c r="G1890" s="7" t="s">
        <v>5274</v>
      </c>
      <c r="H1890" s="7" t="s">
        <v>5275</v>
      </c>
      <c r="I1890" s="9">
        <v>45357</v>
      </c>
    </row>
    <row r="1891" spans="1:9" x14ac:dyDescent="0.15">
      <c r="A1891" s="6">
        <v>1890</v>
      </c>
      <c r="B1891" s="7" t="s">
        <v>10</v>
      </c>
      <c r="C1891" s="8">
        <v>1888</v>
      </c>
      <c r="D1891" s="9">
        <v>45432</v>
      </c>
      <c r="E1891" s="13" t="str">
        <f>+HYPERLINK("http://trademark.i-assist.jp/data/china/image_1888th/77131751.pdf","77131751")</f>
        <v>77131751</v>
      </c>
      <c r="F1891" s="7" t="s">
        <v>76</v>
      </c>
      <c r="G1891" s="7" t="s">
        <v>5276</v>
      </c>
      <c r="H1891" s="7" t="s">
        <v>5277</v>
      </c>
      <c r="I1891" s="9">
        <v>45357</v>
      </c>
    </row>
    <row r="1892" spans="1:9" x14ac:dyDescent="0.15">
      <c r="A1892" s="6">
        <v>1891</v>
      </c>
      <c r="B1892" s="7" t="s">
        <v>10</v>
      </c>
      <c r="C1892" s="8">
        <v>1888</v>
      </c>
      <c r="D1892" s="9">
        <v>45432</v>
      </c>
      <c r="E1892" s="13" t="str">
        <f>+HYPERLINK("http://trademark.i-assist.jp/data/china/image_1888th/77131807.pdf","77131807")</f>
        <v>77131807</v>
      </c>
      <c r="F1892" s="7" t="s">
        <v>5278</v>
      </c>
      <c r="G1892" s="7" t="s">
        <v>5109</v>
      </c>
      <c r="H1892" s="7" t="s">
        <v>5279</v>
      </c>
      <c r="I1892" s="9">
        <v>45357</v>
      </c>
    </row>
    <row r="1893" spans="1:9" x14ac:dyDescent="0.15">
      <c r="A1893" s="6">
        <v>1892</v>
      </c>
      <c r="B1893" s="7" t="s">
        <v>10</v>
      </c>
      <c r="C1893" s="8">
        <v>1888</v>
      </c>
      <c r="D1893" s="9">
        <v>45432</v>
      </c>
      <c r="E1893" s="13" t="str">
        <f>+HYPERLINK("http://trademark.i-assist.jp/data/china/image_1888th/77131808.pdf","77131808")</f>
        <v>77131808</v>
      </c>
      <c r="F1893" s="7" t="s">
        <v>5280</v>
      </c>
      <c r="G1893" s="7" t="s">
        <v>5281</v>
      </c>
      <c r="H1893" s="7" t="s">
        <v>5282</v>
      </c>
      <c r="I1893" s="9">
        <v>45357</v>
      </c>
    </row>
    <row r="1894" spans="1:9" x14ac:dyDescent="0.15">
      <c r="A1894" s="6">
        <v>1893</v>
      </c>
      <c r="B1894" s="7" t="s">
        <v>10</v>
      </c>
      <c r="C1894" s="8">
        <v>1888</v>
      </c>
      <c r="D1894" s="9">
        <v>45432</v>
      </c>
      <c r="E1894" s="13" t="str">
        <f>+HYPERLINK("http://trademark.i-assist.jp/data/china/image_1888th/77131890.pdf","77131890")</f>
        <v>77131890</v>
      </c>
      <c r="F1894" s="7" t="s">
        <v>5283</v>
      </c>
      <c r="G1894" s="7" t="s">
        <v>5284</v>
      </c>
      <c r="H1894" s="7" t="s">
        <v>5285</v>
      </c>
      <c r="I1894" s="9">
        <v>45357</v>
      </c>
    </row>
    <row r="1895" spans="1:9" x14ac:dyDescent="0.15">
      <c r="A1895" s="6">
        <v>1894</v>
      </c>
      <c r="B1895" s="7" t="s">
        <v>10</v>
      </c>
      <c r="C1895" s="8">
        <v>1888</v>
      </c>
      <c r="D1895" s="9">
        <v>45432</v>
      </c>
      <c r="E1895" s="13" t="str">
        <f>+HYPERLINK("http://trademark.i-assist.jp/data/china/image_1888th/77131949.pdf","77131949")</f>
        <v>77131949</v>
      </c>
      <c r="F1895" s="7" t="s">
        <v>5286</v>
      </c>
      <c r="G1895" s="7" t="s">
        <v>5096</v>
      </c>
      <c r="H1895" s="7" t="s">
        <v>5287</v>
      </c>
      <c r="I1895" s="9">
        <v>45357</v>
      </c>
    </row>
    <row r="1896" spans="1:9" x14ac:dyDescent="0.15">
      <c r="A1896" s="6">
        <v>1895</v>
      </c>
      <c r="B1896" s="7" t="s">
        <v>10</v>
      </c>
      <c r="C1896" s="8">
        <v>1888</v>
      </c>
      <c r="D1896" s="9">
        <v>45432</v>
      </c>
      <c r="E1896" s="13" t="str">
        <f>+HYPERLINK("http://trademark.i-assist.jp/data/china/image_1888th/77132183.pdf","77132183")</f>
        <v>77132183</v>
      </c>
      <c r="F1896" s="7" t="s">
        <v>5288</v>
      </c>
      <c r="G1896" s="7" t="s">
        <v>3720</v>
      </c>
      <c r="H1896" s="7" t="s">
        <v>5289</v>
      </c>
      <c r="I1896" s="9">
        <v>45357</v>
      </c>
    </row>
    <row r="1897" spans="1:9" x14ac:dyDescent="0.15">
      <c r="A1897" s="6">
        <v>1896</v>
      </c>
      <c r="B1897" s="7" t="s">
        <v>10</v>
      </c>
      <c r="C1897" s="8">
        <v>1888</v>
      </c>
      <c r="D1897" s="9">
        <v>45432</v>
      </c>
      <c r="E1897" s="13" t="str">
        <f>+HYPERLINK("http://trademark.i-assist.jp/data/china/image_1888th/77132375.pdf","77132375")</f>
        <v>77132375</v>
      </c>
      <c r="F1897" s="7" t="s">
        <v>5290</v>
      </c>
      <c r="G1897" s="7" t="s">
        <v>5291</v>
      </c>
      <c r="H1897" s="7" t="s">
        <v>5292</v>
      </c>
      <c r="I1897" s="9">
        <v>45357</v>
      </c>
    </row>
    <row r="1898" spans="1:9" x14ac:dyDescent="0.15">
      <c r="A1898" s="6">
        <v>1897</v>
      </c>
      <c r="B1898" s="7" t="s">
        <v>10</v>
      </c>
      <c r="C1898" s="8">
        <v>1888</v>
      </c>
      <c r="D1898" s="9">
        <v>45432</v>
      </c>
      <c r="E1898" s="13" t="str">
        <f>+HYPERLINK("http://trademark.i-assist.jp/data/china/image_1888th/77132388.pdf","77132388")</f>
        <v>77132388</v>
      </c>
      <c r="F1898" s="7" t="s">
        <v>5293</v>
      </c>
      <c r="G1898" s="7" t="s">
        <v>5294</v>
      </c>
      <c r="H1898" s="7" t="s">
        <v>5295</v>
      </c>
      <c r="I1898" s="9">
        <v>45357</v>
      </c>
    </row>
    <row r="1899" spans="1:9" x14ac:dyDescent="0.15">
      <c r="A1899" s="6">
        <v>1898</v>
      </c>
      <c r="B1899" s="7" t="s">
        <v>10</v>
      </c>
      <c r="C1899" s="8">
        <v>1888</v>
      </c>
      <c r="D1899" s="9">
        <v>45432</v>
      </c>
      <c r="E1899" s="13" t="str">
        <f>+HYPERLINK("http://trademark.i-assist.jp/data/china/image_1888th/77132474.pdf","77132474")</f>
        <v>77132474</v>
      </c>
      <c r="F1899" s="7" t="s">
        <v>5296</v>
      </c>
      <c r="G1899" s="7" t="s">
        <v>5297</v>
      </c>
      <c r="H1899" s="7" t="s">
        <v>5298</v>
      </c>
      <c r="I1899" s="9">
        <v>45357</v>
      </c>
    </row>
    <row r="1900" spans="1:9" x14ac:dyDescent="0.15">
      <c r="A1900" s="6">
        <v>1899</v>
      </c>
      <c r="B1900" s="7" t="s">
        <v>10</v>
      </c>
      <c r="C1900" s="8">
        <v>1888</v>
      </c>
      <c r="D1900" s="9">
        <v>45432</v>
      </c>
      <c r="E1900" s="13" t="str">
        <f>+HYPERLINK("http://trademark.i-assist.jp/data/china/image_1888th/77132597.pdf","77132597")</f>
        <v>77132597</v>
      </c>
      <c r="F1900" s="7" t="s">
        <v>76</v>
      </c>
      <c r="G1900" s="7" t="s">
        <v>5299</v>
      </c>
      <c r="H1900" s="7" t="s">
        <v>5300</v>
      </c>
      <c r="I1900" s="9">
        <v>45357</v>
      </c>
    </row>
    <row r="1901" spans="1:9" ht="27" x14ac:dyDescent="0.15">
      <c r="A1901" s="6">
        <v>1900</v>
      </c>
      <c r="B1901" s="7" t="s">
        <v>10</v>
      </c>
      <c r="C1901" s="8">
        <v>1888</v>
      </c>
      <c r="D1901" s="9">
        <v>45432</v>
      </c>
      <c r="E1901" s="13" t="str">
        <f>+HYPERLINK("http://trademark.i-assist.jp/data/china/image_1888th/77132791.pdf","77132791")</f>
        <v>77132791</v>
      </c>
      <c r="F1901" s="7" t="s">
        <v>5301</v>
      </c>
      <c r="G1901" s="7" t="s">
        <v>5112</v>
      </c>
      <c r="H1901" s="7" t="s">
        <v>5302</v>
      </c>
      <c r="I1901" s="9">
        <v>45357</v>
      </c>
    </row>
    <row r="1902" spans="1:9" x14ac:dyDescent="0.15">
      <c r="A1902" s="6">
        <v>1901</v>
      </c>
      <c r="B1902" s="7" t="s">
        <v>10</v>
      </c>
      <c r="C1902" s="8">
        <v>1888</v>
      </c>
      <c r="D1902" s="9">
        <v>45432</v>
      </c>
      <c r="E1902" s="13" t="str">
        <f>+HYPERLINK("http://trademark.i-assist.jp/data/china/image_1888th/77133098.pdf","77133098")</f>
        <v>77133098</v>
      </c>
      <c r="F1902" s="7" t="s">
        <v>5303</v>
      </c>
      <c r="G1902" s="7" t="s">
        <v>5304</v>
      </c>
      <c r="H1902" s="7" t="s">
        <v>5305</v>
      </c>
      <c r="I1902" s="9">
        <v>45357</v>
      </c>
    </row>
    <row r="1903" spans="1:9" ht="27" x14ac:dyDescent="0.15">
      <c r="A1903" s="6">
        <v>1902</v>
      </c>
      <c r="B1903" s="7" t="s">
        <v>10</v>
      </c>
      <c r="C1903" s="8">
        <v>1888</v>
      </c>
      <c r="D1903" s="9">
        <v>45432</v>
      </c>
      <c r="E1903" s="13" t="str">
        <f>+HYPERLINK("http://trademark.i-assist.jp/data/china/image_1888th/77133131.pdf","77133131")</f>
        <v>77133131</v>
      </c>
      <c r="F1903" s="7" t="s">
        <v>5306</v>
      </c>
      <c r="G1903" s="7" t="s">
        <v>5307</v>
      </c>
      <c r="H1903" s="7" t="s">
        <v>5308</v>
      </c>
      <c r="I1903" s="9">
        <v>45357</v>
      </c>
    </row>
    <row r="1904" spans="1:9" x14ac:dyDescent="0.15">
      <c r="A1904" s="6">
        <v>1903</v>
      </c>
      <c r="B1904" s="7" t="s">
        <v>10</v>
      </c>
      <c r="C1904" s="8">
        <v>1888</v>
      </c>
      <c r="D1904" s="9">
        <v>45432</v>
      </c>
      <c r="E1904" s="13" t="str">
        <f>+HYPERLINK("http://trademark.i-assist.jp/data/china/image_1888th/77133152.pdf","77133152")</f>
        <v>77133152</v>
      </c>
      <c r="F1904" s="7" t="s">
        <v>5309</v>
      </c>
      <c r="G1904" s="7" t="s">
        <v>5310</v>
      </c>
      <c r="H1904" s="7" t="s">
        <v>5311</v>
      </c>
      <c r="I1904" s="9">
        <v>45357</v>
      </c>
    </row>
    <row r="1905" spans="1:9" x14ac:dyDescent="0.15">
      <c r="A1905" s="6">
        <v>1904</v>
      </c>
      <c r="B1905" s="7" t="s">
        <v>10</v>
      </c>
      <c r="C1905" s="8">
        <v>1888</v>
      </c>
      <c r="D1905" s="9">
        <v>45432</v>
      </c>
      <c r="E1905" s="13" t="str">
        <f>+HYPERLINK("http://trademark.i-assist.jp/data/china/image_1888th/77133209.pdf","77133209")</f>
        <v>77133209</v>
      </c>
      <c r="F1905" s="7" t="s">
        <v>5312</v>
      </c>
      <c r="G1905" s="7" t="s">
        <v>5313</v>
      </c>
      <c r="H1905" s="7" t="s">
        <v>5314</v>
      </c>
      <c r="I1905" s="9">
        <v>45357</v>
      </c>
    </row>
    <row r="1906" spans="1:9" x14ac:dyDescent="0.15">
      <c r="A1906" s="6">
        <v>1905</v>
      </c>
      <c r="B1906" s="7" t="s">
        <v>10</v>
      </c>
      <c r="C1906" s="8">
        <v>1888</v>
      </c>
      <c r="D1906" s="9">
        <v>45432</v>
      </c>
      <c r="E1906" s="13" t="str">
        <f>+HYPERLINK("http://trademark.i-assist.jp/data/china/image_1888th/77133239.pdf","77133239")</f>
        <v>77133239</v>
      </c>
      <c r="F1906" s="7" t="s">
        <v>5315</v>
      </c>
      <c r="G1906" s="7" t="s">
        <v>5233</v>
      </c>
      <c r="H1906" s="7" t="s">
        <v>5316</v>
      </c>
      <c r="I1906" s="9">
        <v>45357</v>
      </c>
    </row>
    <row r="1907" spans="1:9" ht="27" x14ac:dyDescent="0.15">
      <c r="A1907" s="6">
        <v>1906</v>
      </c>
      <c r="B1907" s="7" t="s">
        <v>10</v>
      </c>
      <c r="C1907" s="8">
        <v>1888</v>
      </c>
      <c r="D1907" s="9">
        <v>45432</v>
      </c>
      <c r="E1907" s="13" t="str">
        <f>+HYPERLINK("http://trademark.i-assist.jp/data/china/image_1888th/77133271.pdf","77133271")</f>
        <v>77133271</v>
      </c>
      <c r="F1907" s="7" t="s">
        <v>5317</v>
      </c>
      <c r="G1907" s="7" t="s">
        <v>4041</v>
      </c>
      <c r="H1907" s="7" t="s">
        <v>5318</v>
      </c>
      <c r="I1907" s="9">
        <v>45357</v>
      </c>
    </row>
    <row r="1908" spans="1:9" x14ac:dyDescent="0.15">
      <c r="A1908" s="6">
        <v>1907</v>
      </c>
      <c r="B1908" s="7" t="s">
        <v>10</v>
      </c>
      <c r="C1908" s="8">
        <v>1888</v>
      </c>
      <c r="D1908" s="9">
        <v>45432</v>
      </c>
      <c r="E1908" s="13" t="str">
        <f>+HYPERLINK("http://trademark.i-assist.jp/data/china/image_1888th/77133358.pdf","77133358")</f>
        <v>77133358</v>
      </c>
      <c r="F1908" s="7" t="s">
        <v>5319</v>
      </c>
      <c r="G1908" s="7" t="s">
        <v>5320</v>
      </c>
      <c r="H1908" s="7" t="s">
        <v>5321</v>
      </c>
      <c r="I1908" s="9">
        <v>45357</v>
      </c>
    </row>
    <row r="1909" spans="1:9" x14ac:dyDescent="0.15">
      <c r="A1909" s="6">
        <v>1908</v>
      </c>
      <c r="B1909" s="7" t="s">
        <v>10</v>
      </c>
      <c r="C1909" s="8">
        <v>1888</v>
      </c>
      <c r="D1909" s="9">
        <v>45432</v>
      </c>
      <c r="E1909" s="13" t="str">
        <f>+HYPERLINK("http://trademark.i-assist.jp/data/china/image_1888th/77133489.pdf","77133489")</f>
        <v>77133489</v>
      </c>
      <c r="F1909" s="7" t="s">
        <v>5322</v>
      </c>
      <c r="G1909" s="7" t="s">
        <v>5323</v>
      </c>
      <c r="H1909" s="7" t="s">
        <v>5324</v>
      </c>
      <c r="I1909" s="9">
        <v>45357</v>
      </c>
    </row>
    <row r="1910" spans="1:9" x14ac:dyDescent="0.15">
      <c r="A1910" s="6">
        <v>1909</v>
      </c>
      <c r="B1910" s="7" t="s">
        <v>10</v>
      </c>
      <c r="C1910" s="8">
        <v>1888</v>
      </c>
      <c r="D1910" s="9">
        <v>45432</v>
      </c>
      <c r="E1910" s="13" t="str">
        <f>+HYPERLINK("http://trademark.i-assist.jp/data/china/image_1888th/77133502.pdf","77133502")</f>
        <v>77133502</v>
      </c>
      <c r="F1910" s="7" t="s">
        <v>5325</v>
      </c>
      <c r="G1910" s="7" t="s">
        <v>5326</v>
      </c>
      <c r="H1910" s="7" t="s">
        <v>5327</v>
      </c>
      <c r="I1910" s="9">
        <v>45357</v>
      </c>
    </row>
    <row r="1911" spans="1:9" x14ac:dyDescent="0.15">
      <c r="A1911" s="6">
        <v>1910</v>
      </c>
      <c r="B1911" s="7" t="s">
        <v>10</v>
      </c>
      <c r="C1911" s="8">
        <v>1888</v>
      </c>
      <c r="D1911" s="9">
        <v>45432</v>
      </c>
      <c r="E1911" s="13" t="str">
        <f>+HYPERLINK("http://trademark.i-assist.jp/data/china/image_1888th/77133581.pdf","77133581")</f>
        <v>77133581</v>
      </c>
      <c r="F1911" s="7" t="s">
        <v>5328</v>
      </c>
      <c r="G1911" s="7" t="s">
        <v>5141</v>
      </c>
      <c r="H1911" s="7" t="s">
        <v>5329</v>
      </c>
      <c r="I1911" s="9">
        <v>45357</v>
      </c>
    </row>
    <row r="1912" spans="1:9" x14ac:dyDescent="0.15">
      <c r="A1912" s="6">
        <v>1911</v>
      </c>
      <c r="B1912" s="7" t="s">
        <v>10</v>
      </c>
      <c r="C1912" s="8">
        <v>1888</v>
      </c>
      <c r="D1912" s="9">
        <v>45432</v>
      </c>
      <c r="E1912" s="13" t="str">
        <f>+HYPERLINK("http://trademark.i-assist.jp/data/china/image_1888th/77133592.pdf","77133592")</f>
        <v>77133592</v>
      </c>
      <c r="F1912" s="7" t="s">
        <v>5330</v>
      </c>
      <c r="G1912" s="7" t="s">
        <v>5331</v>
      </c>
      <c r="H1912" s="7" t="s">
        <v>5332</v>
      </c>
      <c r="I1912" s="9">
        <v>45357</v>
      </c>
    </row>
    <row r="1913" spans="1:9" x14ac:dyDescent="0.15">
      <c r="A1913" s="6">
        <v>1912</v>
      </c>
      <c r="B1913" s="7" t="s">
        <v>10</v>
      </c>
      <c r="C1913" s="8">
        <v>1888</v>
      </c>
      <c r="D1913" s="9">
        <v>45432</v>
      </c>
      <c r="E1913" s="13" t="str">
        <f>+HYPERLINK("http://trademark.i-assist.jp/data/china/image_1888th/77133645.pdf","77133645")</f>
        <v>77133645</v>
      </c>
      <c r="F1913" s="7" t="s">
        <v>5333</v>
      </c>
      <c r="G1913" s="7" t="s">
        <v>5334</v>
      </c>
      <c r="H1913" s="7" t="s">
        <v>5335</v>
      </c>
      <c r="I1913" s="9">
        <v>45357</v>
      </c>
    </row>
    <row r="1914" spans="1:9" x14ac:dyDescent="0.15">
      <c r="A1914" s="6">
        <v>1913</v>
      </c>
      <c r="B1914" s="7" t="s">
        <v>10</v>
      </c>
      <c r="C1914" s="8">
        <v>1888</v>
      </c>
      <c r="D1914" s="9">
        <v>45432</v>
      </c>
      <c r="E1914" s="13" t="str">
        <f>+HYPERLINK("http://trademark.i-assist.jp/data/china/image_1888th/77133812.pdf","77133812")</f>
        <v>77133812</v>
      </c>
      <c r="F1914" s="7" t="s">
        <v>5336</v>
      </c>
      <c r="G1914" s="7" t="s">
        <v>5337</v>
      </c>
      <c r="H1914" s="7" t="s">
        <v>5338</v>
      </c>
      <c r="I1914" s="9">
        <v>45357</v>
      </c>
    </row>
    <row r="1915" spans="1:9" x14ac:dyDescent="0.15">
      <c r="A1915" s="6">
        <v>1914</v>
      </c>
      <c r="B1915" s="7" t="s">
        <v>10</v>
      </c>
      <c r="C1915" s="8">
        <v>1888</v>
      </c>
      <c r="D1915" s="9">
        <v>45432</v>
      </c>
      <c r="E1915" s="13" t="str">
        <f>+HYPERLINK("http://trademark.i-assist.jp/data/china/image_1888th/77133832.pdf","77133832")</f>
        <v>77133832</v>
      </c>
      <c r="F1915" s="7" t="s">
        <v>5339</v>
      </c>
      <c r="G1915" s="7" t="s">
        <v>5340</v>
      </c>
      <c r="H1915" s="7" t="s">
        <v>5341</v>
      </c>
      <c r="I1915" s="9">
        <v>45357</v>
      </c>
    </row>
    <row r="1916" spans="1:9" x14ac:dyDescent="0.15">
      <c r="A1916" s="6">
        <v>1915</v>
      </c>
      <c r="B1916" s="7" t="s">
        <v>10</v>
      </c>
      <c r="C1916" s="8">
        <v>1888</v>
      </c>
      <c r="D1916" s="9">
        <v>45432</v>
      </c>
      <c r="E1916" s="13" t="str">
        <f>+HYPERLINK("http://trademark.i-assist.jp/data/china/image_1888th/77133864.pdf","77133864")</f>
        <v>77133864</v>
      </c>
      <c r="F1916" s="7" t="s">
        <v>5342</v>
      </c>
      <c r="G1916" s="7" t="s">
        <v>5343</v>
      </c>
      <c r="H1916" s="7" t="s">
        <v>5344</v>
      </c>
      <c r="I1916" s="9">
        <v>45357</v>
      </c>
    </row>
    <row r="1917" spans="1:9" x14ac:dyDescent="0.15">
      <c r="A1917" s="6">
        <v>1916</v>
      </c>
      <c r="B1917" s="7" t="s">
        <v>10</v>
      </c>
      <c r="C1917" s="8">
        <v>1888</v>
      </c>
      <c r="D1917" s="9">
        <v>45432</v>
      </c>
      <c r="E1917" s="13" t="str">
        <f>+HYPERLINK("http://trademark.i-assist.jp/data/china/image_1888th/77133923.pdf","77133923")</f>
        <v>77133923</v>
      </c>
      <c r="F1917" s="7" t="s">
        <v>5345</v>
      </c>
      <c r="G1917" s="7" t="s">
        <v>5346</v>
      </c>
      <c r="H1917" s="7" t="s">
        <v>5347</v>
      </c>
      <c r="I1917" s="9">
        <v>45357</v>
      </c>
    </row>
    <row r="1918" spans="1:9" ht="27" x14ac:dyDescent="0.15">
      <c r="A1918" s="6">
        <v>1917</v>
      </c>
      <c r="B1918" s="7" t="s">
        <v>10</v>
      </c>
      <c r="C1918" s="8">
        <v>1888</v>
      </c>
      <c r="D1918" s="9">
        <v>45432</v>
      </c>
      <c r="E1918" s="13" t="str">
        <f>+HYPERLINK("http://trademark.i-assist.jp/data/china/image_1888th/77133986.pdf","77133986")</f>
        <v>77133986</v>
      </c>
      <c r="F1918" s="7" t="s">
        <v>5348</v>
      </c>
      <c r="G1918" s="7" t="s">
        <v>5349</v>
      </c>
      <c r="H1918" s="7" t="s">
        <v>5350</v>
      </c>
      <c r="I1918" s="9">
        <v>45357</v>
      </c>
    </row>
    <row r="1919" spans="1:9" x14ac:dyDescent="0.15">
      <c r="A1919" s="6">
        <v>1918</v>
      </c>
      <c r="B1919" s="7" t="s">
        <v>10</v>
      </c>
      <c r="C1919" s="8">
        <v>1888</v>
      </c>
      <c r="D1919" s="9">
        <v>45432</v>
      </c>
      <c r="E1919" s="13" t="str">
        <f>+HYPERLINK("http://trademark.i-assist.jp/data/china/image_1888th/77134127.pdf","77134127")</f>
        <v>77134127</v>
      </c>
      <c r="F1919" s="7" t="s">
        <v>5351</v>
      </c>
      <c r="G1919" s="7" t="s">
        <v>5352</v>
      </c>
      <c r="H1919" s="7" t="s">
        <v>5353</v>
      </c>
      <c r="I1919" s="9">
        <v>45357</v>
      </c>
    </row>
    <row r="1920" spans="1:9" x14ac:dyDescent="0.15">
      <c r="A1920" s="6">
        <v>1919</v>
      </c>
      <c r="B1920" s="7" t="s">
        <v>10</v>
      </c>
      <c r="C1920" s="8">
        <v>1888</v>
      </c>
      <c r="D1920" s="9">
        <v>45432</v>
      </c>
      <c r="E1920" s="13" t="str">
        <f>+HYPERLINK("http://trademark.i-assist.jp/data/china/image_1888th/77134220.pdf","77134220")</f>
        <v>77134220</v>
      </c>
      <c r="F1920" s="7" t="s">
        <v>5354</v>
      </c>
      <c r="G1920" s="7" t="s">
        <v>5141</v>
      </c>
      <c r="H1920" s="7" t="s">
        <v>5355</v>
      </c>
      <c r="I1920" s="9">
        <v>45357</v>
      </c>
    </row>
    <row r="1921" spans="1:9" x14ac:dyDescent="0.15">
      <c r="A1921" s="6">
        <v>1920</v>
      </c>
      <c r="B1921" s="7" t="s">
        <v>10</v>
      </c>
      <c r="C1921" s="8">
        <v>1888</v>
      </c>
      <c r="D1921" s="9">
        <v>45432</v>
      </c>
      <c r="E1921" s="13" t="str">
        <f>+HYPERLINK("http://trademark.i-assist.jp/data/china/image_1888th/77134279.pdf","77134279")</f>
        <v>77134279</v>
      </c>
      <c r="F1921" s="7" t="s">
        <v>5356</v>
      </c>
      <c r="G1921" s="7" t="s">
        <v>5357</v>
      </c>
      <c r="H1921" s="7" t="s">
        <v>5358</v>
      </c>
      <c r="I1921" s="9">
        <v>45357</v>
      </c>
    </row>
    <row r="1922" spans="1:9" x14ac:dyDescent="0.15">
      <c r="A1922" s="6">
        <v>1921</v>
      </c>
      <c r="B1922" s="7" t="s">
        <v>10</v>
      </c>
      <c r="C1922" s="8">
        <v>1888</v>
      </c>
      <c r="D1922" s="9">
        <v>45432</v>
      </c>
      <c r="E1922" s="13" t="str">
        <f>+HYPERLINK("http://trademark.i-assist.jp/data/china/image_1888th/77134378.pdf","77134378")</f>
        <v>77134378</v>
      </c>
      <c r="F1922" s="7" t="s">
        <v>5359</v>
      </c>
      <c r="G1922" s="7" t="s">
        <v>5096</v>
      </c>
      <c r="H1922" s="7" t="s">
        <v>5360</v>
      </c>
      <c r="I1922" s="9">
        <v>45357</v>
      </c>
    </row>
    <row r="1923" spans="1:9" x14ac:dyDescent="0.15">
      <c r="A1923" s="6">
        <v>1922</v>
      </c>
      <c r="B1923" s="7" t="s">
        <v>10</v>
      </c>
      <c r="C1923" s="8">
        <v>1888</v>
      </c>
      <c r="D1923" s="9">
        <v>45432</v>
      </c>
      <c r="E1923" s="13" t="str">
        <f>+HYPERLINK("http://trademark.i-assist.jp/data/china/image_1888th/77134398.pdf","77134398")</f>
        <v>77134398</v>
      </c>
      <c r="F1923" s="7" t="s">
        <v>5361</v>
      </c>
      <c r="G1923" s="7" t="s">
        <v>4605</v>
      </c>
      <c r="H1923" s="7" t="s">
        <v>5362</v>
      </c>
      <c r="I1923" s="9">
        <v>45357</v>
      </c>
    </row>
    <row r="1924" spans="1:9" x14ac:dyDescent="0.15">
      <c r="A1924" s="6">
        <v>1923</v>
      </c>
      <c r="B1924" s="7" t="s">
        <v>10</v>
      </c>
      <c r="C1924" s="8">
        <v>1888</v>
      </c>
      <c r="D1924" s="9">
        <v>45432</v>
      </c>
      <c r="E1924" s="13" t="str">
        <f>+HYPERLINK("http://trademark.i-assist.jp/data/china/image_1888th/77134756.pdf","77134756")</f>
        <v>77134756</v>
      </c>
      <c r="F1924" s="7" t="s">
        <v>5363</v>
      </c>
      <c r="G1924" s="7" t="s">
        <v>5364</v>
      </c>
      <c r="H1924" s="7" t="s">
        <v>5365</v>
      </c>
      <c r="I1924" s="9">
        <v>45357</v>
      </c>
    </row>
    <row r="1925" spans="1:9" x14ac:dyDescent="0.15">
      <c r="A1925" s="6">
        <v>1924</v>
      </c>
      <c r="B1925" s="7" t="s">
        <v>10</v>
      </c>
      <c r="C1925" s="8">
        <v>1888</v>
      </c>
      <c r="D1925" s="9">
        <v>45432</v>
      </c>
      <c r="E1925" s="13" t="str">
        <f>+HYPERLINK("http://trademark.i-assist.jp/data/china/image_1888th/77134925.pdf","77134925")</f>
        <v>77134925</v>
      </c>
      <c r="F1925" s="7" t="s">
        <v>5366</v>
      </c>
      <c r="G1925" s="7" t="s">
        <v>5156</v>
      </c>
      <c r="H1925" s="7" t="s">
        <v>5367</v>
      </c>
      <c r="I1925" s="9">
        <v>45357</v>
      </c>
    </row>
    <row r="1926" spans="1:9" x14ac:dyDescent="0.15">
      <c r="A1926" s="6">
        <v>1925</v>
      </c>
      <c r="B1926" s="7" t="s">
        <v>10</v>
      </c>
      <c r="C1926" s="8">
        <v>1888</v>
      </c>
      <c r="D1926" s="9">
        <v>45432</v>
      </c>
      <c r="E1926" s="13" t="str">
        <f>+HYPERLINK("http://trademark.i-assist.jp/data/china/image_1888th/77134990.pdf","77134990")</f>
        <v>77134990</v>
      </c>
      <c r="F1926" s="7" t="s">
        <v>5368</v>
      </c>
      <c r="G1926" s="7" t="s">
        <v>5369</v>
      </c>
      <c r="H1926" s="7" t="s">
        <v>5370</v>
      </c>
      <c r="I1926" s="9">
        <v>45357</v>
      </c>
    </row>
    <row r="1927" spans="1:9" x14ac:dyDescent="0.15">
      <c r="A1927" s="6">
        <v>1926</v>
      </c>
      <c r="B1927" s="7" t="s">
        <v>10</v>
      </c>
      <c r="C1927" s="8">
        <v>1888</v>
      </c>
      <c r="D1927" s="9">
        <v>45432</v>
      </c>
      <c r="E1927" s="13" t="str">
        <f>+HYPERLINK("http://trademark.i-assist.jp/data/china/image_1888th/77135079.pdf","77135079")</f>
        <v>77135079</v>
      </c>
      <c r="F1927" s="7" t="s">
        <v>5371</v>
      </c>
      <c r="G1927" s="7" t="s">
        <v>5372</v>
      </c>
      <c r="H1927" s="7" t="s">
        <v>5373</v>
      </c>
      <c r="I1927" s="9">
        <v>45357</v>
      </c>
    </row>
    <row r="1928" spans="1:9" x14ac:dyDescent="0.15">
      <c r="A1928" s="6">
        <v>1927</v>
      </c>
      <c r="B1928" s="7" t="s">
        <v>10</v>
      </c>
      <c r="C1928" s="8">
        <v>1888</v>
      </c>
      <c r="D1928" s="9">
        <v>45432</v>
      </c>
      <c r="E1928" s="13" t="str">
        <f>+HYPERLINK("http://trademark.i-assist.jp/data/china/image_1888th/77135280.pdf","77135280")</f>
        <v>77135280</v>
      </c>
      <c r="F1928" s="7" t="s">
        <v>5374</v>
      </c>
      <c r="G1928" s="7" t="s">
        <v>5375</v>
      </c>
      <c r="H1928" s="7" t="s">
        <v>5376</v>
      </c>
      <c r="I1928" s="9">
        <v>45357</v>
      </c>
    </row>
    <row r="1929" spans="1:9" x14ac:dyDescent="0.15">
      <c r="A1929" s="6">
        <v>1928</v>
      </c>
      <c r="B1929" s="7" t="s">
        <v>10</v>
      </c>
      <c r="C1929" s="8">
        <v>1888</v>
      </c>
      <c r="D1929" s="9">
        <v>45432</v>
      </c>
      <c r="E1929" s="13" t="str">
        <f>+HYPERLINK("http://trademark.i-assist.jp/data/china/image_1888th/77135299.pdf","77135299")</f>
        <v>77135299</v>
      </c>
      <c r="F1929" s="7" t="s">
        <v>5377</v>
      </c>
      <c r="G1929" s="7" t="s">
        <v>5378</v>
      </c>
      <c r="H1929" s="7" t="s">
        <v>5379</v>
      </c>
      <c r="I1929" s="9">
        <v>45357</v>
      </c>
    </row>
    <row r="1930" spans="1:9" x14ac:dyDescent="0.15">
      <c r="A1930" s="6">
        <v>1929</v>
      </c>
      <c r="B1930" s="7" t="s">
        <v>10</v>
      </c>
      <c r="C1930" s="8">
        <v>1888</v>
      </c>
      <c r="D1930" s="9">
        <v>45432</v>
      </c>
      <c r="E1930" s="13" t="str">
        <f>+HYPERLINK("http://trademark.i-assist.jp/data/china/image_1888th/77135764.pdf","77135764")</f>
        <v>77135764</v>
      </c>
      <c r="F1930" s="7" t="s">
        <v>5380</v>
      </c>
      <c r="G1930" s="7" t="s">
        <v>5381</v>
      </c>
      <c r="H1930" s="7" t="s">
        <v>5382</v>
      </c>
      <c r="I1930" s="9">
        <v>45357</v>
      </c>
    </row>
    <row r="1931" spans="1:9" x14ac:dyDescent="0.15">
      <c r="A1931" s="6">
        <v>1930</v>
      </c>
      <c r="B1931" s="7" t="s">
        <v>10</v>
      </c>
      <c r="C1931" s="8">
        <v>1888</v>
      </c>
      <c r="D1931" s="9">
        <v>45432</v>
      </c>
      <c r="E1931" s="13" t="str">
        <f>+HYPERLINK("http://trademark.i-assist.jp/data/china/image_1888th/77135931.pdf","77135931")</f>
        <v>77135931</v>
      </c>
      <c r="F1931" s="7" t="s">
        <v>5383</v>
      </c>
      <c r="G1931" s="7" t="s">
        <v>5384</v>
      </c>
      <c r="H1931" s="7" t="s">
        <v>5385</v>
      </c>
      <c r="I1931" s="9">
        <v>45357</v>
      </c>
    </row>
    <row r="1932" spans="1:9" ht="27" x14ac:dyDescent="0.15">
      <c r="A1932" s="6">
        <v>1931</v>
      </c>
      <c r="B1932" s="7" t="s">
        <v>10</v>
      </c>
      <c r="C1932" s="8">
        <v>1888</v>
      </c>
      <c r="D1932" s="9">
        <v>45432</v>
      </c>
      <c r="E1932" s="13" t="str">
        <f>+HYPERLINK("http://trademark.i-assist.jp/data/china/image_1888th/77135959.pdf","77135959")</f>
        <v>77135959</v>
      </c>
      <c r="F1932" s="7" t="s">
        <v>5386</v>
      </c>
      <c r="G1932" s="7" t="s">
        <v>5387</v>
      </c>
      <c r="H1932" s="7" t="s">
        <v>5388</v>
      </c>
      <c r="I1932" s="9">
        <v>45357</v>
      </c>
    </row>
    <row r="1933" spans="1:9" ht="27" x14ac:dyDescent="0.15">
      <c r="A1933" s="6">
        <v>1932</v>
      </c>
      <c r="B1933" s="7" t="s">
        <v>10</v>
      </c>
      <c r="C1933" s="8">
        <v>1888</v>
      </c>
      <c r="D1933" s="9">
        <v>45432</v>
      </c>
      <c r="E1933" s="13" t="str">
        <f>+HYPERLINK("http://trademark.i-assist.jp/data/china/image_1888th/77136207.pdf","77136207")</f>
        <v>77136207</v>
      </c>
      <c r="F1933" s="7" t="s">
        <v>5389</v>
      </c>
      <c r="G1933" s="7" t="s">
        <v>5390</v>
      </c>
      <c r="H1933" s="7" t="s">
        <v>5391</v>
      </c>
      <c r="I1933" s="9">
        <v>45357</v>
      </c>
    </row>
    <row r="1934" spans="1:9" x14ac:dyDescent="0.15">
      <c r="A1934" s="6">
        <v>1933</v>
      </c>
      <c r="B1934" s="7" t="s">
        <v>10</v>
      </c>
      <c r="C1934" s="8">
        <v>1888</v>
      </c>
      <c r="D1934" s="9">
        <v>45432</v>
      </c>
      <c r="E1934" s="13" t="str">
        <f>+HYPERLINK("http://trademark.i-assist.jp/data/china/image_1888th/77136540.pdf","77136540")</f>
        <v>77136540</v>
      </c>
      <c r="F1934" s="7" t="s">
        <v>5392</v>
      </c>
      <c r="G1934" s="7" t="s">
        <v>5109</v>
      </c>
      <c r="H1934" s="7" t="s">
        <v>5393</v>
      </c>
      <c r="I1934" s="9">
        <v>45357</v>
      </c>
    </row>
    <row r="1935" spans="1:9" x14ac:dyDescent="0.15">
      <c r="A1935" s="6">
        <v>1934</v>
      </c>
      <c r="B1935" s="7" t="s">
        <v>10</v>
      </c>
      <c r="C1935" s="8">
        <v>1888</v>
      </c>
      <c r="D1935" s="9">
        <v>45432</v>
      </c>
      <c r="E1935" s="13" t="str">
        <f>+HYPERLINK("http://trademark.i-assist.jp/data/china/image_1888th/77136720.pdf","77136720")</f>
        <v>77136720</v>
      </c>
      <c r="F1935" s="7" t="s">
        <v>5394</v>
      </c>
      <c r="G1935" s="7" t="s">
        <v>5395</v>
      </c>
      <c r="H1935" s="7" t="s">
        <v>5396</v>
      </c>
      <c r="I1935" s="9">
        <v>45357</v>
      </c>
    </row>
    <row r="1936" spans="1:9" x14ac:dyDescent="0.15">
      <c r="A1936" s="6">
        <v>1935</v>
      </c>
      <c r="B1936" s="7" t="s">
        <v>10</v>
      </c>
      <c r="C1936" s="8">
        <v>1888</v>
      </c>
      <c r="D1936" s="9">
        <v>45432</v>
      </c>
      <c r="E1936" s="13" t="str">
        <f>+HYPERLINK("http://trademark.i-assist.jp/data/china/image_1888th/77136777.pdf","77136777")</f>
        <v>77136777</v>
      </c>
      <c r="F1936" s="7" t="s">
        <v>5397</v>
      </c>
      <c r="G1936" s="7" t="s">
        <v>5398</v>
      </c>
      <c r="H1936" s="7" t="s">
        <v>5399</v>
      </c>
      <c r="I1936" s="9">
        <v>45357</v>
      </c>
    </row>
    <row r="1937" spans="1:9" x14ac:dyDescent="0.15">
      <c r="A1937" s="6">
        <v>1936</v>
      </c>
      <c r="B1937" s="7" t="s">
        <v>10</v>
      </c>
      <c r="C1937" s="8">
        <v>1888</v>
      </c>
      <c r="D1937" s="9">
        <v>45432</v>
      </c>
      <c r="E1937" s="13" t="str">
        <f>+HYPERLINK("http://trademark.i-assist.jp/data/china/image_1888th/77136795.pdf","77136795")</f>
        <v>77136795</v>
      </c>
      <c r="F1937" s="7" t="s">
        <v>5400</v>
      </c>
      <c r="G1937" s="7" t="s">
        <v>5401</v>
      </c>
      <c r="H1937" s="7" t="s">
        <v>5402</v>
      </c>
      <c r="I1937" s="9">
        <v>45357</v>
      </c>
    </row>
    <row r="1938" spans="1:9" x14ac:dyDescent="0.15">
      <c r="A1938" s="6">
        <v>1937</v>
      </c>
      <c r="B1938" s="7" t="s">
        <v>10</v>
      </c>
      <c r="C1938" s="8">
        <v>1888</v>
      </c>
      <c r="D1938" s="9">
        <v>45432</v>
      </c>
      <c r="E1938" s="13" t="str">
        <f>+HYPERLINK("http://trademark.i-assist.jp/data/china/image_1888th/77136887.pdf","77136887")</f>
        <v>77136887</v>
      </c>
      <c r="F1938" s="7" t="s">
        <v>5403</v>
      </c>
      <c r="G1938" s="7" t="s">
        <v>5404</v>
      </c>
      <c r="H1938" s="7" t="s">
        <v>5405</v>
      </c>
      <c r="I1938" s="9">
        <v>45357</v>
      </c>
    </row>
    <row r="1939" spans="1:9" x14ac:dyDescent="0.15">
      <c r="A1939" s="6">
        <v>1938</v>
      </c>
      <c r="B1939" s="7" t="s">
        <v>10</v>
      </c>
      <c r="C1939" s="8">
        <v>1888</v>
      </c>
      <c r="D1939" s="9">
        <v>45432</v>
      </c>
      <c r="E1939" s="13" t="str">
        <f>+HYPERLINK("http://trademark.i-assist.jp/data/china/image_1888th/77136892.pdf","77136892")</f>
        <v>77136892</v>
      </c>
      <c r="F1939" s="7" t="s">
        <v>5406</v>
      </c>
      <c r="G1939" s="7" t="s">
        <v>5404</v>
      </c>
      <c r="H1939" s="7" t="s">
        <v>5407</v>
      </c>
      <c r="I1939" s="9">
        <v>45357</v>
      </c>
    </row>
    <row r="1940" spans="1:9" x14ac:dyDescent="0.15">
      <c r="A1940" s="6">
        <v>1939</v>
      </c>
      <c r="B1940" s="7" t="s">
        <v>10</v>
      </c>
      <c r="C1940" s="8">
        <v>1888</v>
      </c>
      <c r="D1940" s="9">
        <v>45432</v>
      </c>
      <c r="E1940" s="13" t="str">
        <f>+HYPERLINK("http://trademark.i-assist.jp/data/china/image_1888th/77137158.pdf","77137158")</f>
        <v>77137158</v>
      </c>
      <c r="F1940" s="7" t="s">
        <v>5408</v>
      </c>
      <c r="G1940" s="7" t="s">
        <v>5409</v>
      </c>
      <c r="H1940" s="7" t="s">
        <v>5410</v>
      </c>
      <c r="I1940" s="9">
        <v>45357</v>
      </c>
    </row>
    <row r="1941" spans="1:9" x14ac:dyDescent="0.15">
      <c r="A1941" s="6">
        <v>1940</v>
      </c>
      <c r="B1941" s="7" t="s">
        <v>10</v>
      </c>
      <c r="C1941" s="8">
        <v>1888</v>
      </c>
      <c r="D1941" s="9">
        <v>45432</v>
      </c>
      <c r="E1941" s="13" t="str">
        <f>+HYPERLINK("http://trademark.i-assist.jp/data/china/image_1888th/77137198.pdf","77137198")</f>
        <v>77137198</v>
      </c>
      <c r="F1941" s="7" t="s">
        <v>5411</v>
      </c>
      <c r="G1941" s="7" t="s">
        <v>5412</v>
      </c>
      <c r="H1941" s="7" t="s">
        <v>5413</v>
      </c>
      <c r="I1941" s="9">
        <v>45357</v>
      </c>
    </row>
    <row r="1942" spans="1:9" ht="27" x14ac:dyDescent="0.15">
      <c r="A1942" s="6">
        <v>1941</v>
      </c>
      <c r="B1942" s="7" t="s">
        <v>10</v>
      </c>
      <c r="C1942" s="8">
        <v>1888</v>
      </c>
      <c r="D1942" s="9">
        <v>45432</v>
      </c>
      <c r="E1942" s="13" t="str">
        <f>+HYPERLINK("http://trademark.i-assist.jp/data/china/image_1888th/77137204.pdf","77137204")</f>
        <v>77137204</v>
      </c>
      <c r="F1942" s="7" t="s">
        <v>76</v>
      </c>
      <c r="G1942" s="7" t="s">
        <v>5414</v>
      </c>
      <c r="H1942" s="7" t="s">
        <v>5415</v>
      </c>
      <c r="I1942" s="9">
        <v>45357</v>
      </c>
    </row>
    <row r="1943" spans="1:9" x14ac:dyDescent="0.15">
      <c r="A1943" s="6">
        <v>1942</v>
      </c>
      <c r="B1943" s="7" t="s">
        <v>10</v>
      </c>
      <c r="C1943" s="8">
        <v>1888</v>
      </c>
      <c r="D1943" s="9">
        <v>45432</v>
      </c>
      <c r="E1943" s="13" t="str">
        <f>+HYPERLINK("http://trademark.i-assist.jp/data/china/image_1888th/77137302.pdf","77137302")</f>
        <v>77137302</v>
      </c>
      <c r="F1943" s="7" t="s">
        <v>5416</v>
      </c>
      <c r="G1943" s="7" t="s">
        <v>5417</v>
      </c>
      <c r="H1943" s="7" t="s">
        <v>5418</v>
      </c>
      <c r="I1943" s="9">
        <v>45357</v>
      </c>
    </row>
    <row r="1944" spans="1:9" ht="27" x14ac:dyDescent="0.15">
      <c r="A1944" s="6">
        <v>1943</v>
      </c>
      <c r="B1944" s="7" t="s">
        <v>10</v>
      </c>
      <c r="C1944" s="8">
        <v>1888</v>
      </c>
      <c r="D1944" s="9">
        <v>45432</v>
      </c>
      <c r="E1944" s="13" t="str">
        <f>+HYPERLINK("http://trademark.i-assist.jp/data/china/image_1888th/77137860.pdf","77137860")</f>
        <v>77137860</v>
      </c>
      <c r="F1944" s="7" t="s">
        <v>5419</v>
      </c>
      <c r="G1944" s="7" t="s">
        <v>5420</v>
      </c>
      <c r="H1944" s="7" t="s">
        <v>5421</v>
      </c>
      <c r="I1944" s="9">
        <v>45357</v>
      </c>
    </row>
    <row r="1945" spans="1:9" x14ac:dyDescent="0.15">
      <c r="A1945" s="6">
        <v>1944</v>
      </c>
      <c r="B1945" s="7" t="s">
        <v>10</v>
      </c>
      <c r="C1945" s="8">
        <v>1888</v>
      </c>
      <c r="D1945" s="9">
        <v>45432</v>
      </c>
      <c r="E1945" s="13" t="str">
        <f>+HYPERLINK("http://trademark.i-assist.jp/data/china/image_1888th/77137989.pdf","77137989")</f>
        <v>77137989</v>
      </c>
      <c r="F1945" s="7" t="s">
        <v>5422</v>
      </c>
      <c r="G1945" s="7" t="s">
        <v>5423</v>
      </c>
      <c r="H1945" s="7" t="s">
        <v>5424</v>
      </c>
      <c r="I1945" s="9">
        <v>45357</v>
      </c>
    </row>
    <row r="1946" spans="1:9" x14ac:dyDescent="0.15">
      <c r="A1946" s="6">
        <v>1945</v>
      </c>
      <c r="B1946" s="7" t="s">
        <v>10</v>
      </c>
      <c r="C1946" s="8">
        <v>1888</v>
      </c>
      <c r="D1946" s="9">
        <v>45432</v>
      </c>
      <c r="E1946" s="13" t="str">
        <f>+HYPERLINK("http://trademark.i-assist.jp/data/china/image_1888th/77138027.pdf","77138027")</f>
        <v>77138027</v>
      </c>
      <c r="F1946" s="7" t="s">
        <v>5425</v>
      </c>
      <c r="G1946" s="7" t="s">
        <v>5141</v>
      </c>
      <c r="H1946" s="7" t="s">
        <v>5426</v>
      </c>
      <c r="I1946" s="9">
        <v>45357</v>
      </c>
    </row>
    <row r="1947" spans="1:9" x14ac:dyDescent="0.15">
      <c r="A1947" s="6">
        <v>1946</v>
      </c>
      <c r="B1947" s="7" t="s">
        <v>10</v>
      </c>
      <c r="C1947" s="8">
        <v>1888</v>
      </c>
      <c r="D1947" s="9">
        <v>45432</v>
      </c>
      <c r="E1947" s="13" t="str">
        <f>+HYPERLINK("http://trademark.i-assist.jp/data/china/image_1888th/77138035.pdf","77138035")</f>
        <v>77138035</v>
      </c>
      <c r="F1947" s="7" t="s">
        <v>5427</v>
      </c>
      <c r="G1947" s="7" t="s">
        <v>5141</v>
      </c>
      <c r="H1947" s="7" t="s">
        <v>5428</v>
      </c>
      <c r="I1947" s="9">
        <v>45357</v>
      </c>
    </row>
    <row r="1948" spans="1:9" x14ac:dyDescent="0.15">
      <c r="A1948" s="6">
        <v>1947</v>
      </c>
      <c r="B1948" s="7" t="s">
        <v>10</v>
      </c>
      <c r="C1948" s="8">
        <v>1888</v>
      </c>
      <c r="D1948" s="9">
        <v>45432</v>
      </c>
      <c r="E1948" s="13" t="str">
        <f>+HYPERLINK("http://trademark.i-assist.jp/data/china/image_1888th/77138262.pdf","77138262")</f>
        <v>77138262</v>
      </c>
      <c r="F1948" s="7" t="s">
        <v>5429</v>
      </c>
      <c r="G1948" s="7" t="s">
        <v>5430</v>
      </c>
      <c r="H1948" s="7" t="s">
        <v>5431</v>
      </c>
      <c r="I1948" s="9">
        <v>45357</v>
      </c>
    </row>
    <row r="1949" spans="1:9" ht="27" x14ac:dyDescent="0.15">
      <c r="A1949" s="6">
        <v>1948</v>
      </c>
      <c r="B1949" s="7" t="s">
        <v>10</v>
      </c>
      <c r="C1949" s="8">
        <v>1888</v>
      </c>
      <c r="D1949" s="9">
        <v>45432</v>
      </c>
      <c r="E1949" s="13" t="str">
        <f>+HYPERLINK("http://trademark.i-assist.jp/data/china/image_1888th/77138349.pdf","77138349")</f>
        <v>77138349</v>
      </c>
      <c r="F1949" s="7" t="s">
        <v>5432</v>
      </c>
      <c r="G1949" s="7" t="s">
        <v>5433</v>
      </c>
      <c r="H1949" s="7" t="s">
        <v>5434</v>
      </c>
      <c r="I1949" s="9">
        <v>45357</v>
      </c>
    </row>
    <row r="1950" spans="1:9" x14ac:dyDescent="0.15">
      <c r="A1950" s="6">
        <v>1949</v>
      </c>
      <c r="B1950" s="7" t="s">
        <v>10</v>
      </c>
      <c r="C1950" s="8">
        <v>1888</v>
      </c>
      <c r="D1950" s="9">
        <v>45432</v>
      </c>
      <c r="E1950" s="13" t="str">
        <f>+HYPERLINK("http://trademark.i-assist.jp/data/china/image_1888th/77138392.pdf","77138392")</f>
        <v>77138392</v>
      </c>
      <c r="F1950" s="7" t="s">
        <v>5435</v>
      </c>
      <c r="G1950" s="7" t="s">
        <v>5436</v>
      </c>
      <c r="H1950" s="7" t="s">
        <v>5437</v>
      </c>
      <c r="I1950" s="9">
        <v>45357</v>
      </c>
    </row>
    <row r="1951" spans="1:9" ht="27" x14ac:dyDescent="0.15">
      <c r="A1951" s="6">
        <v>1950</v>
      </c>
      <c r="B1951" s="7" t="s">
        <v>10</v>
      </c>
      <c r="C1951" s="8">
        <v>1888</v>
      </c>
      <c r="D1951" s="9">
        <v>45432</v>
      </c>
      <c r="E1951" s="13" t="str">
        <f>+HYPERLINK("http://trademark.i-assist.jp/data/china/image_1888th/77139025.pdf","77139025")</f>
        <v>77139025</v>
      </c>
      <c r="F1951" s="7" t="s">
        <v>5301</v>
      </c>
      <c r="G1951" s="7" t="s">
        <v>5112</v>
      </c>
      <c r="H1951" s="7" t="s">
        <v>5438</v>
      </c>
      <c r="I1951" s="9">
        <v>45357</v>
      </c>
    </row>
    <row r="1952" spans="1:9" ht="27" x14ac:dyDescent="0.15">
      <c r="A1952" s="6">
        <v>1951</v>
      </c>
      <c r="B1952" s="7" t="s">
        <v>10</v>
      </c>
      <c r="C1952" s="8">
        <v>1888</v>
      </c>
      <c r="D1952" s="9">
        <v>45432</v>
      </c>
      <c r="E1952" s="13" t="str">
        <f>+HYPERLINK("http://trademark.i-assist.jp/data/china/image_1888th/77139028.pdf","77139028")</f>
        <v>77139028</v>
      </c>
      <c r="F1952" s="7" t="s">
        <v>5439</v>
      </c>
      <c r="G1952" s="7" t="s">
        <v>5440</v>
      </c>
      <c r="H1952" s="7" t="s">
        <v>5441</v>
      </c>
      <c r="I1952" s="9">
        <v>45357</v>
      </c>
    </row>
    <row r="1953" spans="1:9" ht="27" x14ac:dyDescent="0.15">
      <c r="A1953" s="6">
        <v>1952</v>
      </c>
      <c r="B1953" s="7" t="s">
        <v>10</v>
      </c>
      <c r="C1953" s="8">
        <v>1888</v>
      </c>
      <c r="D1953" s="9">
        <v>45432</v>
      </c>
      <c r="E1953" s="13" t="str">
        <f>+HYPERLINK("http://trademark.i-assist.jp/data/china/image_1888th/77139558.pdf","77139558")</f>
        <v>77139558</v>
      </c>
      <c r="F1953" s="7" t="s">
        <v>5442</v>
      </c>
      <c r="G1953" s="7" t="s">
        <v>5443</v>
      </c>
      <c r="H1953" s="7" t="s">
        <v>5444</v>
      </c>
      <c r="I1953" s="9">
        <v>45357</v>
      </c>
    </row>
    <row r="1954" spans="1:9" x14ac:dyDescent="0.15">
      <c r="A1954" s="6">
        <v>1953</v>
      </c>
      <c r="B1954" s="7" t="s">
        <v>10</v>
      </c>
      <c r="C1954" s="8">
        <v>1888</v>
      </c>
      <c r="D1954" s="9">
        <v>45432</v>
      </c>
      <c r="E1954" s="13" t="str">
        <f>+HYPERLINK("http://trademark.i-assist.jp/data/china/image_1888th/77139692.pdf","77139692")</f>
        <v>77139692</v>
      </c>
      <c r="F1954" s="7" t="s">
        <v>5445</v>
      </c>
      <c r="G1954" s="7" t="s">
        <v>5156</v>
      </c>
      <c r="H1954" s="7" t="s">
        <v>5446</v>
      </c>
      <c r="I1954" s="9">
        <v>45357</v>
      </c>
    </row>
    <row r="1955" spans="1:9" x14ac:dyDescent="0.15">
      <c r="A1955" s="6">
        <v>1954</v>
      </c>
      <c r="B1955" s="7" t="s">
        <v>10</v>
      </c>
      <c r="C1955" s="8">
        <v>1888</v>
      </c>
      <c r="D1955" s="9">
        <v>45432</v>
      </c>
      <c r="E1955" s="13" t="str">
        <f>+HYPERLINK("http://trademark.i-assist.jp/data/china/image_1888th/77139726.pdf","77139726")</f>
        <v>77139726</v>
      </c>
      <c r="F1955" s="7" t="s">
        <v>5447</v>
      </c>
      <c r="G1955" s="7" t="s">
        <v>5156</v>
      </c>
      <c r="H1955" s="7" t="s">
        <v>5448</v>
      </c>
      <c r="I1955" s="9">
        <v>45357</v>
      </c>
    </row>
    <row r="1956" spans="1:9" x14ac:dyDescent="0.15">
      <c r="A1956" s="6">
        <v>1955</v>
      </c>
      <c r="B1956" s="7" t="s">
        <v>10</v>
      </c>
      <c r="C1956" s="8">
        <v>1888</v>
      </c>
      <c r="D1956" s="9">
        <v>45432</v>
      </c>
      <c r="E1956" s="13" t="str">
        <f>+HYPERLINK("http://trademark.i-assist.jp/data/china/image_1888th/77139909.pdf","77139909")</f>
        <v>77139909</v>
      </c>
      <c r="F1956" s="7" t="s">
        <v>5449</v>
      </c>
      <c r="G1956" s="7" t="s">
        <v>5450</v>
      </c>
      <c r="H1956" s="7" t="s">
        <v>5451</v>
      </c>
      <c r="I1956" s="9">
        <v>45357</v>
      </c>
    </row>
    <row r="1957" spans="1:9" x14ac:dyDescent="0.15">
      <c r="A1957" s="6">
        <v>1956</v>
      </c>
      <c r="B1957" s="7" t="s">
        <v>10</v>
      </c>
      <c r="C1957" s="8">
        <v>1888</v>
      </c>
      <c r="D1957" s="9">
        <v>45432</v>
      </c>
      <c r="E1957" s="13" t="str">
        <f>+HYPERLINK("http://trademark.i-assist.jp/data/china/image_1888th/77140098.pdf","77140098")</f>
        <v>77140098</v>
      </c>
      <c r="F1957" s="7" t="s">
        <v>5452</v>
      </c>
      <c r="G1957" s="7" t="s">
        <v>5453</v>
      </c>
      <c r="H1957" s="7" t="s">
        <v>5454</v>
      </c>
      <c r="I1957" s="9">
        <v>45357</v>
      </c>
    </row>
    <row r="1958" spans="1:9" x14ac:dyDescent="0.15">
      <c r="A1958" s="6">
        <v>1957</v>
      </c>
      <c r="B1958" s="7" t="s">
        <v>10</v>
      </c>
      <c r="C1958" s="8">
        <v>1888</v>
      </c>
      <c r="D1958" s="9">
        <v>45432</v>
      </c>
      <c r="E1958" s="13" t="str">
        <f>+HYPERLINK("http://trademark.i-assist.jp/data/china/image_1888th/77140234.pdf","77140234")</f>
        <v>77140234</v>
      </c>
      <c r="F1958" s="7" t="s">
        <v>5455</v>
      </c>
      <c r="G1958" s="7" t="s">
        <v>5096</v>
      </c>
      <c r="H1958" s="7" t="s">
        <v>5456</v>
      </c>
      <c r="I1958" s="9">
        <v>45357</v>
      </c>
    </row>
    <row r="1959" spans="1:9" x14ac:dyDescent="0.15">
      <c r="A1959" s="6">
        <v>1958</v>
      </c>
      <c r="B1959" s="7" t="s">
        <v>10</v>
      </c>
      <c r="C1959" s="8">
        <v>1888</v>
      </c>
      <c r="D1959" s="9">
        <v>45432</v>
      </c>
      <c r="E1959" s="13" t="str">
        <f>+HYPERLINK("http://trademark.i-assist.jp/data/china/image_1888th/77140767.pdf","77140767")</f>
        <v>77140767</v>
      </c>
      <c r="F1959" s="7" t="s">
        <v>5457</v>
      </c>
      <c r="G1959" s="7" t="s">
        <v>5153</v>
      </c>
      <c r="H1959" s="7" t="s">
        <v>5458</v>
      </c>
      <c r="I1959" s="9">
        <v>45357</v>
      </c>
    </row>
    <row r="1960" spans="1:9" ht="27" x14ac:dyDescent="0.15">
      <c r="A1960" s="6">
        <v>1959</v>
      </c>
      <c r="B1960" s="7" t="s">
        <v>10</v>
      </c>
      <c r="C1960" s="8">
        <v>1888</v>
      </c>
      <c r="D1960" s="9">
        <v>45432</v>
      </c>
      <c r="E1960" s="13" t="str">
        <f>+HYPERLINK("http://trademark.i-assist.jp/data/china/image_1888th/77141022.pdf","77141022")</f>
        <v>77141022</v>
      </c>
      <c r="F1960" s="7" t="s">
        <v>5459</v>
      </c>
      <c r="G1960" s="7" t="s">
        <v>5460</v>
      </c>
      <c r="H1960" s="7" t="s">
        <v>5461</v>
      </c>
      <c r="I1960" s="9">
        <v>45357</v>
      </c>
    </row>
    <row r="1961" spans="1:9" x14ac:dyDescent="0.15">
      <c r="A1961" s="6">
        <v>1960</v>
      </c>
      <c r="B1961" s="7" t="s">
        <v>10</v>
      </c>
      <c r="C1961" s="8">
        <v>1888</v>
      </c>
      <c r="D1961" s="9">
        <v>45432</v>
      </c>
      <c r="E1961" s="13" t="str">
        <f>+HYPERLINK("http://trademark.i-assist.jp/data/china/image_1888th/77141113.pdf","77141113")</f>
        <v>77141113</v>
      </c>
      <c r="F1961" s="7" t="s">
        <v>5462</v>
      </c>
      <c r="G1961" s="7" t="s">
        <v>5463</v>
      </c>
      <c r="H1961" s="7" t="s">
        <v>5464</v>
      </c>
      <c r="I1961" s="9">
        <v>45357</v>
      </c>
    </row>
    <row r="1962" spans="1:9" x14ac:dyDescent="0.15">
      <c r="A1962" s="6">
        <v>1961</v>
      </c>
      <c r="B1962" s="7" t="s">
        <v>10</v>
      </c>
      <c r="C1962" s="8">
        <v>1888</v>
      </c>
      <c r="D1962" s="9">
        <v>45432</v>
      </c>
      <c r="E1962" s="13" t="str">
        <f>+HYPERLINK("http://trademark.i-assist.jp/data/china/image_1888th/77141425.pdf","77141425")</f>
        <v>77141425</v>
      </c>
      <c r="F1962" s="7" t="s">
        <v>5253</v>
      </c>
      <c r="G1962" s="7" t="s">
        <v>5254</v>
      </c>
      <c r="H1962" s="7" t="s">
        <v>5465</v>
      </c>
      <c r="I1962" s="9">
        <v>45357</v>
      </c>
    </row>
    <row r="1963" spans="1:9" x14ac:dyDescent="0.15">
      <c r="A1963" s="6">
        <v>1962</v>
      </c>
      <c r="B1963" s="7" t="s">
        <v>10</v>
      </c>
      <c r="C1963" s="8">
        <v>1888</v>
      </c>
      <c r="D1963" s="9">
        <v>45432</v>
      </c>
      <c r="E1963" s="13" t="str">
        <f>+HYPERLINK("http://trademark.i-assist.jp/data/china/image_1888th/77141523.pdf","77141523")</f>
        <v>77141523</v>
      </c>
      <c r="F1963" s="7" t="s">
        <v>5466</v>
      </c>
      <c r="G1963" s="7" t="s">
        <v>5467</v>
      </c>
      <c r="H1963" s="7" t="s">
        <v>5468</v>
      </c>
      <c r="I1963" s="9">
        <v>45357</v>
      </c>
    </row>
    <row r="1964" spans="1:9" x14ac:dyDescent="0.15">
      <c r="A1964" s="6">
        <v>1963</v>
      </c>
      <c r="B1964" s="7" t="s">
        <v>10</v>
      </c>
      <c r="C1964" s="8">
        <v>1888</v>
      </c>
      <c r="D1964" s="9">
        <v>45432</v>
      </c>
      <c r="E1964" s="13" t="str">
        <f>+HYPERLINK("http://trademark.i-assist.jp/data/china/image_1888th/77141641.pdf","77141641")</f>
        <v>77141641</v>
      </c>
      <c r="F1964" s="7" t="s">
        <v>76</v>
      </c>
      <c r="G1964" s="7" t="s">
        <v>5469</v>
      </c>
      <c r="H1964" s="7" t="s">
        <v>5470</v>
      </c>
      <c r="I1964" s="9">
        <v>45357</v>
      </c>
    </row>
    <row r="1965" spans="1:9" x14ac:dyDescent="0.15">
      <c r="A1965" s="6">
        <v>1964</v>
      </c>
      <c r="B1965" s="7" t="s">
        <v>10</v>
      </c>
      <c r="C1965" s="8">
        <v>1888</v>
      </c>
      <c r="D1965" s="9">
        <v>45432</v>
      </c>
      <c r="E1965" s="13" t="str">
        <f>+HYPERLINK("http://trademark.i-assist.jp/data/china/image_1888th/77141642.pdf","77141642")</f>
        <v>77141642</v>
      </c>
      <c r="F1965" s="7" t="s">
        <v>5471</v>
      </c>
      <c r="G1965" s="7" t="s">
        <v>5469</v>
      </c>
      <c r="H1965" s="7" t="s">
        <v>5472</v>
      </c>
      <c r="I1965" s="9">
        <v>45357</v>
      </c>
    </row>
    <row r="1966" spans="1:9" x14ac:dyDescent="0.15">
      <c r="A1966" s="6">
        <v>1965</v>
      </c>
      <c r="B1966" s="7" t="s">
        <v>10</v>
      </c>
      <c r="C1966" s="8">
        <v>1888</v>
      </c>
      <c r="D1966" s="9">
        <v>45432</v>
      </c>
      <c r="E1966" s="13" t="str">
        <f>+HYPERLINK("http://trademark.i-assist.jp/data/china/image_1888th/77141897.pdf","77141897")</f>
        <v>77141897</v>
      </c>
      <c r="F1966" s="7" t="s">
        <v>5473</v>
      </c>
      <c r="G1966" s="7" t="s">
        <v>5474</v>
      </c>
      <c r="H1966" s="7" t="s">
        <v>5475</v>
      </c>
      <c r="I1966" s="9">
        <v>45357</v>
      </c>
    </row>
    <row r="1967" spans="1:9" x14ac:dyDescent="0.15">
      <c r="A1967" s="6">
        <v>1966</v>
      </c>
      <c r="B1967" s="7" t="s">
        <v>10</v>
      </c>
      <c r="C1967" s="8">
        <v>1888</v>
      </c>
      <c r="D1967" s="9">
        <v>45432</v>
      </c>
      <c r="E1967" s="13" t="str">
        <f>+HYPERLINK("http://trademark.i-assist.jp/data/china/image_1888th/77142253.pdf","77142253")</f>
        <v>77142253</v>
      </c>
      <c r="F1967" s="7" t="s">
        <v>5476</v>
      </c>
      <c r="G1967" s="7" t="s">
        <v>5477</v>
      </c>
      <c r="H1967" s="7" t="s">
        <v>5478</v>
      </c>
      <c r="I1967" s="9">
        <v>45357</v>
      </c>
    </row>
    <row r="1968" spans="1:9" x14ac:dyDescent="0.15">
      <c r="A1968" s="6">
        <v>1967</v>
      </c>
      <c r="B1968" s="7" t="s">
        <v>10</v>
      </c>
      <c r="C1968" s="8">
        <v>1888</v>
      </c>
      <c r="D1968" s="9">
        <v>45432</v>
      </c>
      <c r="E1968" s="13" t="str">
        <f>+HYPERLINK("http://trademark.i-assist.jp/data/china/image_1888th/77142317.pdf","77142317")</f>
        <v>77142317</v>
      </c>
      <c r="F1968" s="7" t="s">
        <v>5479</v>
      </c>
      <c r="G1968" s="7" t="s">
        <v>5480</v>
      </c>
      <c r="H1968" s="7" t="s">
        <v>5481</v>
      </c>
      <c r="I1968" s="9">
        <v>45357</v>
      </c>
    </row>
    <row r="1969" spans="1:9" x14ac:dyDescent="0.15">
      <c r="A1969" s="6">
        <v>1968</v>
      </c>
      <c r="B1969" s="7" t="s">
        <v>10</v>
      </c>
      <c r="C1969" s="8">
        <v>1888</v>
      </c>
      <c r="D1969" s="9">
        <v>45432</v>
      </c>
      <c r="E1969" s="13" t="str">
        <f>+HYPERLINK("http://trademark.i-assist.jp/data/china/image_1888th/77142472.pdf","77142472")</f>
        <v>77142472</v>
      </c>
      <c r="F1969" s="7" t="s">
        <v>5482</v>
      </c>
      <c r="G1969" s="7" t="s">
        <v>5483</v>
      </c>
      <c r="H1969" s="7" t="s">
        <v>5484</v>
      </c>
      <c r="I1969" s="9">
        <v>45357</v>
      </c>
    </row>
    <row r="1970" spans="1:9" ht="27" x14ac:dyDescent="0.15">
      <c r="A1970" s="6">
        <v>1969</v>
      </c>
      <c r="B1970" s="7" t="s">
        <v>10</v>
      </c>
      <c r="C1970" s="8">
        <v>1888</v>
      </c>
      <c r="D1970" s="9">
        <v>45432</v>
      </c>
      <c r="E1970" s="13" t="str">
        <f>+HYPERLINK("http://trademark.i-assist.jp/data/china/image_1888th/77142869.pdf","77142869")</f>
        <v>77142869</v>
      </c>
      <c r="F1970" s="7" t="s">
        <v>5485</v>
      </c>
      <c r="G1970" s="7" t="s">
        <v>5486</v>
      </c>
      <c r="H1970" s="7" t="s">
        <v>5487</v>
      </c>
      <c r="I1970" s="9">
        <v>45357</v>
      </c>
    </row>
    <row r="1971" spans="1:9" ht="27" x14ac:dyDescent="0.15">
      <c r="A1971" s="6">
        <v>1970</v>
      </c>
      <c r="B1971" s="7" t="s">
        <v>10</v>
      </c>
      <c r="C1971" s="8">
        <v>1888</v>
      </c>
      <c r="D1971" s="9">
        <v>45432</v>
      </c>
      <c r="E1971" s="13" t="str">
        <f>+HYPERLINK("http://trademark.i-assist.jp/data/china/image_1888th/77143044.pdf","77143044")</f>
        <v>77143044</v>
      </c>
      <c r="F1971" s="7" t="s">
        <v>5488</v>
      </c>
      <c r="G1971" s="7" t="s">
        <v>5489</v>
      </c>
      <c r="H1971" s="7" t="s">
        <v>5490</v>
      </c>
      <c r="I1971" s="9">
        <v>45357</v>
      </c>
    </row>
    <row r="1972" spans="1:9" x14ac:dyDescent="0.15">
      <c r="A1972" s="6">
        <v>1971</v>
      </c>
      <c r="B1972" s="7" t="s">
        <v>10</v>
      </c>
      <c r="C1972" s="8">
        <v>1888</v>
      </c>
      <c r="D1972" s="9">
        <v>45432</v>
      </c>
      <c r="E1972" s="13" t="str">
        <f>+HYPERLINK("http://trademark.i-assist.jp/data/china/image_1888th/77143238.pdf","77143238")</f>
        <v>77143238</v>
      </c>
      <c r="F1972" s="7" t="s">
        <v>5491</v>
      </c>
      <c r="G1972" s="7" t="s">
        <v>5492</v>
      </c>
      <c r="H1972" s="7" t="s">
        <v>5493</v>
      </c>
      <c r="I1972" s="9">
        <v>45357</v>
      </c>
    </row>
    <row r="1973" spans="1:9" ht="27" x14ac:dyDescent="0.15">
      <c r="A1973" s="6">
        <v>1972</v>
      </c>
      <c r="B1973" s="7" t="s">
        <v>10</v>
      </c>
      <c r="C1973" s="8">
        <v>1888</v>
      </c>
      <c r="D1973" s="9">
        <v>45432</v>
      </c>
      <c r="E1973" s="13" t="str">
        <f>+HYPERLINK("http://trademark.i-assist.jp/data/china/image_1888th/77143723.pdf","77143723")</f>
        <v>77143723</v>
      </c>
      <c r="F1973" s="7" t="s">
        <v>5494</v>
      </c>
      <c r="G1973" s="7" t="s">
        <v>5495</v>
      </c>
      <c r="H1973" s="7" t="s">
        <v>5496</v>
      </c>
      <c r="I1973" s="9">
        <v>45357</v>
      </c>
    </row>
    <row r="1974" spans="1:9" x14ac:dyDescent="0.15">
      <c r="A1974" s="6">
        <v>1973</v>
      </c>
      <c r="B1974" s="7" t="s">
        <v>10</v>
      </c>
      <c r="C1974" s="8">
        <v>1888</v>
      </c>
      <c r="D1974" s="9">
        <v>45432</v>
      </c>
      <c r="E1974" s="13" t="str">
        <f>+HYPERLINK("http://trademark.i-assist.jp/data/china/image_1888th/77143988.pdf","77143988")</f>
        <v>77143988</v>
      </c>
      <c r="F1974" s="7" t="s">
        <v>5497</v>
      </c>
      <c r="G1974" s="7" t="s">
        <v>5498</v>
      </c>
      <c r="H1974" s="7" t="s">
        <v>5499</v>
      </c>
      <c r="I1974" s="9">
        <v>45357</v>
      </c>
    </row>
    <row r="1975" spans="1:9" x14ac:dyDescent="0.15">
      <c r="A1975" s="6">
        <v>1974</v>
      </c>
      <c r="B1975" s="7" t="s">
        <v>10</v>
      </c>
      <c r="C1975" s="8">
        <v>1888</v>
      </c>
      <c r="D1975" s="9">
        <v>45432</v>
      </c>
      <c r="E1975" s="13" t="str">
        <f>+HYPERLINK("http://trademark.i-assist.jp/data/china/image_1888th/77144040.pdf","77144040")</f>
        <v>77144040</v>
      </c>
      <c r="F1975" s="7" t="s">
        <v>5500</v>
      </c>
      <c r="G1975" s="7" t="s">
        <v>5501</v>
      </c>
      <c r="H1975" s="7" t="s">
        <v>5502</v>
      </c>
      <c r="I1975" s="9">
        <v>45357</v>
      </c>
    </row>
    <row r="1976" spans="1:9" x14ac:dyDescent="0.15">
      <c r="A1976" s="6">
        <v>1975</v>
      </c>
      <c r="B1976" s="7" t="s">
        <v>10</v>
      </c>
      <c r="C1976" s="8">
        <v>1888</v>
      </c>
      <c r="D1976" s="9">
        <v>45432</v>
      </c>
      <c r="E1976" s="13" t="str">
        <f>+HYPERLINK("http://trademark.i-assist.jp/data/china/image_1888th/77144131.pdf","77144131")</f>
        <v>77144131</v>
      </c>
      <c r="F1976" s="7" t="s">
        <v>5503</v>
      </c>
      <c r="G1976" s="7" t="s">
        <v>5504</v>
      </c>
      <c r="H1976" s="7" t="s">
        <v>5505</v>
      </c>
      <c r="I1976" s="9">
        <v>45357</v>
      </c>
    </row>
    <row r="1977" spans="1:9" x14ac:dyDescent="0.15">
      <c r="A1977" s="6">
        <v>1976</v>
      </c>
      <c r="B1977" s="7" t="s">
        <v>10</v>
      </c>
      <c r="C1977" s="8">
        <v>1888</v>
      </c>
      <c r="D1977" s="9">
        <v>45432</v>
      </c>
      <c r="E1977" s="13" t="str">
        <f>+HYPERLINK("http://trademark.i-assist.jp/data/china/image_1888th/77144210.pdf","77144210")</f>
        <v>77144210</v>
      </c>
      <c r="F1977" s="7" t="s">
        <v>76</v>
      </c>
      <c r="G1977" s="7" t="s">
        <v>5506</v>
      </c>
      <c r="H1977" s="7" t="s">
        <v>5507</v>
      </c>
      <c r="I1977" s="9">
        <v>45357</v>
      </c>
    </row>
    <row r="1978" spans="1:9" x14ac:dyDescent="0.15">
      <c r="A1978" s="6">
        <v>1977</v>
      </c>
      <c r="B1978" s="7" t="s">
        <v>10</v>
      </c>
      <c r="C1978" s="8">
        <v>1888</v>
      </c>
      <c r="D1978" s="9">
        <v>45432</v>
      </c>
      <c r="E1978" s="13" t="str">
        <f>+HYPERLINK("http://trademark.i-assist.jp/data/china/image_1888th/77144228.pdf","77144228")</f>
        <v>77144228</v>
      </c>
      <c r="F1978" s="7" t="s">
        <v>5508</v>
      </c>
      <c r="G1978" s="7" t="s">
        <v>5509</v>
      </c>
      <c r="H1978" s="7" t="s">
        <v>5510</v>
      </c>
      <c r="I1978" s="9">
        <v>45357</v>
      </c>
    </row>
    <row r="1979" spans="1:9" x14ac:dyDescent="0.15">
      <c r="A1979" s="6">
        <v>1978</v>
      </c>
      <c r="B1979" s="7" t="s">
        <v>10</v>
      </c>
      <c r="C1979" s="8">
        <v>1888</v>
      </c>
      <c r="D1979" s="9">
        <v>45432</v>
      </c>
      <c r="E1979" s="13" t="str">
        <f>+HYPERLINK("http://trademark.i-assist.jp/data/china/image_1888th/77144508.pdf","77144508")</f>
        <v>77144508</v>
      </c>
      <c r="F1979" s="7" t="s">
        <v>5511</v>
      </c>
      <c r="G1979" s="7" t="s">
        <v>5512</v>
      </c>
      <c r="H1979" s="7" t="s">
        <v>5513</v>
      </c>
      <c r="I1979" s="9">
        <v>45357</v>
      </c>
    </row>
    <row r="1980" spans="1:9" x14ac:dyDescent="0.15">
      <c r="A1980" s="6">
        <v>1979</v>
      </c>
      <c r="B1980" s="7" t="s">
        <v>10</v>
      </c>
      <c r="C1980" s="8">
        <v>1888</v>
      </c>
      <c r="D1980" s="9">
        <v>45432</v>
      </c>
      <c r="E1980" s="13" t="str">
        <f>+HYPERLINK("http://trademark.i-assist.jp/data/china/image_1888th/77144576.pdf","77144576")</f>
        <v>77144576</v>
      </c>
      <c r="F1980" s="7" t="s">
        <v>5514</v>
      </c>
      <c r="G1980" s="7" t="s">
        <v>5171</v>
      </c>
      <c r="H1980" s="7" t="s">
        <v>5515</v>
      </c>
      <c r="I1980" s="9">
        <v>45357</v>
      </c>
    </row>
    <row r="1981" spans="1:9" x14ac:dyDescent="0.15">
      <c r="A1981" s="6">
        <v>1980</v>
      </c>
      <c r="B1981" s="7" t="s">
        <v>10</v>
      </c>
      <c r="C1981" s="8">
        <v>1888</v>
      </c>
      <c r="D1981" s="9">
        <v>45432</v>
      </c>
      <c r="E1981" s="13" t="str">
        <f>+HYPERLINK("http://trademark.i-assist.jp/data/china/image_1888th/77144596.pdf","77144596")</f>
        <v>77144596</v>
      </c>
      <c r="F1981" s="7" t="s">
        <v>5516</v>
      </c>
      <c r="G1981" s="7" t="s">
        <v>5517</v>
      </c>
      <c r="H1981" s="7" t="s">
        <v>5518</v>
      </c>
      <c r="I1981" s="9">
        <v>45357</v>
      </c>
    </row>
    <row r="1982" spans="1:9" x14ac:dyDescent="0.15">
      <c r="A1982" s="6">
        <v>1981</v>
      </c>
      <c r="B1982" s="7" t="s">
        <v>10</v>
      </c>
      <c r="C1982" s="8">
        <v>1888</v>
      </c>
      <c r="D1982" s="9">
        <v>45432</v>
      </c>
      <c r="E1982" s="13" t="str">
        <f>+HYPERLINK("http://trademark.i-assist.jp/data/china/image_1888th/77144637.pdf","77144637")</f>
        <v>77144637</v>
      </c>
      <c r="F1982" s="7" t="s">
        <v>5519</v>
      </c>
      <c r="G1982" s="7" t="s">
        <v>5520</v>
      </c>
      <c r="H1982" s="7" t="s">
        <v>5521</v>
      </c>
      <c r="I1982" s="9">
        <v>45357</v>
      </c>
    </row>
    <row r="1983" spans="1:9" x14ac:dyDescent="0.15">
      <c r="A1983" s="6">
        <v>1982</v>
      </c>
      <c r="B1983" s="7" t="s">
        <v>10</v>
      </c>
      <c r="C1983" s="8">
        <v>1888</v>
      </c>
      <c r="D1983" s="9">
        <v>45432</v>
      </c>
      <c r="E1983" s="13" t="str">
        <f>+HYPERLINK("http://trademark.i-assist.jp/data/china/image_1888th/77144655.pdf","77144655")</f>
        <v>77144655</v>
      </c>
      <c r="F1983" s="7" t="s">
        <v>5522</v>
      </c>
      <c r="G1983" s="7" t="s">
        <v>5523</v>
      </c>
      <c r="H1983" s="7" t="s">
        <v>5524</v>
      </c>
      <c r="I1983" s="9">
        <v>45357</v>
      </c>
    </row>
    <row r="1984" spans="1:9" x14ac:dyDescent="0.15">
      <c r="A1984" s="6">
        <v>1983</v>
      </c>
      <c r="B1984" s="7" t="s">
        <v>10</v>
      </c>
      <c r="C1984" s="8">
        <v>1888</v>
      </c>
      <c r="D1984" s="9">
        <v>45432</v>
      </c>
      <c r="E1984" s="13" t="str">
        <f>+HYPERLINK("http://trademark.i-assist.jp/data/china/image_1888th/77144966.pdf","77144966")</f>
        <v>77144966</v>
      </c>
      <c r="F1984" s="7" t="s">
        <v>5525</v>
      </c>
      <c r="G1984" s="7" t="s">
        <v>5526</v>
      </c>
      <c r="H1984" s="7" t="s">
        <v>5527</v>
      </c>
      <c r="I1984" s="9">
        <v>45357</v>
      </c>
    </row>
    <row r="1985" spans="1:9" ht="27" x14ac:dyDescent="0.15">
      <c r="A1985" s="6">
        <v>1984</v>
      </c>
      <c r="B1985" s="7" t="s">
        <v>10</v>
      </c>
      <c r="C1985" s="8">
        <v>1888</v>
      </c>
      <c r="D1985" s="9">
        <v>45432</v>
      </c>
      <c r="E1985" s="13" t="str">
        <f>+HYPERLINK("http://trademark.i-assist.jp/data/china/image_1888th/77145099.pdf","77145099")</f>
        <v>77145099</v>
      </c>
      <c r="F1985" s="7" t="s">
        <v>5528</v>
      </c>
      <c r="G1985" s="7" t="s">
        <v>5112</v>
      </c>
      <c r="H1985" s="7" t="s">
        <v>5529</v>
      </c>
      <c r="I1985" s="9">
        <v>45357</v>
      </c>
    </row>
    <row r="1986" spans="1:9" x14ac:dyDescent="0.15">
      <c r="A1986" s="6">
        <v>1985</v>
      </c>
      <c r="B1986" s="7" t="s">
        <v>10</v>
      </c>
      <c r="C1986" s="8">
        <v>1888</v>
      </c>
      <c r="D1986" s="9">
        <v>45432</v>
      </c>
      <c r="E1986" s="13" t="str">
        <f>+HYPERLINK("http://trademark.i-assist.jp/data/china/image_1888th/77145359.pdf","77145359")</f>
        <v>77145359</v>
      </c>
      <c r="F1986" s="7" t="s">
        <v>5530</v>
      </c>
      <c r="G1986" s="7" t="s">
        <v>5141</v>
      </c>
      <c r="H1986" s="7" t="s">
        <v>5531</v>
      </c>
      <c r="I1986" s="9">
        <v>45357</v>
      </c>
    </row>
    <row r="1987" spans="1:9" x14ac:dyDescent="0.15">
      <c r="A1987" s="6">
        <v>1986</v>
      </c>
      <c r="B1987" s="7" t="s">
        <v>10</v>
      </c>
      <c r="C1987" s="8">
        <v>1888</v>
      </c>
      <c r="D1987" s="9">
        <v>45432</v>
      </c>
      <c r="E1987" s="13" t="str">
        <f>+HYPERLINK("http://trademark.i-assist.jp/data/china/image_1888th/77145678.pdf","77145678")</f>
        <v>77145678</v>
      </c>
      <c r="F1987" s="7" t="s">
        <v>5532</v>
      </c>
      <c r="G1987" s="7" t="s">
        <v>5533</v>
      </c>
      <c r="H1987" s="7" t="s">
        <v>5534</v>
      </c>
      <c r="I1987" s="9">
        <v>45357</v>
      </c>
    </row>
    <row r="1988" spans="1:9" x14ac:dyDescent="0.15">
      <c r="A1988" s="6">
        <v>1987</v>
      </c>
      <c r="B1988" s="7" t="s">
        <v>10</v>
      </c>
      <c r="C1988" s="8">
        <v>1888</v>
      </c>
      <c r="D1988" s="9">
        <v>45432</v>
      </c>
      <c r="E1988" s="13" t="str">
        <f>+HYPERLINK("http://trademark.i-assist.jp/data/china/image_1888th/77145957.pdf","77145957")</f>
        <v>77145957</v>
      </c>
      <c r="F1988" s="7" t="s">
        <v>5535</v>
      </c>
      <c r="G1988" s="7" t="s">
        <v>5127</v>
      </c>
      <c r="H1988" s="7" t="s">
        <v>5536</v>
      </c>
      <c r="I1988" s="9">
        <v>45357</v>
      </c>
    </row>
    <row r="1989" spans="1:9" ht="27" x14ac:dyDescent="0.15">
      <c r="A1989" s="6">
        <v>1988</v>
      </c>
      <c r="B1989" s="7" t="s">
        <v>10</v>
      </c>
      <c r="C1989" s="8">
        <v>1888</v>
      </c>
      <c r="D1989" s="9">
        <v>45432</v>
      </c>
      <c r="E1989" s="13" t="str">
        <f>+HYPERLINK("http://trademark.i-assist.jp/data/china/image_1888th/77146058.pdf","77146058")</f>
        <v>77146058</v>
      </c>
      <c r="F1989" s="7" t="s">
        <v>5537</v>
      </c>
      <c r="G1989" s="7" t="s">
        <v>5538</v>
      </c>
      <c r="H1989" s="7" t="s">
        <v>5539</v>
      </c>
      <c r="I1989" s="9">
        <v>45357</v>
      </c>
    </row>
    <row r="1990" spans="1:9" x14ac:dyDescent="0.15">
      <c r="A1990" s="6">
        <v>1989</v>
      </c>
      <c r="B1990" s="7" t="s">
        <v>10</v>
      </c>
      <c r="C1990" s="8">
        <v>1888</v>
      </c>
      <c r="D1990" s="9">
        <v>45432</v>
      </c>
      <c r="E1990" s="13" t="str">
        <f>+HYPERLINK("http://trademark.i-assist.jp/data/china/image_1888th/77146223.pdf","77146223")</f>
        <v>77146223</v>
      </c>
      <c r="F1990" s="7" t="s">
        <v>5540</v>
      </c>
      <c r="G1990" s="7" t="s">
        <v>5541</v>
      </c>
      <c r="H1990" s="7" t="s">
        <v>5542</v>
      </c>
      <c r="I1990" s="9">
        <v>45357</v>
      </c>
    </row>
    <row r="1991" spans="1:9" x14ac:dyDescent="0.15">
      <c r="A1991" s="6">
        <v>1990</v>
      </c>
      <c r="B1991" s="7" t="s">
        <v>10</v>
      </c>
      <c r="C1991" s="8">
        <v>1888</v>
      </c>
      <c r="D1991" s="9">
        <v>45432</v>
      </c>
      <c r="E1991" s="13" t="str">
        <f>+HYPERLINK("http://trademark.i-assist.jp/data/china/image_1888th/77146279.pdf","77146279")</f>
        <v>77146279</v>
      </c>
      <c r="F1991" s="7" t="s">
        <v>5543</v>
      </c>
      <c r="G1991" s="7" t="s">
        <v>5544</v>
      </c>
      <c r="H1991" s="7" t="s">
        <v>5545</v>
      </c>
      <c r="I1991" s="9">
        <v>45357</v>
      </c>
    </row>
    <row r="1992" spans="1:9" x14ac:dyDescent="0.15">
      <c r="A1992" s="6">
        <v>1991</v>
      </c>
      <c r="B1992" s="7" t="s">
        <v>10</v>
      </c>
      <c r="C1992" s="8">
        <v>1888</v>
      </c>
      <c r="D1992" s="9">
        <v>45432</v>
      </c>
      <c r="E1992" s="13" t="str">
        <f>+HYPERLINK("http://trademark.i-assist.jp/data/china/image_1888th/77146303.pdf","77146303")</f>
        <v>77146303</v>
      </c>
      <c r="F1992" s="7" t="s">
        <v>5546</v>
      </c>
      <c r="G1992" s="7" t="s">
        <v>5547</v>
      </c>
      <c r="H1992" s="7" t="s">
        <v>5548</v>
      </c>
      <c r="I1992" s="9">
        <v>45357</v>
      </c>
    </row>
    <row r="1993" spans="1:9" x14ac:dyDescent="0.15">
      <c r="A1993" s="6">
        <v>1992</v>
      </c>
      <c r="B1993" s="7" t="s">
        <v>10</v>
      </c>
      <c r="C1993" s="8">
        <v>1888</v>
      </c>
      <c r="D1993" s="9">
        <v>45432</v>
      </c>
      <c r="E1993" s="13" t="str">
        <f>+HYPERLINK("http://trademark.i-assist.jp/data/china/image_1888th/77146370.pdf","77146370")</f>
        <v>77146370</v>
      </c>
      <c r="F1993" s="7" t="s">
        <v>5549</v>
      </c>
      <c r="G1993" s="7" t="s">
        <v>5124</v>
      </c>
      <c r="H1993" s="7" t="s">
        <v>5550</v>
      </c>
      <c r="I1993" s="9">
        <v>45357</v>
      </c>
    </row>
    <row r="1994" spans="1:9" x14ac:dyDescent="0.15">
      <c r="A1994" s="6">
        <v>1993</v>
      </c>
      <c r="B1994" s="7" t="s">
        <v>10</v>
      </c>
      <c r="C1994" s="8">
        <v>1888</v>
      </c>
      <c r="D1994" s="9">
        <v>45432</v>
      </c>
      <c r="E1994" s="13" t="str">
        <f>+HYPERLINK("http://trademark.i-assist.jp/data/china/image_1888th/77147030.pdf","77147030")</f>
        <v>77147030</v>
      </c>
      <c r="F1994" s="7" t="s">
        <v>5551</v>
      </c>
      <c r="G1994" s="7" t="s">
        <v>5552</v>
      </c>
      <c r="H1994" s="7" t="s">
        <v>5553</v>
      </c>
      <c r="I1994" s="9">
        <v>45357</v>
      </c>
    </row>
    <row r="1995" spans="1:9" x14ac:dyDescent="0.15">
      <c r="A1995" s="6">
        <v>1994</v>
      </c>
      <c r="B1995" s="7" t="s">
        <v>10</v>
      </c>
      <c r="C1995" s="8">
        <v>1888</v>
      </c>
      <c r="D1995" s="9">
        <v>45432</v>
      </c>
      <c r="E1995" s="13" t="str">
        <f>+HYPERLINK("http://trademark.i-assist.jp/data/china/image_1888th/77147053.pdf","77147053")</f>
        <v>77147053</v>
      </c>
      <c r="F1995" s="7" t="s">
        <v>5554</v>
      </c>
      <c r="G1995" s="7" t="s">
        <v>5555</v>
      </c>
      <c r="H1995" s="7" t="s">
        <v>5556</v>
      </c>
      <c r="I1995" s="9">
        <v>45357</v>
      </c>
    </row>
    <row r="1996" spans="1:9" x14ac:dyDescent="0.15">
      <c r="A1996" s="6">
        <v>1995</v>
      </c>
      <c r="B1996" s="7" t="s">
        <v>10</v>
      </c>
      <c r="C1996" s="8">
        <v>1888</v>
      </c>
      <c r="D1996" s="9">
        <v>45432</v>
      </c>
      <c r="E1996" s="13" t="str">
        <f>+HYPERLINK("http://trademark.i-assist.jp/data/china/image_1888th/77147093.pdf","77147093")</f>
        <v>77147093</v>
      </c>
      <c r="F1996" s="7" t="s">
        <v>5557</v>
      </c>
      <c r="G1996" s="7" t="s">
        <v>5558</v>
      </c>
      <c r="H1996" s="7" t="s">
        <v>5559</v>
      </c>
      <c r="I1996" s="9">
        <v>45357</v>
      </c>
    </row>
    <row r="1997" spans="1:9" x14ac:dyDescent="0.15">
      <c r="A1997" s="6">
        <v>1996</v>
      </c>
      <c r="B1997" s="7" t="s">
        <v>10</v>
      </c>
      <c r="C1997" s="8">
        <v>1888</v>
      </c>
      <c r="D1997" s="9">
        <v>45432</v>
      </c>
      <c r="E1997" s="13" t="str">
        <f>+HYPERLINK("http://trademark.i-assist.jp/data/china/image_1888th/77147376.pdf","77147376")</f>
        <v>77147376</v>
      </c>
      <c r="F1997" s="7" t="s">
        <v>5560</v>
      </c>
      <c r="G1997" s="7" t="s">
        <v>5109</v>
      </c>
      <c r="H1997" s="7" t="s">
        <v>5561</v>
      </c>
      <c r="I1997" s="9">
        <v>45357</v>
      </c>
    </row>
    <row r="1998" spans="1:9" x14ac:dyDescent="0.15">
      <c r="A1998" s="6">
        <v>1997</v>
      </c>
      <c r="B1998" s="7" t="s">
        <v>10</v>
      </c>
      <c r="C1998" s="8">
        <v>1888</v>
      </c>
      <c r="D1998" s="9">
        <v>45432</v>
      </c>
      <c r="E1998" s="13" t="str">
        <f>+HYPERLINK("http://trademark.i-assist.jp/data/china/image_1888th/77147584.pdf","77147584")</f>
        <v>77147584</v>
      </c>
      <c r="F1998" s="7" t="s">
        <v>5562</v>
      </c>
      <c r="G1998" s="7" t="s">
        <v>5563</v>
      </c>
      <c r="H1998" s="7" t="s">
        <v>5564</v>
      </c>
      <c r="I1998" s="9">
        <v>45357</v>
      </c>
    </row>
    <row r="1999" spans="1:9" x14ac:dyDescent="0.15">
      <c r="A1999" s="6">
        <v>1998</v>
      </c>
      <c r="B1999" s="7" t="s">
        <v>10</v>
      </c>
      <c r="C1999" s="8">
        <v>1888</v>
      </c>
      <c r="D1999" s="9">
        <v>45432</v>
      </c>
      <c r="E1999" s="13" t="str">
        <f>+HYPERLINK("http://trademark.i-assist.jp/data/china/image_1888th/77147798.pdf","77147798")</f>
        <v>77147798</v>
      </c>
      <c r="F1999" s="7" t="s">
        <v>5565</v>
      </c>
      <c r="G1999" s="7" t="s">
        <v>5547</v>
      </c>
      <c r="H1999" s="7" t="s">
        <v>5566</v>
      </c>
      <c r="I1999" s="9">
        <v>45357</v>
      </c>
    </row>
    <row r="2000" spans="1:9" x14ac:dyDescent="0.15">
      <c r="A2000" s="6">
        <v>1999</v>
      </c>
      <c r="B2000" s="7" t="s">
        <v>10</v>
      </c>
      <c r="C2000" s="8">
        <v>1888</v>
      </c>
      <c r="D2000" s="9">
        <v>45432</v>
      </c>
      <c r="E2000" s="13" t="str">
        <f>+HYPERLINK("http://trademark.i-assist.jp/data/china/image_1888th/77147845.pdf","77147845")</f>
        <v>77147845</v>
      </c>
      <c r="F2000" s="7" t="s">
        <v>5567</v>
      </c>
      <c r="G2000" s="7" t="s">
        <v>5568</v>
      </c>
      <c r="H2000" s="7" t="s">
        <v>5569</v>
      </c>
      <c r="I2000" s="9">
        <v>45357</v>
      </c>
    </row>
    <row r="2001" spans="1:9" x14ac:dyDescent="0.15">
      <c r="A2001" s="6">
        <v>2000</v>
      </c>
      <c r="B2001" s="7" t="s">
        <v>10</v>
      </c>
      <c r="C2001" s="8">
        <v>1888</v>
      </c>
      <c r="D2001" s="9">
        <v>45432</v>
      </c>
      <c r="E2001" s="13" t="str">
        <f>+HYPERLINK("http://trademark.i-assist.jp/data/china/image_1888th/77148720.pdf","77148720")</f>
        <v>77148720</v>
      </c>
      <c r="F2001" s="7" t="s">
        <v>5570</v>
      </c>
      <c r="G2001" s="7" t="s">
        <v>5571</v>
      </c>
      <c r="H2001" s="7" t="s">
        <v>5572</v>
      </c>
      <c r="I2001" s="9">
        <v>45358</v>
      </c>
    </row>
    <row r="2002" spans="1:9" x14ac:dyDescent="0.15">
      <c r="A2002" s="6">
        <v>2001</v>
      </c>
      <c r="B2002" s="7" t="s">
        <v>10</v>
      </c>
      <c r="C2002" s="8">
        <v>1888</v>
      </c>
      <c r="D2002" s="9">
        <v>45432</v>
      </c>
      <c r="E2002" s="13" t="str">
        <f>+HYPERLINK("http://trademark.i-assist.jp/data/china/image_1888th/77148904.pdf","77148904")</f>
        <v>77148904</v>
      </c>
      <c r="F2002" s="7" t="s">
        <v>5573</v>
      </c>
      <c r="G2002" s="7" t="s">
        <v>5574</v>
      </c>
      <c r="H2002" s="7" t="s">
        <v>5575</v>
      </c>
      <c r="I2002" s="9">
        <v>45358</v>
      </c>
    </row>
    <row r="2003" spans="1:9" x14ac:dyDescent="0.15">
      <c r="A2003" s="6">
        <v>2002</v>
      </c>
      <c r="B2003" s="7" t="s">
        <v>10</v>
      </c>
      <c r="C2003" s="8">
        <v>1888</v>
      </c>
      <c r="D2003" s="9">
        <v>45432</v>
      </c>
      <c r="E2003" s="13" t="str">
        <f>+HYPERLINK("http://trademark.i-assist.jp/data/china/image_1888th/77149422.pdf","77149422")</f>
        <v>77149422</v>
      </c>
      <c r="F2003" s="7" t="s">
        <v>5576</v>
      </c>
      <c r="G2003" s="7" t="s">
        <v>5577</v>
      </c>
      <c r="H2003" s="7" t="s">
        <v>5578</v>
      </c>
      <c r="I2003" s="9">
        <v>45358</v>
      </c>
    </row>
    <row r="2004" spans="1:9" x14ac:dyDescent="0.15">
      <c r="A2004" s="6">
        <v>2003</v>
      </c>
      <c r="B2004" s="7" t="s">
        <v>10</v>
      </c>
      <c r="C2004" s="8">
        <v>1888</v>
      </c>
      <c r="D2004" s="9">
        <v>45432</v>
      </c>
      <c r="E2004" s="13" t="str">
        <f>+HYPERLINK("http://trademark.i-assist.jp/data/china/image_1888th/77150040.pdf","77150040")</f>
        <v>77150040</v>
      </c>
      <c r="F2004" s="7" t="s">
        <v>5579</v>
      </c>
      <c r="G2004" s="7" t="s">
        <v>5580</v>
      </c>
      <c r="H2004" s="7" t="s">
        <v>5581</v>
      </c>
      <c r="I2004" s="9">
        <v>45358</v>
      </c>
    </row>
    <row r="2005" spans="1:9" x14ac:dyDescent="0.15">
      <c r="A2005" s="6">
        <v>2004</v>
      </c>
      <c r="B2005" s="7" t="s">
        <v>10</v>
      </c>
      <c r="C2005" s="8">
        <v>1888</v>
      </c>
      <c r="D2005" s="9">
        <v>45432</v>
      </c>
      <c r="E2005" s="13" t="str">
        <f>+HYPERLINK("http://trademark.i-assist.jp/data/china/image_1888th/77150186.pdf","77150186")</f>
        <v>77150186</v>
      </c>
      <c r="F2005" s="7" t="s">
        <v>5582</v>
      </c>
      <c r="G2005" s="7" t="s">
        <v>5583</v>
      </c>
      <c r="H2005" s="7" t="s">
        <v>5584</v>
      </c>
      <c r="I2005" s="9">
        <v>45358</v>
      </c>
    </row>
    <row r="2006" spans="1:9" x14ac:dyDescent="0.15">
      <c r="A2006" s="6">
        <v>2005</v>
      </c>
      <c r="B2006" s="7" t="s">
        <v>10</v>
      </c>
      <c r="C2006" s="8">
        <v>1888</v>
      </c>
      <c r="D2006" s="9">
        <v>45432</v>
      </c>
      <c r="E2006" s="13" t="str">
        <f>+HYPERLINK("http://trademark.i-assist.jp/data/china/image_1888th/77150473.pdf","77150473")</f>
        <v>77150473</v>
      </c>
      <c r="F2006" s="7" t="s">
        <v>5585</v>
      </c>
      <c r="G2006" s="7" t="s">
        <v>5586</v>
      </c>
      <c r="H2006" s="7" t="s">
        <v>5587</v>
      </c>
      <c r="I2006" s="9">
        <v>45358</v>
      </c>
    </row>
    <row r="2007" spans="1:9" x14ac:dyDescent="0.15">
      <c r="A2007" s="6">
        <v>2006</v>
      </c>
      <c r="B2007" s="7" t="s">
        <v>10</v>
      </c>
      <c r="C2007" s="8">
        <v>1888</v>
      </c>
      <c r="D2007" s="9">
        <v>45432</v>
      </c>
      <c r="E2007" s="13" t="str">
        <f>+HYPERLINK("http://trademark.i-assist.jp/data/china/image_1888th/77150587.pdf","77150587")</f>
        <v>77150587</v>
      </c>
      <c r="F2007" s="7" t="s">
        <v>5588</v>
      </c>
      <c r="G2007" s="7" t="s">
        <v>5589</v>
      </c>
      <c r="H2007" s="7" t="s">
        <v>5590</v>
      </c>
      <c r="I2007" s="9">
        <v>45358</v>
      </c>
    </row>
    <row r="2008" spans="1:9" x14ac:dyDescent="0.15">
      <c r="A2008" s="6">
        <v>2007</v>
      </c>
      <c r="B2008" s="7" t="s">
        <v>10</v>
      </c>
      <c r="C2008" s="8">
        <v>1888</v>
      </c>
      <c r="D2008" s="9">
        <v>45432</v>
      </c>
      <c r="E2008" s="13" t="str">
        <f>+HYPERLINK("http://trademark.i-assist.jp/data/china/image_1888th/77150893.pdf","77150893")</f>
        <v>77150893</v>
      </c>
      <c r="F2008" s="7" t="s">
        <v>5591</v>
      </c>
      <c r="G2008" s="7" t="s">
        <v>5592</v>
      </c>
      <c r="H2008" s="7" t="s">
        <v>5593</v>
      </c>
      <c r="I2008" s="9">
        <v>45358</v>
      </c>
    </row>
    <row r="2009" spans="1:9" x14ac:dyDescent="0.15">
      <c r="A2009" s="6">
        <v>2008</v>
      </c>
      <c r="B2009" s="7" t="s">
        <v>10</v>
      </c>
      <c r="C2009" s="8">
        <v>1888</v>
      </c>
      <c r="D2009" s="9">
        <v>45432</v>
      </c>
      <c r="E2009" s="13" t="str">
        <f>+HYPERLINK("http://trademark.i-assist.jp/data/china/image_1888th/77151034.pdf","77151034")</f>
        <v>77151034</v>
      </c>
      <c r="F2009" s="7" t="s">
        <v>5594</v>
      </c>
      <c r="G2009" s="7" t="s">
        <v>5595</v>
      </c>
      <c r="H2009" s="7" t="s">
        <v>5596</v>
      </c>
      <c r="I2009" s="9">
        <v>45358</v>
      </c>
    </row>
    <row r="2010" spans="1:9" x14ac:dyDescent="0.15">
      <c r="A2010" s="6">
        <v>2009</v>
      </c>
      <c r="B2010" s="7" t="s">
        <v>10</v>
      </c>
      <c r="C2010" s="8">
        <v>1888</v>
      </c>
      <c r="D2010" s="9">
        <v>45432</v>
      </c>
      <c r="E2010" s="13" t="str">
        <f>+HYPERLINK("http://trademark.i-assist.jp/data/china/image_1888th/77151084.pdf","77151084")</f>
        <v>77151084</v>
      </c>
      <c r="F2010" s="7" t="s">
        <v>5597</v>
      </c>
      <c r="G2010" s="7" t="s">
        <v>5598</v>
      </c>
      <c r="H2010" s="7" t="s">
        <v>5599</v>
      </c>
      <c r="I2010" s="9">
        <v>45358</v>
      </c>
    </row>
    <row r="2011" spans="1:9" ht="27" x14ac:dyDescent="0.15">
      <c r="A2011" s="6">
        <v>2010</v>
      </c>
      <c r="B2011" s="7" t="s">
        <v>10</v>
      </c>
      <c r="C2011" s="8">
        <v>1888</v>
      </c>
      <c r="D2011" s="9">
        <v>45432</v>
      </c>
      <c r="E2011" s="13" t="str">
        <f>+HYPERLINK("http://trademark.i-assist.jp/data/china/image_1888th/77151113.pdf","77151113")</f>
        <v>77151113</v>
      </c>
      <c r="F2011" s="7" t="s">
        <v>5600</v>
      </c>
      <c r="G2011" s="7" t="s">
        <v>5601</v>
      </c>
      <c r="H2011" s="7" t="s">
        <v>5602</v>
      </c>
      <c r="I2011" s="9">
        <v>45358</v>
      </c>
    </row>
    <row r="2012" spans="1:9" x14ac:dyDescent="0.15">
      <c r="A2012" s="6">
        <v>2011</v>
      </c>
      <c r="B2012" s="7" t="s">
        <v>10</v>
      </c>
      <c r="C2012" s="8">
        <v>1888</v>
      </c>
      <c r="D2012" s="9">
        <v>45432</v>
      </c>
      <c r="E2012" s="13" t="str">
        <f>+HYPERLINK("http://trademark.i-assist.jp/data/china/image_1888th/77151199.pdf","77151199")</f>
        <v>77151199</v>
      </c>
      <c r="F2012" s="7" t="s">
        <v>5603</v>
      </c>
      <c r="G2012" s="7" t="s">
        <v>5604</v>
      </c>
      <c r="H2012" s="7" t="s">
        <v>5605</v>
      </c>
      <c r="I2012" s="9">
        <v>45358</v>
      </c>
    </row>
    <row r="2013" spans="1:9" ht="27" x14ac:dyDescent="0.15">
      <c r="A2013" s="6">
        <v>2012</v>
      </c>
      <c r="B2013" s="7" t="s">
        <v>10</v>
      </c>
      <c r="C2013" s="8">
        <v>1888</v>
      </c>
      <c r="D2013" s="9">
        <v>45432</v>
      </c>
      <c r="E2013" s="13" t="str">
        <f>+HYPERLINK("http://trademark.i-assist.jp/data/china/image_1888th/77151255.pdf","77151255")</f>
        <v>77151255</v>
      </c>
      <c r="F2013" s="7" t="s">
        <v>5606</v>
      </c>
      <c r="G2013" s="7" t="s">
        <v>5607</v>
      </c>
      <c r="H2013" s="7" t="s">
        <v>5608</v>
      </c>
      <c r="I2013" s="9">
        <v>45358</v>
      </c>
    </row>
    <row r="2014" spans="1:9" x14ac:dyDescent="0.15">
      <c r="A2014" s="6">
        <v>2013</v>
      </c>
      <c r="B2014" s="7" t="s">
        <v>10</v>
      </c>
      <c r="C2014" s="8">
        <v>1888</v>
      </c>
      <c r="D2014" s="9">
        <v>45432</v>
      </c>
      <c r="E2014" s="13" t="str">
        <f>+HYPERLINK("http://trademark.i-assist.jp/data/china/image_1888th/77151264.pdf","77151264")</f>
        <v>77151264</v>
      </c>
      <c r="F2014" s="7" t="s">
        <v>5609</v>
      </c>
      <c r="G2014" s="7" t="s">
        <v>5610</v>
      </c>
      <c r="H2014" s="7" t="s">
        <v>5611</v>
      </c>
      <c r="I2014" s="9">
        <v>45358</v>
      </c>
    </row>
    <row r="2015" spans="1:9" x14ac:dyDescent="0.15">
      <c r="A2015" s="6">
        <v>2014</v>
      </c>
      <c r="B2015" s="7" t="s">
        <v>10</v>
      </c>
      <c r="C2015" s="8">
        <v>1888</v>
      </c>
      <c r="D2015" s="9">
        <v>45432</v>
      </c>
      <c r="E2015" s="13" t="str">
        <f>+HYPERLINK("http://trademark.i-assist.jp/data/china/image_1888th/77151346.pdf","77151346")</f>
        <v>77151346</v>
      </c>
      <c r="F2015" s="7" t="s">
        <v>5612</v>
      </c>
      <c r="G2015" s="7" t="s">
        <v>5613</v>
      </c>
      <c r="H2015" s="7" t="s">
        <v>5614</v>
      </c>
      <c r="I2015" s="9">
        <v>45358</v>
      </c>
    </row>
    <row r="2016" spans="1:9" ht="27" x14ac:dyDescent="0.15">
      <c r="A2016" s="6">
        <v>2015</v>
      </c>
      <c r="B2016" s="7" t="s">
        <v>10</v>
      </c>
      <c r="C2016" s="8">
        <v>1888</v>
      </c>
      <c r="D2016" s="9">
        <v>45432</v>
      </c>
      <c r="E2016" s="13" t="str">
        <f>+HYPERLINK("http://trademark.i-assist.jp/data/china/image_1888th/77151869.pdf","77151869")</f>
        <v>77151869</v>
      </c>
      <c r="F2016" s="7" t="s">
        <v>5615</v>
      </c>
      <c r="G2016" s="7" t="s">
        <v>5601</v>
      </c>
      <c r="H2016" s="7" t="s">
        <v>5616</v>
      </c>
      <c r="I2016" s="9">
        <v>45358</v>
      </c>
    </row>
    <row r="2017" spans="1:9" ht="27" x14ac:dyDescent="0.15">
      <c r="A2017" s="6">
        <v>2016</v>
      </c>
      <c r="B2017" s="7" t="s">
        <v>10</v>
      </c>
      <c r="C2017" s="8">
        <v>1888</v>
      </c>
      <c r="D2017" s="9">
        <v>45432</v>
      </c>
      <c r="E2017" s="13" t="str">
        <f>+HYPERLINK("http://trademark.i-assist.jp/data/china/image_1888th/77151903.pdf","77151903")</f>
        <v>77151903</v>
      </c>
      <c r="F2017" s="7" t="s">
        <v>5617</v>
      </c>
      <c r="G2017" s="7" t="s">
        <v>5618</v>
      </c>
      <c r="H2017" s="7" t="s">
        <v>5619</v>
      </c>
      <c r="I2017" s="9">
        <v>45358</v>
      </c>
    </row>
    <row r="2018" spans="1:9" x14ac:dyDescent="0.15">
      <c r="A2018" s="6">
        <v>2017</v>
      </c>
      <c r="B2018" s="7" t="s">
        <v>10</v>
      </c>
      <c r="C2018" s="8">
        <v>1888</v>
      </c>
      <c r="D2018" s="9">
        <v>45432</v>
      </c>
      <c r="E2018" s="13" t="str">
        <f>+HYPERLINK("http://trademark.i-assist.jp/data/china/image_1888th/77152143.pdf","77152143")</f>
        <v>77152143</v>
      </c>
      <c r="F2018" s="7" t="s">
        <v>5620</v>
      </c>
      <c r="G2018" s="7" t="s">
        <v>5621</v>
      </c>
      <c r="H2018" s="7" t="s">
        <v>5622</v>
      </c>
      <c r="I2018" s="9">
        <v>45358</v>
      </c>
    </row>
    <row r="2019" spans="1:9" x14ac:dyDescent="0.15">
      <c r="A2019" s="6">
        <v>2018</v>
      </c>
      <c r="B2019" s="7" t="s">
        <v>10</v>
      </c>
      <c r="C2019" s="8">
        <v>1888</v>
      </c>
      <c r="D2019" s="9">
        <v>45432</v>
      </c>
      <c r="E2019" s="13" t="str">
        <f>+HYPERLINK("http://trademark.i-assist.jp/data/china/image_1888th/77152192.pdf","77152192")</f>
        <v>77152192</v>
      </c>
      <c r="F2019" s="7" t="s">
        <v>76</v>
      </c>
      <c r="G2019" s="7" t="s">
        <v>5623</v>
      </c>
      <c r="H2019" s="7" t="s">
        <v>5624</v>
      </c>
      <c r="I2019" s="9">
        <v>45358</v>
      </c>
    </row>
    <row r="2020" spans="1:9" ht="27" x14ac:dyDescent="0.15">
      <c r="A2020" s="6">
        <v>2019</v>
      </c>
      <c r="B2020" s="7" t="s">
        <v>10</v>
      </c>
      <c r="C2020" s="8">
        <v>1888</v>
      </c>
      <c r="D2020" s="9">
        <v>45432</v>
      </c>
      <c r="E2020" s="13" t="str">
        <f>+HYPERLINK("http://trademark.i-assist.jp/data/china/image_1888th/77152380.pdf","77152380")</f>
        <v>77152380</v>
      </c>
      <c r="F2020" s="7" t="s">
        <v>5625</v>
      </c>
      <c r="G2020" s="7" t="s">
        <v>5626</v>
      </c>
      <c r="H2020" s="7" t="s">
        <v>5627</v>
      </c>
      <c r="I2020" s="9">
        <v>45358</v>
      </c>
    </row>
    <row r="2021" spans="1:9" x14ac:dyDescent="0.15">
      <c r="A2021" s="6">
        <v>2020</v>
      </c>
      <c r="B2021" s="7" t="s">
        <v>10</v>
      </c>
      <c r="C2021" s="8">
        <v>1888</v>
      </c>
      <c r="D2021" s="9">
        <v>45432</v>
      </c>
      <c r="E2021" s="13" t="str">
        <f>+HYPERLINK("http://trademark.i-assist.jp/data/china/image_1888th/77152520.pdf","77152520")</f>
        <v>77152520</v>
      </c>
      <c r="F2021" s="7" t="s">
        <v>5628</v>
      </c>
      <c r="G2021" s="7" t="s">
        <v>5629</v>
      </c>
      <c r="H2021" s="7" t="s">
        <v>5630</v>
      </c>
      <c r="I2021" s="9">
        <v>45358</v>
      </c>
    </row>
    <row r="2022" spans="1:9" x14ac:dyDescent="0.15">
      <c r="A2022" s="6">
        <v>2021</v>
      </c>
      <c r="B2022" s="7" t="s">
        <v>10</v>
      </c>
      <c r="C2022" s="8">
        <v>1888</v>
      </c>
      <c r="D2022" s="9">
        <v>45432</v>
      </c>
      <c r="E2022" s="13" t="str">
        <f>+HYPERLINK("http://trademark.i-assist.jp/data/china/image_1888th/77153040.pdf","77153040")</f>
        <v>77153040</v>
      </c>
      <c r="F2022" s="7" t="s">
        <v>5631</v>
      </c>
      <c r="G2022" s="7" t="s">
        <v>5632</v>
      </c>
      <c r="H2022" s="7" t="s">
        <v>5633</v>
      </c>
      <c r="I2022" s="9">
        <v>45358</v>
      </c>
    </row>
    <row r="2023" spans="1:9" x14ac:dyDescent="0.15">
      <c r="A2023" s="6">
        <v>2022</v>
      </c>
      <c r="B2023" s="7" t="s">
        <v>10</v>
      </c>
      <c r="C2023" s="8">
        <v>1888</v>
      </c>
      <c r="D2023" s="9">
        <v>45432</v>
      </c>
      <c r="E2023" s="13" t="str">
        <f>+HYPERLINK("http://trademark.i-assist.jp/data/china/image_1888th/77153067.pdf","77153067")</f>
        <v>77153067</v>
      </c>
      <c r="F2023" s="7" t="s">
        <v>5634</v>
      </c>
      <c r="G2023" s="7" t="s">
        <v>5635</v>
      </c>
      <c r="H2023" s="7" t="s">
        <v>5636</v>
      </c>
      <c r="I2023" s="9">
        <v>45358</v>
      </c>
    </row>
    <row r="2024" spans="1:9" ht="27" x14ac:dyDescent="0.15">
      <c r="A2024" s="6">
        <v>2023</v>
      </c>
      <c r="B2024" s="7" t="s">
        <v>10</v>
      </c>
      <c r="C2024" s="8">
        <v>1888</v>
      </c>
      <c r="D2024" s="9">
        <v>45432</v>
      </c>
      <c r="E2024" s="13" t="str">
        <f>+HYPERLINK("http://trademark.i-assist.jp/data/china/image_1888th/77153343.pdf","77153343")</f>
        <v>77153343</v>
      </c>
      <c r="F2024" s="7" t="s">
        <v>5637</v>
      </c>
      <c r="G2024" s="7" t="s">
        <v>5638</v>
      </c>
      <c r="H2024" s="7" t="s">
        <v>5639</v>
      </c>
      <c r="I2024" s="9">
        <v>45358</v>
      </c>
    </row>
    <row r="2025" spans="1:9" ht="27" x14ac:dyDescent="0.15">
      <c r="A2025" s="6">
        <v>2024</v>
      </c>
      <c r="B2025" s="7" t="s">
        <v>10</v>
      </c>
      <c r="C2025" s="8">
        <v>1888</v>
      </c>
      <c r="D2025" s="9">
        <v>45432</v>
      </c>
      <c r="E2025" s="13" t="str">
        <f>+HYPERLINK("http://trademark.i-assist.jp/data/china/image_1888th/77153346.pdf","77153346")</f>
        <v>77153346</v>
      </c>
      <c r="F2025" s="7" t="s">
        <v>5640</v>
      </c>
      <c r="G2025" s="7" t="s">
        <v>5638</v>
      </c>
      <c r="H2025" s="7" t="s">
        <v>5641</v>
      </c>
      <c r="I2025" s="9">
        <v>45358</v>
      </c>
    </row>
    <row r="2026" spans="1:9" x14ac:dyDescent="0.15">
      <c r="A2026" s="6">
        <v>2025</v>
      </c>
      <c r="B2026" s="7" t="s">
        <v>10</v>
      </c>
      <c r="C2026" s="8">
        <v>1888</v>
      </c>
      <c r="D2026" s="9">
        <v>45432</v>
      </c>
      <c r="E2026" s="13" t="str">
        <f>+HYPERLINK("http://trademark.i-assist.jp/data/china/image_1888th/77153362.pdf","77153362")</f>
        <v>77153362</v>
      </c>
      <c r="F2026" s="7" t="s">
        <v>5642</v>
      </c>
      <c r="G2026" s="7" t="s">
        <v>5643</v>
      </c>
      <c r="H2026" s="7" t="s">
        <v>5644</v>
      </c>
      <c r="I2026" s="9">
        <v>45358</v>
      </c>
    </row>
    <row r="2027" spans="1:9" ht="27" x14ac:dyDescent="0.15">
      <c r="A2027" s="6">
        <v>2026</v>
      </c>
      <c r="B2027" s="7" t="s">
        <v>10</v>
      </c>
      <c r="C2027" s="8">
        <v>1888</v>
      </c>
      <c r="D2027" s="9">
        <v>45432</v>
      </c>
      <c r="E2027" s="13" t="str">
        <f>+HYPERLINK("http://trademark.i-assist.jp/data/china/image_1888th/77153406.pdf","77153406")</f>
        <v>77153406</v>
      </c>
      <c r="F2027" s="7" t="s">
        <v>5645</v>
      </c>
      <c r="G2027" s="7" t="s">
        <v>5646</v>
      </c>
      <c r="H2027" s="7" t="s">
        <v>5647</v>
      </c>
      <c r="I2027" s="9">
        <v>45358</v>
      </c>
    </row>
    <row r="2028" spans="1:9" x14ac:dyDescent="0.15">
      <c r="A2028" s="6">
        <v>2027</v>
      </c>
      <c r="B2028" s="7" t="s">
        <v>10</v>
      </c>
      <c r="C2028" s="8">
        <v>1888</v>
      </c>
      <c r="D2028" s="9">
        <v>45432</v>
      </c>
      <c r="E2028" s="13" t="str">
        <f>+HYPERLINK("http://trademark.i-assist.jp/data/china/image_1888th/77153958.pdf","77153958")</f>
        <v>77153958</v>
      </c>
      <c r="F2028" s="7" t="s">
        <v>5648</v>
      </c>
      <c r="G2028" s="7" t="s">
        <v>5649</v>
      </c>
      <c r="H2028" s="7" t="s">
        <v>5650</v>
      </c>
      <c r="I2028" s="9">
        <v>45358</v>
      </c>
    </row>
    <row r="2029" spans="1:9" x14ac:dyDescent="0.15">
      <c r="A2029" s="6">
        <v>2028</v>
      </c>
      <c r="B2029" s="7" t="s">
        <v>10</v>
      </c>
      <c r="C2029" s="8">
        <v>1888</v>
      </c>
      <c r="D2029" s="9">
        <v>45432</v>
      </c>
      <c r="E2029" s="13" t="str">
        <f>+HYPERLINK("http://trademark.i-assist.jp/data/china/image_1888th/77154112.pdf","77154112")</f>
        <v>77154112</v>
      </c>
      <c r="F2029" s="7" t="s">
        <v>5651</v>
      </c>
      <c r="G2029" s="7" t="s">
        <v>5652</v>
      </c>
      <c r="H2029" s="7" t="s">
        <v>5653</v>
      </c>
      <c r="I2029" s="9">
        <v>45358</v>
      </c>
    </row>
    <row r="2030" spans="1:9" x14ac:dyDescent="0.15">
      <c r="A2030" s="6">
        <v>2029</v>
      </c>
      <c r="B2030" s="7" t="s">
        <v>10</v>
      </c>
      <c r="C2030" s="8">
        <v>1888</v>
      </c>
      <c r="D2030" s="9">
        <v>45432</v>
      </c>
      <c r="E2030" s="13" t="str">
        <f>+HYPERLINK("http://trademark.i-assist.jp/data/china/image_1888th/77154125.pdf","77154125")</f>
        <v>77154125</v>
      </c>
      <c r="F2030" s="7" t="s">
        <v>5654</v>
      </c>
      <c r="G2030" s="7" t="s">
        <v>5655</v>
      </c>
      <c r="H2030" s="7" t="s">
        <v>5656</v>
      </c>
      <c r="I2030" s="9">
        <v>45358</v>
      </c>
    </row>
    <row r="2031" spans="1:9" x14ac:dyDescent="0.15">
      <c r="A2031" s="6">
        <v>2030</v>
      </c>
      <c r="B2031" s="7" t="s">
        <v>10</v>
      </c>
      <c r="C2031" s="8">
        <v>1888</v>
      </c>
      <c r="D2031" s="9">
        <v>45432</v>
      </c>
      <c r="E2031" s="13" t="str">
        <f>+HYPERLINK("http://trademark.i-assist.jp/data/china/image_1888th/77154173.pdf","77154173")</f>
        <v>77154173</v>
      </c>
      <c r="F2031" s="7" t="s">
        <v>5657</v>
      </c>
      <c r="G2031" s="7" t="s">
        <v>5658</v>
      </c>
      <c r="H2031" s="7" t="s">
        <v>5659</v>
      </c>
      <c r="I2031" s="9">
        <v>45358</v>
      </c>
    </row>
    <row r="2032" spans="1:9" x14ac:dyDescent="0.15">
      <c r="A2032" s="6">
        <v>2031</v>
      </c>
      <c r="B2032" s="7" t="s">
        <v>10</v>
      </c>
      <c r="C2032" s="8">
        <v>1888</v>
      </c>
      <c r="D2032" s="9">
        <v>45432</v>
      </c>
      <c r="E2032" s="13" t="str">
        <f>+HYPERLINK("http://trademark.i-assist.jp/data/china/image_1888th/77154196.pdf","77154196")</f>
        <v>77154196</v>
      </c>
      <c r="F2032" s="7" t="s">
        <v>5660</v>
      </c>
      <c r="G2032" s="7" t="s">
        <v>3545</v>
      </c>
      <c r="H2032" s="7" t="s">
        <v>5661</v>
      </c>
      <c r="I2032" s="9">
        <v>45358</v>
      </c>
    </row>
    <row r="2033" spans="1:9" ht="27" x14ac:dyDescent="0.15">
      <c r="A2033" s="6">
        <v>2032</v>
      </c>
      <c r="B2033" s="7" t="s">
        <v>10</v>
      </c>
      <c r="C2033" s="8">
        <v>1888</v>
      </c>
      <c r="D2033" s="9">
        <v>45432</v>
      </c>
      <c r="E2033" s="13" t="str">
        <f>+HYPERLINK("http://trademark.i-assist.jp/data/china/image_1888th/77154265.pdf","77154265")</f>
        <v>77154265</v>
      </c>
      <c r="F2033" s="7" t="s">
        <v>5662</v>
      </c>
      <c r="G2033" s="7" t="s">
        <v>5663</v>
      </c>
      <c r="H2033" s="7" t="s">
        <v>5664</v>
      </c>
      <c r="I2033" s="9">
        <v>45358</v>
      </c>
    </row>
    <row r="2034" spans="1:9" x14ac:dyDescent="0.15">
      <c r="A2034" s="6">
        <v>2033</v>
      </c>
      <c r="B2034" s="7" t="s">
        <v>10</v>
      </c>
      <c r="C2034" s="8">
        <v>1888</v>
      </c>
      <c r="D2034" s="9">
        <v>45432</v>
      </c>
      <c r="E2034" s="13" t="str">
        <f>+HYPERLINK("http://trademark.i-assist.jp/data/china/image_1888th/77154360.pdf","77154360")</f>
        <v>77154360</v>
      </c>
      <c r="F2034" s="7" t="s">
        <v>5665</v>
      </c>
      <c r="G2034" s="7" t="s">
        <v>5666</v>
      </c>
      <c r="H2034" s="7" t="s">
        <v>5667</v>
      </c>
      <c r="I2034" s="9">
        <v>45358</v>
      </c>
    </row>
    <row r="2035" spans="1:9" x14ac:dyDescent="0.15">
      <c r="A2035" s="6">
        <v>2034</v>
      </c>
      <c r="B2035" s="7" t="s">
        <v>10</v>
      </c>
      <c r="C2035" s="8">
        <v>1888</v>
      </c>
      <c r="D2035" s="9">
        <v>45432</v>
      </c>
      <c r="E2035" s="13" t="str">
        <f>+HYPERLINK("http://trademark.i-assist.jp/data/china/image_1888th/77154670.pdf","77154670")</f>
        <v>77154670</v>
      </c>
      <c r="F2035" s="7" t="s">
        <v>5668</v>
      </c>
      <c r="G2035" s="7" t="s">
        <v>5669</v>
      </c>
      <c r="H2035" s="7" t="s">
        <v>5670</v>
      </c>
      <c r="I2035" s="9">
        <v>45358</v>
      </c>
    </row>
    <row r="2036" spans="1:9" x14ac:dyDescent="0.15">
      <c r="A2036" s="6">
        <v>2035</v>
      </c>
      <c r="B2036" s="7" t="s">
        <v>10</v>
      </c>
      <c r="C2036" s="8">
        <v>1888</v>
      </c>
      <c r="D2036" s="9">
        <v>45432</v>
      </c>
      <c r="E2036" s="13" t="str">
        <f>+HYPERLINK("http://trademark.i-assist.jp/data/china/image_1888th/77154747.pdf","77154747")</f>
        <v>77154747</v>
      </c>
      <c r="F2036" s="7" t="s">
        <v>5671</v>
      </c>
      <c r="G2036" s="7" t="s">
        <v>5672</v>
      </c>
      <c r="H2036" s="7" t="s">
        <v>5673</v>
      </c>
      <c r="I2036" s="9">
        <v>45358</v>
      </c>
    </row>
    <row r="2037" spans="1:9" ht="27" x14ac:dyDescent="0.15">
      <c r="A2037" s="6">
        <v>2036</v>
      </c>
      <c r="B2037" s="7" t="s">
        <v>10</v>
      </c>
      <c r="C2037" s="8">
        <v>1888</v>
      </c>
      <c r="D2037" s="9">
        <v>45432</v>
      </c>
      <c r="E2037" s="13" t="str">
        <f>+HYPERLINK("http://trademark.i-assist.jp/data/china/image_1888th/77154757.pdf","77154757")</f>
        <v>77154757</v>
      </c>
      <c r="F2037" s="7" t="s">
        <v>5674</v>
      </c>
      <c r="G2037" s="7" t="s">
        <v>5675</v>
      </c>
      <c r="H2037" s="7" t="s">
        <v>5676</v>
      </c>
      <c r="I2037" s="9">
        <v>45358</v>
      </c>
    </row>
    <row r="2038" spans="1:9" x14ac:dyDescent="0.15">
      <c r="A2038" s="6">
        <v>2037</v>
      </c>
      <c r="B2038" s="7" t="s">
        <v>10</v>
      </c>
      <c r="C2038" s="8">
        <v>1888</v>
      </c>
      <c r="D2038" s="9">
        <v>45432</v>
      </c>
      <c r="E2038" s="13" t="str">
        <f>+HYPERLINK("http://trademark.i-assist.jp/data/china/image_1888th/77154809.pdf","77154809")</f>
        <v>77154809</v>
      </c>
      <c r="F2038" s="7" t="s">
        <v>5677</v>
      </c>
      <c r="G2038" s="7" t="s">
        <v>5678</v>
      </c>
      <c r="H2038" s="7" t="s">
        <v>5679</v>
      </c>
      <c r="I2038" s="9">
        <v>45358</v>
      </c>
    </row>
    <row r="2039" spans="1:9" ht="27" x14ac:dyDescent="0.15">
      <c r="A2039" s="6">
        <v>2038</v>
      </c>
      <c r="B2039" s="7" t="s">
        <v>10</v>
      </c>
      <c r="C2039" s="8">
        <v>1888</v>
      </c>
      <c r="D2039" s="9">
        <v>45432</v>
      </c>
      <c r="E2039" s="13" t="str">
        <f>+HYPERLINK("http://trademark.i-assist.jp/data/china/image_1888th/77155154.pdf","77155154")</f>
        <v>77155154</v>
      </c>
      <c r="F2039" s="7" t="s">
        <v>5680</v>
      </c>
      <c r="G2039" s="7" t="s">
        <v>5601</v>
      </c>
      <c r="H2039" s="7" t="s">
        <v>5681</v>
      </c>
      <c r="I2039" s="9">
        <v>45358</v>
      </c>
    </row>
    <row r="2040" spans="1:9" x14ac:dyDescent="0.15">
      <c r="A2040" s="6">
        <v>2039</v>
      </c>
      <c r="B2040" s="7" t="s">
        <v>10</v>
      </c>
      <c r="C2040" s="8">
        <v>1888</v>
      </c>
      <c r="D2040" s="9">
        <v>45432</v>
      </c>
      <c r="E2040" s="13" t="str">
        <f>+HYPERLINK("http://trademark.i-assist.jp/data/china/image_1888th/77155157.pdf","77155157")</f>
        <v>77155157</v>
      </c>
      <c r="F2040" s="7" t="s">
        <v>5682</v>
      </c>
      <c r="G2040" s="7" t="s">
        <v>5683</v>
      </c>
      <c r="H2040" s="7" t="s">
        <v>5684</v>
      </c>
      <c r="I2040" s="9">
        <v>45358</v>
      </c>
    </row>
    <row r="2041" spans="1:9" x14ac:dyDescent="0.15">
      <c r="A2041" s="6">
        <v>2040</v>
      </c>
      <c r="B2041" s="7" t="s">
        <v>10</v>
      </c>
      <c r="C2041" s="8">
        <v>1888</v>
      </c>
      <c r="D2041" s="9">
        <v>45432</v>
      </c>
      <c r="E2041" s="13" t="str">
        <f>+HYPERLINK("http://trademark.i-assist.jp/data/china/image_1888th/77155188.pdf","77155188")</f>
        <v>77155188</v>
      </c>
      <c r="F2041" s="7" t="s">
        <v>5685</v>
      </c>
      <c r="G2041" s="7" t="s">
        <v>5686</v>
      </c>
      <c r="H2041" s="7" t="s">
        <v>5687</v>
      </c>
      <c r="I2041" s="9">
        <v>45358</v>
      </c>
    </row>
    <row r="2042" spans="1:9" x14ac:dyDescent="0.15">
      <c r="A2042" s="6">
        <v>2041</v>
      </c>
      <c r="B2042" s="7" t="s">
        <v>10</v>
      </c>
      <c r="C2042" s="8">
        <v>1888</v>
      </c>
      <c r="D2042" s="9">
        <v>45432</v>
      </c>
      <c r="E2042" s="13" t="str">
        <f>+HYPERLINK("http://trademark.i-assist.jp/data/china/image_1888th/77155785.pdf","77155785")</f>
        <v>77155785</v>
      </c>
      <c r="F2042" s="7" t="s">
        <v>5688</v>
      </c>
      <c r="G2042" s="7" t="s">
        <v>4284</v>
      </c>
      <c r="H2042" s="7" t="s">
        <v>5689</v>
      </c>
      <c r="I2042" s="9">
        <v>45358</v>
      </c>
    </row>
    <row r="2043" spans="1:9" x14ac:dyDescent="0.15">
      <c r="A2043" s="6">
        <v>2042</v>
      </c>
      <c r="B2043" s="7" t="s">
        <v>10</v>
      </c>
      <c r="C2043" s="8">
        <v>1888</v>
      </c>
      <c r="D2043" s="9">
        <v>45432</v>
      </c>
      <c r="E2043" s="13" t="str">
        <f>+HYPERLINK("http://trademark.i-assist.jp/data/china/image_1888th/77155803.pdf","77155803")</f>
        <v>77155803</v>
      </c>
      <c r="F2043" s="7" t="s">
        <v>5690</v>
      </c>
      <c r="G2043" s="7" t="s">
        <v>5691</v>
      </c>
      <c r="H2043" s="7" t="s">
        <v>5692</v>
      </c>
      <c r="I2043" s="9">
        <v>45358</v>
      </c>
    </row>
    <row r="2044" spans="1:9" ht="27" x14ac:dyDescent="0.15">
      <c r="A2044" s="6">
        <v>2043</v>
      </c>
      <c r="B2044" s="7" t="s">
        <v>10</v>
      </c>
      <c r="C2044" s="8">
        <v>1888</v>
      </c>
      <c r="D2044" s="9">
        <v>45432</v>
      </c>
      <c r="E2044" s="13" t="str">
        <f>+HYPERLINK("http://trademark.i-assist.jp/data/china/image_1888th/77155961.pdf","77155961")</f>
        <v>77155961</v>
      </c>
      <c r="F2044" s="7" t="s">
        <v>5693</v>
      </c>
      <c r="G2044" s="7" t="s">
        <v>5694</v>
      </c>
      <c r="H2044" s="7" t="s">
        <v>5695</v>
      </c>
      <c r="I2044" s="9">
        <v>45358</v>
      </c>
    </row>
    <row r="2045" spans="1:9" x14ac:dyDescent="0.15">
      <c r="A2045" s="6">
        <v>2044</v>
      </c>
      <c r="B2045" s="7" t="s">
        <v>10</v>
      </c>
      <c r="C2045" s="8">
        <v>1888</v>
      </c>
      <c r="D2045" s="9">
        <v>45432</v>
      </c>
      <c r="E2045" s="13" t="str">
        <f>+HYPERLINK("http://trademark.i-assist.jp/data/china/image_1888th/77155974.pdf","77155974")</f>
        <v>77155974</v>
      </c>
      <c r="F2045" s="7" t="s">
        <v>5696</v>
      </c>
      <c r="G2045" s="7" t="s">
        <v>5697</v>
      </c>
      <c r="H2045" s="7" t="s">
        <v>5698</v>
      </c>
      <c r="I2045" s="9">
        <v>45358</v>
      </c>
    </row>
    <row r="2046" spans="1:9" x14ac:dyDescent="0.15">
      <c r="A2046" s="6">
        <v>2045</v>
      </c>
      <c r="B2046" s="7" t="s">
        <v>10</v>
      </c>
      <c r="C2046" s="8">
        <v>1888</v>
      </c>
      <c r="D2046" s="9">
        <v>45432</v>
      </c>
      <c r="E2046" s="13" t="str">
        <f>+HYPERLINK("http://trademark.i-assist.jp/data/china/image_1888th/77156014.pdf","77156014")</f>
        <v>77156014</v>
      </c>
      <c r="F2046" s="7" t="s">
        <v>5699</v>
      </c>
      <c r="G2046" s="7" t="s">
        <v>5700</v>
      </c>
      <c r="H2046" s="7" t="s">
        <v>5701</v>
      </c>
      <c r="I2046" s="9">
        <v>45358</v>
      </c>
    </row>
    <row r="2047" spans="1:9" x14ac:dyDescent="0.15">
      <c r="A2047" s="6">
        <v>2046</v>
      </c>
      <c r="B2047" s="7" t="s">
        <v>10</v>
      </c>
      <c r="C2047" s="8">
        <v>1888</v>
      </c>
      <c r="D2047" s="9">
        <v>45432</v>
      </c>
      <c r="E2047" s="13" t="str">
        <f>+HYPERLINK("http://trademark.i-assist.jp/data/china/image_1888th/77156076.pdf","77156076")</f>
        <v>77156076</v>
      </c>
      <c r="F2047" s="7" t="s">
        <v>5702</v>
      </c>
      <c r="G2047" s="7" t="s">
        <v>3554</v>
      </c>
      <c r="H2047" s="7" t="s">
        <v>5703</v>
      </c>
      <c r="I2047" s="9">
        <v>45358</v>
      </c>
    </row>
    <row r="2048" spans="1:9" x14ac:dyDescent="0.15">
      <c r="A2048" s="6">
        <v>2047</v>
      </c>
      <c r="B2048" s="7" t="s">
        <v>10</v>
      </c>
      <c r="C2048" s="8">
        <v>1888</v>
      </c>
      <c r="D2048" s="9">
        <v>45432</v>
      </c>
      <c r="E2048" s="13" t="str">
        <f>+HYPERLINK("http://trademark.i-assist.jp/data/china/image_1888th/77156097.pdf","77156097")</f>
        <v>77156097</v>
      </c>
      <c r="F2048" s="7" t="s">
        <v>5704</v>
      </c>
      <c r="G2048" s="7" t="s">
        <v>5705</v>
      </c>
      <c r="H2048" s="7" t="s">
        <v>5706</v>
      </c>
      <c r="I2048" s="9">
        <v>45358</v>
      </c>
    </row>
    <row r="2049" spans="1:9" x14ac:dyDescent="0.15">
      <c r="A2049" s="6">
        <v>2048</v>
      </c>
      <c r="B2049" s="7" t="s">
        <v>10</v>
      </c>
      <c r="C2049" s="8">
        <v>1888</v>
      </c>
      <c r="D2049" s="9">
        <v>45432</v>
      </c>
      <c r="E2049" s="13" t="str">
        <f>+HYPERLINK("http://trademark.i-assist.jp/data/china/image_1888th/77156274.pdf","77156274")</f>
        <v>77156274</v>
      </c>
      <c r="F2049" s="7" t="s">
        <v>5707</v>
      </c>
      <c r="G2049" s="7" t="s">
        <v>5708</v>
      </c>
      <c r="H2049" s="7" t="s">
        <v>5709</v>
      </c>
      <c r="I2049" s="9">
        <v>45358</v>
      </c>
    </row>
    <row r="2050" spans="1:9" x14ac:dyDescent="0.15">
      <c r="A2050" s="6">
        <v>2049</v>
      </c>
      <c r="B2050" s="7" t="s">
        <v>10</v>
      </c>
      <c r="C2050" s="8">
        <v>1888</v>
      </c>
      <c r="D2050" s="9">
        <v>45432</v>
      </c>
      <c r="E2050" s="13" t="str">
        <f>+HYPERLINK("http://trademark.i-assist.jp/data/china/image_1888th/77156280.pdf","77156280")</f>
        <v>77156280</v>
      </c>
      <c r="F2050" s="7" t="s">
        <v>5710</v>
      </c>
      <c r="G2050" s="7" t="s">
        <v>5711</v>
      </c>
      <c r="H2050" s="7" t="s">
        <v>5712</v>
      </c>
      <c r="I2050" s="9">
        <v>45358</v>
      </c>
    </row>
    <row r="2051" spans="1:9" x14ac:dyDescent="0.15">
      <c r="A2051" s="6">
        <v>2050</v>
      </c>
      <c r="B2051" s="7" t="s">
        <v>10</v>
      </c>
      <c r="C2051" s="8">
        <v>1888</v>
      </c>
      <c r="D2051" s="9">
        <v>45432</v>
      </c>
      <c r="E2051" s="13" t="str">
        <f>+HYPERLINK("http://trademark.i-assist.jp/data/china/image_1888th/77156314.pdf","77156314")</f>
        <v>77156314</v>
      </c>
      <c r="F2051" s="7" t="s">
        <v>5713</v>
      </c>
      <c r="G2051" s="7" t="s">
        <v>5714</v>
      </c>
      <c r="H2051" s="7" t="s">
        <v>5715</v>
      </c>
      <c r="I2051" s="9">
        <v>45358</v>
      </c>
    </row>
    <row r="2052" spans="1:9" x14ac:dyDescent="0.15">
      <c r="A2052" s="6">
        <v>2051</v>
      </c>
      <c r="B2052" s="7" t="s">
        <v>10</v>
      </c>
      <c r="C2052" s="8">
        <v>1888</v>
      </c>
      <c r="D2052" s="9">
        <v>45432</v>
      </c>
      <c r="E2052" s="13" t="str">
        <f>+HYPERLINK("http://trademark.i-assist.jp/data/china/image_1888th/77156395.pdf","77156395")</f>
        <v>77156395</v>
      </c>
      <c r="F2052" s="7" t="s">
        <v>5716</v>
      </c>
      <c r="G2052" s="7" t="s">
        <v>5717</v>
      </c>
      <c r="H2052" s="7" t="s">
        <v>5718</v>
      </c>
      <c r="I2052" s="9">
        <v>45358</v>
      </c>
    </row>
    <row r="2053" spans="1:9" ht="27" x14ac:dyDescent="0.15">
      <c r="A2053" s="6">
        <v>2052</v>
      </c>
      <c r="B2053" s="7" t="s">
        <v>10</v>
      </c>
      <c r="C2053" s="8">
        <v>1888</v>
      </c>
      <c r="D2053" s="9">
        <v>45432</v>
      </c>
      <c r="E2053" s="13" t="str">
        <f>+HYPERLINK("http://trademark.i-assist.jp/data/china/image_1888th/77156567.pdf","77156567")</f>
        <v>77156567</v>
      </c>
      <c r="F2053" s="7" t="s">
        <v>5719</v>
      </c>
      <c r="G2053" s="7" t="s">
        <v>4064</v>
      </c>
      <c r="H2053" s="7" t="s">
        <v>5720</v>
      </c>
      <c r="I2053" s="9">
        <v>45358</v>
      </c>
    </row>
    <row r="2054" spans="1:9" x14ac:dyDescent="0.15">
      <c r="A2054" s="6">
        <v>2053</v>
      </c>
      <c r="B2054" s="7" t="s">
        <v>10</v>
      </c>
      <c r="C2054" s="8">
        <v>1888</v>
      </c>
      <c r="D2054" s="9">
        <v>45432</v>
      </c>
      <c r="E2054" s="13" t="str">
        <f>+HYPERLINK("http://trademark.i-assist.jp/data/china/image_1888th/77156860.pdf","77156860")</f>
        <v>77156860</v>
      </c>
      <c r="F2054" s="7" t="s">
        <v>5721</v>
      </c>
      <c r="G2054" s="7" t="s">
        <v>5722</v>
      </c>
      <c r="H2054" s="7" t="s">
        <v>5723</v>
      </c>
      <c r="I2054" s="9">
        <v>45358</v>
      </c>
    </row>
    <row r="2055" spans="1:9" x14ac:dyDescent="0.15">
      <c r="A2055" s="6">
        <v>2054</v>
      </c>
      <c r="B2055" s="7" t="s">
        <v>10</v>
      </c>
      <c r="C2055" s="8">
        <v>1888</v>
      </c>
      <c r="D2055" s="9">
        <v>45432</v>
      </c>
      <c r="E2055" s="13" t="str">
        <f>+HYPERLINK("http://trademark.i-assist.jp/data/china/image_1888th/77156868.pdf","77156868")</f>
        <v>77156868</v>
      </c>
      <c r="F2055" s="7" t="s">
        <v>5724</v>
      </c>
      <c r="G2055" s="7" t="s">
        <v>5725</v>
      </c>
      <c r="H2055" s="7" t="s">
        <v>5726</v>
      </c>
      <c r="I2055" s="9">
        <v>45358</v>
      </c>
    </row>
    <row r="2056" spans="1:9" ht="27" x14ac:dyDescent="0.15">
      <c r="A2056" s="6">
        <v>2055</v>
      </c>
      <c r="B2056" s="7" t="s">
        <v>10</v>
      </c>
      <c r="C2056" s="8">
        <v>1888</v>
      </c>
      <c r="D2056" s="9">
        <v>45432</v>
      </c>
      <c r="E2056" s="13" t="str">
        <f>+HYPERLINK("http://trademark.i-assist.jp/data/china/image_1888th/77157163.pdf","77157163")</f>
        <v>77157163</v>
      </c>
      <c r="F2056" s="7" t="s">
        <v>5727</v>
      </c>
      <c r="G2056" s="7" t="s">
        <v>5601</v>
      </c>
      <c r="H2056" s="7" t="s">
        <v>5728</v>
      </c>
      <c r="I2056" s="9">
        <v>45358</v>
      </c>
    </row>
    <row r="2057" spans="1:9" x14ac:dyDescent="0.15">
      <c r="A2057" s="6">
        <v>2056</v>
      </c>
      <c r="B2057" s="7" t="s">
        <v>10</v>
      </c>
      <c r="C2057" s="8">
        <v>1888</v>
      </c>
      <c r="D2057" s="9">
        <v>45432</v>
      </c>
      <c r="E2057" s="13" t="str">
        <f>+HYPERLINK("http://trademark.i-assist.jp/data/china/image_1888th/77157242.pdf","77157242")</f>
        <v>77157242</v>
      </c>
      <c r="F2057" s="7" t="s">
        <v>5729</v>
      </c>
      <c r="G2057" s="7" t="s">
        <v>5730</v>
      </c>
      <c r="H2057" s="7" t="s">
        <v>5731</v>
      </c>
      <c r="I2057" s="9">
        <v>45358</v>
      </c>
    </row>
    <row r="2058" spans="1:9" x14ac:dyDescent="0.15">
      <c r="A2058" s="6">
        <v>2057</v>
      </c>
      <c r="B2058" s="7" t="s">
        <v>10</v>
      </c>
      <c r="C2058" s="8">
        <v>1888</v>
      </c>
      <c r="D2058" s="9">
        <v>45432</v>
      </c>
      <c r="E2058" s="13" t="str">
        <f>+HYPERLINK("http://trademark.i-assist.jp/data/china/image_1888th/77157451.pdf","77157451")</f>
        <v>77157451</v>
      </c>
      <c r="F2058" s="7" t="s">
        <v>5732</v>
      </c>
      <c r="G2058" s="7" t="s">
        <v>5658</v>
      </c>
      <c r="H2058" s="7" t="s">
        <v>5733</v>
      </c>
      <c r="I2058" s="9">
        <v>45358</v>
      </c>
    </row>
    <row r="2059" spans="1:9" x14ac:dyDescent="0.15">
      <c r="A2059" s="6">
        <v>2058</v>
      </c>
      <c r="B2059" s="7" t="s">
        <v>10</v>
      </c>
      <c r="C2059" s="8">
        <v>1888</v>
      </c>
      <c r="D2059" s="9">
        <v>45432</v>
      </c>
      <c r="E2059" s="13" t="str">
        <f>+HYPERLINK("http://trademark.i-assist.jp/data/china/image_1888th/77157474.pdf","77157474")</f>
        <v>77157474</v>
      </c>
      <c r="F2059" s="7" t="s">
        <v>5734</v>
      </c>
      <c r="G2059" s="7" t="s">
        <v>5735</v>
      </c>
      <c r="H2059" s="7" t="s">
        <v>5736</v>
      </c>
      <c r="I2059" s="9">
        <v>45358</v>
      </c>
    </row>
    <row r="2060" spans="1:9" x14ac:dyDescent="0.15">
      <c r="A2060" s="6">
        <v>2059</v>
      </c>
      <c r="B2060" s="7" t="s">
        <v>10</v>
      </c>
      <c r="C2060" s="8">
        <v>1888</v>
      </c>
      <c r="D2060" s="9">
        <v>45432</v>
      </c>
      <c r="E2060" s="13" t="str">
        <f>+HYPERLINK("http://trademark.i-assist.jp/data/china/image_1888th/77157538.pdf","77157538")</f>
        <v>77157538</v>
      </c>
      <c r="F2060" s="7" t="s">
        <v>5737</v>
      </c>
      <c r="G2060" s="7" t="s">
        <v>5738</v>
      </c>
      <c r="H2060" s="7" t="s">
        <v>5739</v>
      </c>
      <c r="I2060" s="9">
        <v>45358</v>
      </c>
    </row>
    <row r="2061" spans="1:9" x14ac:dyDescent="0.15">
      <c r="A2061" s="6">
        <v>2060</v>
      </c>
      <c r="B2061" s="7" t="s">
        <v>10</v>
      </c>
      <c r="C2061" s="8">
        <v>1888</v>
      </c>
      <c r="D2061" s="9">
        <v>45432</v>
      </c>
      <c r="E2061" s="13" t="str">
        <f>+HYPERLINK("http://trademark.i-assist.jp/data/china/image_1888th/77157541.pdf","77157541")</f>
        <v>77157541</v>
      </c>
      <c r="F2061" s="7" t="s">
        <v>5740</v>
      </c>
      <c r="G2061" s="7" t="s">
        <v>5741</v>
      </c>
      <c r="H2061" s="7" t="s">
        <v>5742</v>
      </c>
      <c r="I2061" s="9">
        <v>45358</v>
      </c>
    </row>
    <row r="2062" spans="1:9" x14ac:dyDescent="0.15">
      <c r="A2062" s="6">
        <v>2061</v>
      </c>
      <c r="B2062" s="7" t="s">
        <v>10</v>
      </c>
      <c r="C2062" s="8">
        <v>1888</v>
      </c>
      <c r="D2062" s="9">
        <v>45432</v>
      </c>
      <c r="E2062" s="13" t="str">
        <f>+HYPERLINK("http://trademark.i-assist.jp/data/china/image_1888th/77157544.pdf","77157544")</f>
        <v>77157544</v>
      </c>
      <c r="F2062" s="7" t="s">
        <v>5743</v>
      </c>
      <c r="G2062" s="7" t="s">
        <v>5580</v>
      </c>
      <c r="H2062" s="7" t="s">
        <v>5744</v>
      </c>
      <c r="I2062" s="9">
        <v>45358</v>
      </c>
    </row>
    <row r="2063" spans="1:9" x14ac:dyDescent="0.15">
      <c r="A2063" s="6">
        <v>2062</v>
      </c>
      <c r="B2063" s="7" t="s">
        <v>10</v>
      </c>
      <c r="C2063" s="8">
        <v>1888</v>
      </c>
      <c r="D2063" s="9">
        <v>45432</v>
      </c>
      <c r="E2063" s="13" t="str">
        <f>+HYPERLINK("http://trademark.i-assist.jp/data/china/image_1888th/77157616.pdf","77157616")</f>
        <v>77157616</v>
      </c>
      <c r="F2063" s="7" t="s">
        <v>5745</v>
      </c>
      <c r="G2063" s="7" t="s">
        <v>5746</v>
      </c>
      <c r="H2063" s="7" t="s">
        <v>5747</v>
      </c>
      <c r="I2063" s="9">
        <v>45358</v>
      </c>
    </row>
    <row r="2064" spans="1:9" x14ac:dyDescent="0.15">
      <c r="A2064" s="6">
        <v>2063</v>
      </c>
      <c r="B2064" s="7" t="s">
        <v>10</v>
      </c>
      <c r="C2064" s="8">
        <v>1888</v>
      </c>
      <c r="D2064" s="9">
        <v>45432</v>
      </c>
      <c r="E2064" s="13" t="str">
        <f>+HYPERLINK("http://trademark.i-assist.jp/data/china/image_1888th/77157762.pdf","77157762")</f>
        <v>77157762</v>
      </c>
      <c r="F2064" s="7" t="s">
        <v>5748</v>
      </c>
      <c r="G2064" s="7" t="s">
        <v>5749</v>
      </c>
      <c r="H2064" s="7" t="s">
        <v>5750</v>
      </c>
      <c r="I2064" s="9">
        <v>45358</v>
      </c>
    </row>
    <row r="2065" spans="1:9" x14ac:dyDescent="0.15">
      <c r="A2065" s="6">
        <v>2064</v>
      </c>
      <c r="B2065" s="7" t="s">
        <v>10</v>
      </c>
      <c r="C2065" s="8">
        <v>1888</v>
      </c>
      <c r="D2065" s="9">
        <v>45432</v>
      </c>
      <c r="E2065" s="13" t="str">
        <f>+HYPERLINK("http://trademark.i-assist.jp/data/china/image_1888th/77157783.pdf","77157783")</f>
        <v>77157783</v>
      </c>
      <c r="F2065" s="7" t="s">
        <v>76</v>
      </c>
      <c r="G2065" s="7" t="s">
        <v>5751</v>
      </c>
      <c r="H2065" s="7" t="s">
        <v>5752</v>
      </c>
      <c r="I2065" s="9">
        <v>45358</v>
      </c>
    </row>
    <row r="2066" spans="1:9" x14ac:dyDescent="0.15">
      <c r="A2066" s="6">
        <v>2065</v>
      </c>
      <c r="B2066" s="7" t="s">
        <v>10</v>
      </c>
      <c r="C2066" s="8">
        <v>1888</v>
      </c>
      <c r="D2066" s="9">
        <v>45432</v>
      </c>
      <c r="E2066" s="13" t="str">
        <f>+HYPERLINK("http://trademark.i-assist.jp/data/china/image_1888th/77158028.pdf","77158028")</f>
        <v>77158028</v>
      </c>
      <c r="F2066" s="7" t="s">
        <v>5753</v>
      </c>
      <c r="G2066" s="7" t="s">
        <v>5754</v>
      </c>
      <c r="H2066" s="7" t="s">
        <v>5755</v>
      </c>
      <c r="I2066" s="9">
        <v>45358</v>
      </c>
    </row>
    <row r="2067" spans="1:9" x14ac:dyDescent="0.15">
      <c r="A2067" s="6">
        <v>2066</v>
      </c>
      <c r="B2067" s="7" t="s">
        <v>10</v>
      </c>
      <c r="C2067" s="8">
        <v>1888</v>
      </c>
      <c r="D2067" s="9">
        <v>45432</v>
      </c>
      <c r="E2067" s="13" t="str">
        <f>+HYPERLINK("http://trademark.i-assist.jp/data/china/image_1888th/77158042.pdf","77158042")</f>
        <v>77158042</v>
      </c>
      <c r="F2067" s="7" t="s">
        <v>5756</v>
      </c>
      <c r="G2067" s="7" t="s">
        <v>5635</v>
      </c>
      <c r="H2067" s="7" t="s">
        <v>5757</v>
      </c>
      <c r="I2067" s="9">
        <v>45358</v>
      </c>
    </row>
    <row r="2068" spans="1:9" x14ac:dyDescent="0.15">
      <c r="A2068" s="6">
        <v>2067</v>
      </c>
      <c r="B2068" s="7" t="s">
        <v>10</v>
      </c>
      <c r="C2068" s="8">
        <v>1888</v>
      </c>
      <c r="D2068" s="9">
        <v>45432</v>
      </c>
      <c r="E2068" s="13" t="str">
        <f>+HYPERLINK("http://trademark.i-assist.jp/data/china/image_1888th/77158139.pdf","77158139")</f>
        <v>77158139</v>
      </c>
      <c r="F2068" s="7" t="s">
        <v>5758</v>
      </c>
      <c r="G2068" s="7" t="s">
        <v>5759</v>
      </c>
      <c r="H2068" s="7" t="s">
        <v>5760</v>
      </c>
      <c r="I2068" s="9">
        <v>45358</v>
      </c>
    </row>
    <row r="2069" spans="1:9" x14ac:dyDescent="0.15">
      <c r="A2069" s="6">
        <v>2068</v>
      </c>
      <c r="B2069" s="7" t="s">
        <v>10</v>
      </c>
      <c r="C2069" s="8">
        <v>1888</v>
      </c>
      <c r="D2069" s="9">
        <v>45432</v>
      </c>
      <c r="E2069" s="13" t="str">
        <f>+HYPERLINK("http://trademark.i-assist.jp/data/china/image_1888th/77158164.pdf","77158164")</f>
        <v>77158164</v>
      </c>
      <c r="F2069" s="7" t="s">
        <v>5761</v>
      </c>
      <c r="G2069" s="7" t="s">
        <v>5762</v>
      </c>
      <c r="H2069" s="7" t="s">
        <v>5763</v>
      </c>
      <c r="I2069" s="9">
        <v>45358</v>
      </c>
    </row>
    <row r="2070" spans="1:9" x14ac:dyDescent="0.15">
      <c r="A2070" s="6">
        <v>2069</v>
      </c>
      <c r="B2070" s="7" t="s">
        <v>10</v>
      </c>
      <c r="C2070" s="8">
        <v>1888</v>
      </c>
      <c r="D2070" s="9">
        <v>45432</v>
      </c>
      <c r="E2070" s="13" t="str">
        <f>+HYPERLINK("http://trademark.i-assist.jp/data/china/image_1888th/77158870.pdf","77158870")</f>
        <v>77158870</v>
      </c>
      <c r="F2070" s="7" t="s">
        <v>5764</v>
      </c>
      <c r="G2070" s="7" t="s">
        <v>5765</v>
      </c>
      <c r="H2070" s="7" t="s">
        <v>5766</v>
      </c>
      <c r="I2070" s="9">
        <v>45358</v>
      </c>
    </row>
    <row r="2071" spans="1:9" x14ac:dyDescent="0.15">
      <c r="A2071" s="6">
        <v>2070</v>
      </c>
      <c r="B2071" s="7" t="s">
        <v>10</v>
      </c>
      <c r="C2071" s="8">
        <v>1888</v>
      </c>
      <c r="D2071" s="9">
        <v>45432</v>
      </c>
      <c r="E2071" s="13" t="str">
        <f>+HYPERLINK("http://trademark.i-assist.jp/data/china/image_1888th/77159107.pdf","77159107")</f>
        <v>77159107</v>
      </c>
      <c r="F2071" s="7" t="s">
        <v>5767</v>
      </c>
      <c r="G2071" s="7" t="s">
        <v>5683</v>
      </c>
      <c r="H2071" s="7" t="s">
        <v>5768</v>
      </c>
      <c r="I2071" s="9">
        <v>45358</v>
      </c>
    </row>
    <row r="2072" spans="1:9" ht="27" x14ac:dyDescent="0.15">
      <c r="A2072" s="6">
        <v>2071</v>
      </c>
      <c r="B2072" s="7" t="s">
        <v>10</v>
      </c>
      <c r="C2072" s="8">
        <v>1888</v>
      </c>
      <c r="D2072" s="9">
        <v>45432</v>
      </c>
      <c r="E2072" s="13" t="str">
        <f>+HYPERLINK("http://trademark.i-assist.jp/data/china/image_1888th/77159338.pdf","77159338")</f>
        <v>77159338</v>
      </c>
      <c r="F2072" s="7" t="s">
        <v>5769</v>
      </c>
      <c r="G2072" s="7" t="s">
        <v>5601</v>
      </c>
      <c r="H2072" s="7" t="s">
        <v>5770</v>
      </c>
      <c r="I2072" s="9">
        <v>45358</v>
      </c>
    </row>
    <row r="2073" spans="1:9" x14ac:dyDescent="0.15">
      <c r="A2073" s="6">
        <v>2072</v>
      </c>
      <c r="B2073" s="7" t="s">
        <v>10</v>
      </c>
      <c r="C2073" s="8">
        <v>1888</v>
      </c>
      <c r="D2073" s="9">
        <v>45432</v>
      </c>
      <c r="E2073" s="13" t="str">
        <f>+HYPERLINK("http://trademark.i-assist.jp/data/china/image_1888th/77159356.pdf","77159356")</f>
        <v>77159356</v>
      </c>
      <c r="F2073" s="7" t="s">
        <v>5771</v>
      </c>
      <c r="G2073" s="7" t="s">
        <v>5772</v>
      </c>
      <c r="H2073" s="7" t="s">
        <v>5773</v>
      </c>
      <c r="I2073" s="9">
        <v>45358</v>
      </c>
    </row>
    <row r="2074" spans="1:9" x14ac:dyDescent="0.15">
      <c r="A2074" s="6">
        <v>2073</v>
      </c>
      <c r="B2074" s="7" t="s">
        <v>10</v>
      </c>
      <c r="C2074" s="8">
        <v>1888</v>
      </c>
      <c r="D2074" s="9">
        <v>45432</v>
      </c>
      <c r="E2074" s="13" t="str">
        <f>+HYPERLINK("http://trademark.i-assist.jp/data/china/image_1888th/77159386.pdf","77159386")</f>
        <v>77159386</v>
      </c>
      <c r="F2074" s="7" t="s">
        <v>5774</v>
      </c>
      <c r="G2074" s="7" t="s">
        <v>5772</v>
      </c>
      <c r="H2074" s="7" t="s">
        <v>5775</v>
      </c>
      <c r="I2074" s="9">
        <v>45358</v>
      </c>
    </row>
    <row r="2075" spans="1:9" x14ac:dyDescent="0.15">
      <c r="A2075" s="6">
        <v>2074</v>
      </c>
      <c r="B2075" s="7" t="s">
        <v>10</v>
      </c>
      <c r="C2075" s="8">
        <v>1888</v>
      </c>
      <c r="D2075" s="9">
        <v>45432</v>
      </c>
      <c r="E2075" s="13" t="str">
        <f>+HYPERLINK("http://trademark.i-assist.jp/data/china/image_1888th/77159403.pdf","77159403")</f>
        <v>77159403</v>
      </c>
      <c r="F2075" s="7" t="s">
        <v>5776</v>
      </c>
      <c r="G2075" s="7" t="s">
        <v>5777</v>
      </c>
      <c r="H2075" s="7" t="s">
        <v>5778</v>
      </c>
      <c r="I2075" s="9">
        <v>45358</v>
      </c>
    </row>
    <row r="2076" spans="1:9" ht="27" x14ac:dyDescent="0.15">
      <c r="A2076" s="6">
        <v>2075</v>
      </c>
      <c r="B2076" s="7" t="s">
        <v>10</v>
      </c>
      <c r="C2076" s="8">
        <v>1888</v>
      </c>
      <c r="D2076" s="9">
        <v>45432</v>
      </c>
      <c r="E2076" s="13" t="str">
        <f>+HYPERLINK("http://trademark.i-assist.jp/data/china/image_1888th/77160040.pdf","77160040")</f>
        <v>77160040</v>
      </c>
      <c r="F2076" s="7" t="s">
        <v>5779</v>
      </c>
      <c r="G2076" s="7" t="s">
        <v>5780</v>
      </c>
      <c r="H2076" s="7" t="s">
        <v>5781</v>
      </c>
      <c r="I2076" s="9">
        <v>45358</v>
      </c>
    </row>
    <row r="2077" spans="1:9" x14ac:dyDescent="0.15">
      <c r="A2077" s="6">
        <v>2076</v>
      </c>
      <c r="B2077" s="7" t="s">
        <v>10</v>
      </c>
      <c r="C2077" s="8">
        <v>1888</v>
      </c>
      <c r="D2077" s="9">
        <v>45432</v>
      </c>
      <c r="E2077" s="13" t="str">
        <f>+HYPERLINK("http://trademark.i-assist.jp/data/china/image_1888th/77160206.pdf","77160206")</f>
        <v>77160206</v>
      </c>
      <c r="F2077" s="7" t="s">
        <v>5642</v>
      </c>
      <c r="G2077" s="7" t="s">
        <v>5643</v>
      </c>
      <c r="H2077" s="7" t="s">
        <v>5782</v>
      </c>
      <c r="I2077" s="9">
        <v>45358</v>
      </c>
    </row>
    <row r="2078" spans="1:9" x14ac:dyDescent="0.15">
      <c r="A2078" s="6">
        <v>2077</v>
      </c>
      <c r="B2078" s="7" t="s">
        <v>10</v>
      </c>
      <c r="C2078" s="8">
        <v>1888</v>
      </c>
      <c r="D2078" s="9">
        <v>45432</v>
      </c>
      <c r="E2078" s="13" t="str">
        <f>+HYPERLINK("http://trademark.i-assist.jp/data/china/image_1888th/77160277.pdf","77160277")</f>
        <v>77160277</v>
      </c>
      <c r="F2078" s="7" t="s">
        <v>5783</v>
      </c>
      <c r="G2078" s="7" t="s">
        <v>5784</v>
      </c>
      <c r="H2078" s="7" t="s">
        <v>5785</v>
      </c>
      <c r="I2078" s="9">
        <v>45358</v>
      </c>
    </row>
    <row r="2079" spans="1:9" x14ac:dyDescent="0.15">
      <c r="A2079" s="6">
        <v>2078</v>
      </c>
      <c r="B2079" s="7" t="s">
        <v>10</v>
      </c>
      <c r="C2079" s="8">
        <v>1888</v>
      </c>
      <c r="D2079" s="9">
        <v>45432</v>
      </c>
      <c r="E2079" s="13" t="str">
        <f>+HYPERLINK("http://trademark.i-assist.jp/data/china/image_1888th/77160364.pdf","77160364")</f>
        <v>77160364</v>
      </c>
      <c r="F2079" s="7" t="s">
        <v>5786</v>
      </c>
      <c r="G2079" s="7" t="s">
        <v>5787</v>
      </c>
      <c r="H2079" s="7" t="s">
        <v>5788</v>
      </c>
      <c r="I2079" s="9">
        <v>45358</v>
      </c>
    </row>
    <row r="2080" spans="1:9" x14ac:dyDescent="0.15">
      <c r="A2080" s="6">
        <v>2079</v>
      </c>
      <c r="B2080" s="7" t="s">
        <v>10</v>
      </c>
      <c r="C2080" s="8">
        <v>1888</v>
      </c>
      <c r="D2080" s="9">
        <v>45432</v>
      </c>
      <c r="E2080" s="13" t="str">
        <f>+HYPERLINK("http://trademark.i-assist.jp/data/china/image_1888th/77160391.pdf","77160391")</f>
        <v>77160391</v>
      </c>
      <c r="F2080" s="7" t="s">
        <v>5789</v>
      </c>
      <c r="G2080" s="7" t="s">
        <v>5062</v>
      </c>
      <c r="H2080" s="7" t="s">
        <v>5790</v>
      </c>
      <c r="I2080" s="9">
        <v>45358</v>
      </c>
    </row>
    <row r="2081" spans="1:9" x14ac:dyDescent="0.15">
      <c r="A2081" s="6">
        <v>2080</v>
      </c>
      <c r="B2081" s="7" t="s">
        <v>10</v>
      </c>
      <c r="C2081" s="8">
        <v>1888</v>
      </c>
      <c r="D2081" s="9">
        <v>45432</v>
      </c>
      <c r="E2081" s="13" t="str">
        <f>+HYPERLINK("http://trademark.i-assist.jp/data/china/image_1888th/77160510.pdf","77160510")</f>
        <v>77160510</v>
      </c>
      <c r="F2081" s="7" t="s">
        <v>5791</v>
      </c>
      <c r="G2081" s="7" t="s">
        <v>5792</v>
      </c>
      <c r="H2081" s="7" t="s">
        <v>5793</v>
      </c>
      <c r="I2081" s="9">
        <v>45358</v>
      </c>
    </row>
    <row r="2082" spans="1:9" x14ac:dyDescent="0.15">
      <c r="A2082" s="6">
        <v>2081</v>
      </c>
      <c r="B2082" s="7" t="s">
        <v>10</v>
      </c>
      <c r="C2082" s="8">
        <v>1888</v>
      </c>
      <c r="D2082" s="9">
        <v>45432</v>
      </c>
      <c r="E2082" s="13" t="str">
        <f>+HYPERLINK("http://trademark.i-assist.jp/data/china/image_1888th/77160578.pdf","77160578")</f>
        <v>77160578</v>
      </c>
      <c r="F2082" s="7" t="s">
        <v>5794</v>
      </c>
      <c r="G2082" s="7" t="s">
        <v>5795</v>
      </c>
      <c r="H2082" s="7" t="s">
        <v>5796</v>
      </c>
      <c r="I2082" s="9">
        <v>45358</v>
      </c>
    </row>
    <row r="2083" spans="1:9" x14ac:dyDescent="0.15">
      <c r="A2083" s="6">
        <v>2082</v>
      </c>
      <c r="B2083" s="7" t="s">
        <v>10</v>
      </c>
      <c r="C2083" s="8">
        <v>1888</v>
      </c>
      <c r="D2083" s="9">
        <v>45432</v>
      </c>
      <c r="E2083" s="13" t="str">
        <f>+HYPERLINK("http://trademark.i-assist.jp/data/china/image_1888th/77160964.pdf","77160964")</f>
        <v>77160964</v>
      </c>
      <c r="F2083" s="7" t="s">
        <v>76</v>
      </c>
      <c r="G2083" s="7" t="s">
        <v>5797</v>
      </c>
      <c r="H2083" s="7" t="s">
        <v>5798</v>
      </c>
      <c r="I2083" s="9">
        <v>45358</v>
      </c>
    </row>
    <row r="2084" spans="1:9" x14ac:dyDescent="0.15">
      <c r="A2084" s="6">
        <v>2083</v>
      </c>
      <c r="B2084" s="7" t="s">
        <v>10</v>
      </c>
      <c r="C2084" s="8">
        <v>1888</v>
      </c>
      <c r="D2084" s="9">
        <v>45432</v>
      </c>
      <c r="E2084" s="13" t="str">
        <f>+HYPERLINK("http://trademark.i-assist.jp/data/china/image_1888th/77160991.pdf","77160991")</f>
        <v>77160991</v>
      </c>
      <c r="F2084" s="7" t="s">
        <v>5799</v>
      </c>
      <c r="G2084" s="7" t="s">
        <v>5800</v>
      </c>
      <c r="H2084" s="7" t="s">
        <v>5801</v>
      </c>
      <c r="I2084" s="9">
        <v>45358</v>
      </c>
    </row>
    <row r="2085" spans="1:9" x14ac:dyDescent="0.15">
      <c r="A2085" s="6">
        <v>2084</v>
      </c>
      <c r="B2085" s="7" t="s">
        <v>10</v>
      </c>
      <c r="C2085" s="8">
        <v>1888</v>
      </c>
      <c r="D2085" s="9">
        <v>45432</v>
      </c>
      <c r="E2085" s="13" t="str">
        <f>+HYPERLINK("http://trademark.i-assist.jp/data/china/image_1888th/77161155.pdf","77161155")</f>
        <v>77161155</v>
      </c>
      <c r="F2085" s="7" t="s">
        <v>5802</v>
      </c>
      <c r="G2085" s="7" t="s">
        <v>5803</v>
      </c>
      <c r="H2085" s="7" t="s">
        <v>5804</v>
      </c>
      <c r="I2085" s="9">
        <v>45358</v>
      </c>
    </row>
    <row r="2086" spans="1:9" x14ac:dyDescent="0.15">
      <c r="A2086" s="6">
        <v>2085</v>
      </c>
      <c r="B2086" s="7" t="s">
        <v>10</v>
      </c>
      <c r="C2086" s="8">
        <v>1888</v>
      </c>
      <c r="D2086" s="9">
        <v>45432</v>
      </c>
      <c r="E2086" s="13" t="str">
        <f>+HYPERLINK("http://trademark.i-assist.jp/data/china/image_1888th/77161289.pdf","77161289")</f>
        <v>77161289</v>
      </c>
      <c r="F2086" s="7" t="s">
        <v>5805</v>
      </c>
      <c r="G2086" s="7" t="s">
        <v>5806</v>
      </c>
      <c r="H2086" s="7" t="s">
        <v>5807</v>
      </c>
      <c r="I2086" s="9">
        <v>45358</v>
      </c>
    </row>
    <row r="2087" spans="1:9" ht="27" x14ac:dyDescent="0.15">
      <c r="A2087" s="6">
        <v>2086</v>
      </c>
      <c r="B2087" s="7" t="s">
        <v>10</v>
      </c>
      <c r="C2087" s="8">
        <v>1888</v>
      </c>
      <c r="D2087" s="9">
        <v>45432</v>
      </c>
      <c r="E2087" s="13" t="str">
        <f>+HYPERLINK("http://trademark.i-assist.jp/data/china/image_1888th/77161361.pdf","77161361")</f>
        <v>77161361</v>
      </c>
      <c r="F2087" s="7" t="s">
        <v>5808</v>
      </c>
      <c r="G2087" s="7" t="s">
        <v>5809</v>
      </c>
      <c r="H2087" s="7" t="s">
        <v>5810</v>
      </c>
      <c r="I2087" s="9">
        <v>45358</v>
      </c>
    </row>
    <row r="2088" spans="1:9" ht="27" x14ac:dyDescent="0.15">
      <c r="A2088" s="6">
        <v>2087</v>
      </c>
      <c r="B2088" s="7" t="s">
        <v>10</v>
      </c>
      <c r="C2088" s="8">
        <v>1888</v>
      </c>
      <c r="D2088" s="9">
        <v>45432</v>
      </c>
      <c r="E2088" s="13" t="str">
        <f>+HYPERLINK("http://trademark.i-assist.jp/data/china/image_1888th/77161375.pdf","77161375")</f>
        <v>77161375</v>
      </c>
      <c r="F2088" s="7" t="s">
        <v>5811</v>
      </c>
      <c r="G2088" s="7" t="s">
        <v>5812</v>
      </c>
      <c r="H2088" s="7" t="s">
        <v>5813</v>
      </c>
      <c r="I2088" s="9">
        <v>45358</v>
      </c>
    </row>
    <row r="2089" spans="1:9" x14ac:dyDescent="0.15">
      <c r="A2089" s="6">
        <v>2088</v>
      </c>
      <c r="B2089" s="7" t="s">
        <v>10</v>
      </c>
      <c r="C2089" s="8">
        <v>1888</v>
      </c>
      <c r="D2089" s="9">
        <v>45432</v>
      </c>
      <c r="E2089" s="13" t="str">
        <f>+HYPERLINK("http://trademark.i-assist.jp/data/china/image_1888th/77161822.pdf","77161822")</f>
        <v>77161822</v>
      </c>
      <c r="F2089" s="7" t="s">
        <v>5814</v>
      </c>
      <c r="G2089" s="7" t="s">
        <v>5815</v>
      </c>
      <c r="H2089" s="7" t="s">
        <v>5816</v>
      </c>
      <c r="I2089" s="9">
        <v>45358</v>
      </c>
    </row>
    <row r="2090" spans="1:9" x14ac:dyDescent="0.15">
      <c r="A2090" s="6">
        <v>2089</v>
      </c>
      <c r="B2090" s="7" t="s">
        <v>10</v>
      </c>
      <c r="C2090" s="8">
        <v>1888</v>
      </c>
      <c r="D2090" s="9">
        <v>45432</v>
      </c>
      <c r="E2090" s="13" t="str">
        <f>+HYPERLINK("http://trademark.i-assist.jp/data/china/image_1888th/77162141.pdf","77162141")</f>
        <v>77162141</v>
      </c>
      <c r="F2090" s="7" t="s">
        <v>5817</v>
      </c>
      <c r="G2090" s="7" t="s">
        <v>5818</v>
      </c>
      <c r="H2090" s="7" t="s">
        <v>5819</v>
      </c>
      <c r="I2090" s="9">
        <v>45358</v>
      </c>
    </row>
    <row r="2091" spans="1:9" ht="27" x14ac:dyDescent="0.15">
      <c r="A2091" s="6">
        <v>2090</v>
      </c>
      <c r="B2091" s="7" t="s">
        <v>10</v>
      </c>
      <c r="C2091" s="8">
        <v>1888</v>
      </c>
      <c r="D2091" s="9">
        <v>45432</v>
      </c>
      <c r="E2091" s="13" t="str">
        <f>+HYPERLINK("http://trademark.i-assist.jp/data/china/image_1888th/77162390.pdf","77162390")</f>
        <v>77162390</v>
      </c>
      <c r="F2091" s="7" t="s">
        <v>5820</v>
      </c>
      <c r="G2091" s="7" t="s">
        <v>5601</v>
      </c>
      <c r="H2091" s="7" t="s">
        <v>5821</v>
      </c>
      <c r="I2091" s="9">
        <v>45358</v>
      </c>
    </row>
    <row r="2092" spans="1:9" x14ac:dyDescent="0.15">
      <c r="A2092" s="6">
        <v>2091</v>
      </c>
      <c r="B2092" s="7" t="s">
        <v>10</v>
      </c>
      <c r="C2092" s="8">
        <v>1888</v>
      </c>
      <c r="D2092" s="9">
        <v>45432</v>
      </c>
      <c r="E2092" s="13" t="str">
        <f>+HYPERLINK("http://trademark.i-assist.jp/data/china/image_1888th/77162630.pdf","77162630")</f>
        <v>77162630</v>
      </c>
      <c r="F2092" s="7" t="s">
        <v>5822</v>
      </c>
      <c r="G2092" s="7" t="s">
        <v>5823</v>
      </c>
      <c r="H2092" s="7" t="s">
        <v>5824</v>
      </c>
      <c r="I2092" s="9">
        <v>45358</v>
      </c>
    </row>
    <row r="2093" spans="1:9" x14ac:dyDescent="0.15">
      <c r="A2093" s="6">
        <v>2092</v>
      </c>
      <c r="B2093" s="7" t="s">
        <v>10</v>
      </c>
      <c r="C2093" s="8">
        <v>1888</v>
      </c>
      <c r="D2093" s="9">
        <v>45432</v>
      </c>
      <c r="E2093" s="13" t="str">
        <f>+HYPERLINK("http://trademark.i-assist.jp/data/china/image_1888th/77162693.pdf","77162693")</f>
        <v>77162693</v>
      </c>
      <c r="F2093" s="7" t="s">
        <v>5825</v>
      </c>
      <c r="G2093" s="7" t="s">
        <v>5803</v>
      </c>
      <c r="H2093" s="7" t="s">
        <v>5826</v>
      </c>
      <c r="I2093" s="9">
        <v>45358</v>
      </c>
    </row>
    <row r="2094" spans="1:9" x14ac:dyDescent="0.15">
      <c r="A2094" s="6">
        <v>2093</v>
      </c>
      <c r="B2094" s="7" t="s">
        <v>10</v>
      </c>
      <c r="C2094" s="8">
        <v>1888</v>
      </c>
      <c r="D2094" s="9">
        <v>45432</v>
      </c>
      <c r="E2094" s="13" t="str">
        <f>+HYPERLINK("http://trademark.i-assist.jp/data/china/image_1888th/77162746.pdf","77162746")</f>
        <v>77162746</v>
      </c>
      <c r="F2094" s="7" t="s">
        <v>76</v>
      </c>
      <c r="G2094" s="7" t="s">
        <v>5827</v>
      </c>
      <c r="H2094" s="7" t="s">
        <v>5828</v>
      </c>
      <c r="I2094" s="9">
        <v>45358</v>
      </c>
    </row>
    <row r="2095" spans="1:9" x14ac:dyDescent="0.15">
      <c r="A2095" s="6">
        <v>2094</v>
      </c>
      <c r="B2095" s="7" t="s">
        <v>10</v>
      </c>
      <c r="C2095" s="8">
        <v>1888</v>
      </c>
      <c r="D2095" s="9">
        <v>45432</v>
      </c>
      <c r="E2095" s="13" t="str">
        <f>+HYPERLINK("http://trademark.i-assist.jp/data/china/image_1888th/77162797.pdf","77162797")</f>
        <v>77162797</v>
      </c>
      <c r="F2095" s="7" t="s">
        <v>76</v>
      </c>
      <c r="G2095" s="7" t="s">
        <v>5829</v>
      </c>
      <c r="H2095" s="7" t="s">
        <v>5830</v>
      </c>
      <c r="I2095" s="9">
        <v>45358</v>
      </c>
    </row>
    <row r="2096" spans="1:9" x14ac:dyDescent="0.15">
      <c r="A2096" s="6">
        <v>2095</v>
      </c>
      <c r="B2096" s="7" t="s">
        <v>10</v>
      </c>
      <c r="C2096" s="8">
        <v>1888</v>
      </c>
      <c r="D2096" s="9">
        <v>45432</v>
      </c>
      <c r="E2096" s="13" t="str">
        <f>+HYPERLINK("http://trademark.i-assist.jp/data/china/image_1888th/77163026.pdf","77163026")</f>
        <v>77163026</v>
      </c>
      <c r="F2096" s="7" t="s">
        <v>5831</v>
      </c>
      <c r="G2096" s="7" t="s">
        <v>5635</v>
      </c>
      <c r="H2096" s="7" t="s">
        <v>5832</v>
      </c>
      <c r="I2096" s="9">
        <v>45358</v>
      </c>
    </row>
    <row r="2097" spans="1:9" x14ac:dyDescent="0.15">
      <c r="A2097" s="6">
        <v>2096</v>
      </c>
      <c r="B2097" s="7" t="s">
        <v>10</v>
      </c>
      <c r="C2097" s="8">
        <v>1888</v>
      </c>
      <c r="D2097" s="9">
        <v>45432</v>
      </c>
      <c r="E2097" s="13" t="str">
        <f>+HYPERLINK("http://trademark.i-assist.jp/data/china/image_1888th/77163426.pdf","77163426")</f>
        <v>77163426</v>
      </c>
      <c r="F2097" s="7" t="s">
        <v>5833</v>
      </c>
      <c r="G2097" s="7" t="s">
        <v>5834</v>
      </c>
      <c r="H2097" s="7" t="s">
        <v>5835</v>
      </c>
      <c r="I2097" s="9">
        <v>45358</v>
      </c>
    </row>
    <row r="2098" spans="1:9" ht="27" x14ac:dyDescent="0.15">
      <c r="A2098" s="6">
        <v>2097</v>
      </c>
      <c r="B2098" s="7" t="s">
        <v>10</v>
      </c>
      <c r="C2098" s="8">
        <v>1888</v>
      </c>
      <c r="D2098" s="9">
        <v>45432</v>
      </c>
      <c r="E2098" s="13" t="str">
        <f>+HYPERLINK("http://trademark.i-assist.jp/data/china/image_1888th/77163647.pdf","77163647")</f>
        <v>77163647</v>
      </c>
      <c r="F2098" s="7" t="s">
        <v>5836</v>
      </c>
      <c r="G2098" s="7" t="s">
        <v>5601</v>
      </c>
      <c r="H2098" s="7" t="s">
        <v>5837</v>
      </c>
      <c r="I2098" s="9">
        <v>45358</v>
      </c>
    </row>
    <row r="2099" spans="1:9" x14ac:dyDescent="0.15">
      <c r="A2099" s="6">
        <v>2098</v>
      </c>
      <c r="B2099" s="7" t="s">
        <v>10</v>
      </c>
      <c r="C2099" s="8">
        <v>1888</v>
      </c>
      <c r="D2099" s="9">
        <v>45432</v>
      </c>
      <c r="E2099" s="13" t="str">
        <f>+HYPERLINK("http://trademark.i-assist.jp/data/china/image_1888th/77163657.pdf","77163657")</f>
        <v>77163657</v>
      </c>
      <c r="F2099" s="7" t="s">
        <v>5838</v>
      </c>
      <c r="G2099" s="7" t="s">
        <v>5839</v>
      </c>
      <c r="H2099" s="7" t="s">
        <v>5840</v>
      </c>
      <c r="I2099" s="9">
        <v>45358</v>
      </c>
    </row>
    <row r="2100" spans="1:9" x14ac:dyDescent="0.15">
      <c r="A2100" s="6">
        <v>2099</v>
      </c>
      <c r="B2100" s="7" t="s">
        <v>10</v>
      </c>
      <c r="C2100" s="8">
        <v>1888</v>
      </c>
      <c r="D2100" s="9">
        <v>45432</v>
      </c>
      <c r="E2100" s="13" t="str">
        <f>+HYPERLINK("http://trademark.i-assist.jp/data/china/image_1888th/77163876.pdf","77163876")</f>
        <v>77163876</v>
      </c>
      <c r="F2100" s="7" t="s">
        <v>76</v>
      </c>
      <c r="G2100" s="7" t="s">
        <v>5841</v>
      </c>
      <c r="H2100" s="7" t="s">
        <v>5842</v>
      </c>
      <c r="I2100" s="9">
        <v>45358</v>
      </c>
    </row>
    <row r="2101" spans="1:9" ht="27" x14ac:dyDescent="0.15">
      <c r="A2101" s="6">
        <v>2100</v>
      </c>
      <c r="B2101" s="7" t="s">
        <v>10</v>
      </c>
      <c r="C2101" s="8">
        <v>1888</v>
      </c>
      <c r="D2101" s="9">
        <v>45432</v>
      </c>
      <c r="E2101" s="13" t="str">
        <f>+HYPERLINK("http://trademark.i-assist.jp/data/china/image_1888th/77164405.pdf","77164405")</f>
        <v>77164405</v>
      </c>
      <c r="F2101" s="7" t="s">
        <v>5843</v>
      </c>
      <c r="G2101" s="7" t="s">
        <v>5844</v>
      </c>
      <c r="H2101" s="7" t="s">
        <v>5845</v>
      </c>
      <c r="I2101" s="9">
        <v>45358</v>
      </c>
    </row>
    <row r="2102" spans="1:9" x14ac:dyDescent="0.15">
      <c r="A2102" s="6">
        <v>2101</v>
      </c>
      <c r="B2102" s="7" t="s">
        <v>10</v>
      </c>
      <c r="C2102" s="8">
        <v>1888</v>
      </c>
      <c r="D2102" s="9">
        <v>45432</v>
      </c>
      <c r="E2102" s="13" t="str">
        <f>+HYPERLINK("http://trademark.i-assist.jp/data/china/image_1888th/77164453.pdf","77164453")</f>
        <v>77164453</v>
      </c>
      <c r="F2102" s="7" t="s">
        <v>5846</v>
      </c>
      <c r="G2102" s="7" t="s">
        <v>5806</v>
      </c>
      <c r="H2102" s="7" t="s">
        <v>5847</v>
      </c>
      <c r="I2102" s="9">
        <v>45358</v>
      </c>
    </row>
    <row r="2103" spans="1:9" ht="27" x14ac:dyDescent="0.15">
      <c r="A2103" s="6">
        <v>2102</v>
      </c>
      <c r="B2103" s="7" t="s">
        <v>10</v>
      </c>
      <c r="C2103" s="8">
        <v>1888</v>
      </c>
      <c r="D2103" s="9">
        <v>45432</v>
      </c>
      <c r="E2103" s="13" t="str">
        <f>+HYPERLINK("http://trademark.i-assist.jp/data/china/image_1888th/77164462.pdf","77164462")</f>
        <v>77164462</v>
      </c>
      <c r="F2103" s="7" t="s">
        <v>5848</v>
      </c>
      <c r="G2103" s="7" t="s">
        <v>5675</v>
      </c>
      <c r="H2103" s="7" t="s">
        <v>5849</v>
      </c>
      <c r="I2103" s="9">
        <v>45358</v>
      </c>
    </row>
    <row r="2104" spans="1:9" x14ac:dyDescent="0.15">
      <c r="A2104" s="6">
        <v>2103</v>
      </c>
      <c r="B2104" s="7" t="s">
        <v>10</v>
      </c>
      <c r="C2104" s="8">
        <v>1888</v>
      </c>
      <c r="D2104" s="9">
        <v>45432</v>
      </c>
      <c r="E2104" s="13" t="str">
        <f>+HYPERLINK("http://trademark.i-assist.jp/data/china/image_1888th/77164554.pdf","77164554")</f>
        <v>77164554</v>
      </c>
      <c r="F2104" s="7" t="s">
        <v>5850</v>
      </c>
      <c r="G2104" s="7" t="s">
        <v>5851</v>
      </c>
      <c r="H2104" s="7" t="s">
        <v>5852</v>
      </c>
      <c r="I2104" s="9">
        <v>45358</v>
      </c>
    </row>
    <row r="2105" spans="1:9" x14ac:dyDescent="0.15">
      <c r="A2105" s="6">
        <v>2104</v>
      </c>
      <c r="B2105" s="7" t="s">
        <v>10</v>
      </c>
      <c r="C2105" s="8">
        <v>1888</v>
      </c>
      <c r="D2105" s="9">
        <v>45432</v>
      </c>
      <c r="E2105" s="13" t="str">
        <f>+HYPERLINK("http://trademark.i-assist.jp/data/china/image_1888th/77164598.pdf","77164598")</f>
        <v>77164598</v>
      </c>
      <c r="F2105" s="7" t="s">
        <v>5853</v>
      </c>
      <c r="G2105" s="7" t="s">
        <v>5854</v>
      </c>
      <c r="H2105" s="7" t="s">
        <v>5855</v>
      </c>
      <c r="I2105" s="9">
        <v>45358</v>
      </c>
    </row>
    <row r="2106" spans="1:9" x14ac:dyDescent="0.15">
      <c r="A2106" s="6">
        <v>2105</v>
      </c>
      <c r="B2106" s="7" t="s">
        <v>10</v>
      </c>
      <c r="C2106" s="8">
        <v>1888</v>
      </c>
      <c r="D2106" s="9">
        <v>45432</v>
      </c>
      <c r="E2106" s="13" t="str">
        <f>+HYPERLINK("http://trademark.i-assist.jp/data/china/image_1888th/77164825.pdf","77164825")</f>
        <v>77164825</v>
      </c>
      <c r="F2106" s="7" t="s">
        <v>5856</v>
      </c>
      <c r="G2106" s="7" t="s">
        <v>5857</v>
      </c>
      <c r="H2106" s="7" t="s">
        <v>5858</v>
      </c>
      <c r="I2106" s="9">
        <v>45358</v>
      </c>
    </row>
    <row r="2107" spans="1:9" ht="27" x14ac:dyDescent="0.15">
      <c r="A2107" s="6">
        <v>2106</v>
      </c>
      <c r="B2107" s="7" t="s">
        <v>10</v>
      </c>
      <c r="C2107" s="8">
        <v>1888</v>
      </c>
      <c r="D2107" s="9">
        <v>45432</v>
      </c>
      <c r="E2107" s="13" t="str">
        <f>+HYPERLINK("http://trademark.i-assist.jp/data/china/image_1888th/77164855.pdf","77164855")</f>
        <v>77164855</v>
      </c>
      <c r="F2107" s="7" t="s">
        <v>5859</v>
      </c>
      <c r="G2107" s="7" t="s">
        <v>5812</v>
      </c>
      <c r="H2107" s="7" t="s">
        <v>5860</v>
      </c>
      <c r="I2107" s="9">
        <v>45358</v>
      </c>
    </row>
    <row r="2108" spans="1:9" ht="27" x14ac:dyDescent="0.15">
      <c r="A2108" s="6">
        <v>2107</v>
      </c>
      <c r="B2108" s="7" t="s">
        <v>10</v>
      </c>
      <c r="C2108" s="8">
        <v>1888</v>
      </c>
      <c r="D2108" s="9">
        <v>45432</v>
      </c>
      <c r="E2108" s="13" t="str">
        <f>+HYPERLINK("http://trademark.i-assist.jp/data/china/image_1888th/77164975.pdf","77164975")</f>
        <v>77164975</v>
      </c>
      <c r="F2108" s="7" t="s">
        <v>5861</v>
      </c>
      <c r="G2108" s="7" t="s">
        <v>5862</v>
      </c>
      <c r="H2108" s="7" t="s">
        <v>5863</v>
      </c>
      <c r="I2108" s="9">
        <v>45358</v>
      </c>
    </row>
    <row r="2109" spans="1:9" x14ac:dyDescent="0.15">
      <c r="A2109" s="6">
        <v>2108</v>
      </c>
      <c r="B2109" s="7" t="s">
        <v>10</v>
      </c>
      <c r="C2109" s="8">
        <v>1888</v>
      </c>
      <c r="D2109" s="9">
        <v>45432</v>
      </c>
      <c r="E2109" s="13" t="str">
        <f>+HYPERLINK("http://trademark.i-assist.jp/data/china/image_1888th/77165335.pdf","77165335")</f>
        <v>77165335</v>
      </c>
      <c r="F2109" s="7" t="s">
        <v>5864</v>
      </c>
      <c r="G2109" s="7" t="s">
        <v>5865</v>
      </c>
      <c r="H2109" s="7" t="s">
        <v>5866</v>
      </c>
      <c r="I2109" s="9">
        <v>45358</v>
      </c>
    </row>
    <row r="2110" spans="1:9" x14ac:dyDescent="0.15">
      <c r="A2110" s="6">
        <v>2109</v>
      </c>
      <c r="B2110" s="7" t="s">
        <v>10</v>
      </c>
      <c r="C2110" s="8">
        <v>1888</v>
      </c>
      <c r="D2110" s="9">
        <v>45432</v>
      </c>
      <c r="E2110" s="13" t="str">
        <f>+HYPERLINK("http://trademark.i-assist.jp/data/china/image_1888th/77165828.pdf","77165828")</f>
        <v>77165828</v>
      </c>
      <c r="F2110" s="7" t="s">
        <v>5867</v>
      </c>
      <c r="G2110" s="7" t="s">
        <v>5683</v>
      </c>
      <c r="H2110" s="7" t="s">
        <v>5868</v>
      </c>
      <c r="I2110" s="9">
        <v>45358</v>
      </c>
    </row>
    <row r="2111" spans="1:9" x14ac:dyDescent="0.15">
      <c r="A2111" s="6">
        <v>2110</v>
      </c>
      <c r="B2111" s="7" t="s">
        <v>10</v>
      </c>
      <c r="C2111" s="8">
        <v>1888</v>
      </c>
      <c r="D2111" s="9">
        <v>45432</v>
      </c>
      <c r="E2111" s="13" t="str">
        <f>+HYPERLINK("http://trademark.i-assist.jp/data/china/image_1888th/77165895.pdf","77165895")</f>
        <v>77165895</v>
      </c>
      <c r="F2111" s="7" t="s">
        <v>5869</v>
      </c>
      <c r="G2111" s="7" t="s">
        <v>5870</v>
      </c>
      <c r="H2111" s="7" t="s">
        <v>5871</v>
      </c>
      <c r="I2111" s="9">
        <v>45358</v>
      </c>
    </row>
    <row r="2112" spans="1:9" x14ac:dyDescent="0.15">
      <c r="A2112" s="6">
        <v>2111</v>
      </c>
      <c r="B2112" s="7" t="s">
        <v>10</v>
      </c>
      <c r="C2112" s="8">
        <v>1888</v>
      </c>
      <c r="D2112" s="9">
        <v>45432</v>
      </c>
      <c r="E2112" s="13" t="str">
        <f>+HYPERLINK("http://trademark.i-assist.jp/data/china/image_1888th/77166012.pdf","77166012")</f>
        <v>77166012</v>
      </c>
      <c r="F2112" s="7" t="s">
        <v>5872</v>
      </c>
      <c r="G2112" s="7" t="s">
        <v>5613</v>
      </c>
      <c r="H2112" s="7" t="s">
        <v>5873</v>
      </c>
      <c r="I2112" s="9">
        <v>45358</v>
      </c>
    </row>
    <row r="2113" spans="1:9" ht="27" x14ac:dyDescent="0.15">
      <c r="A2113" s="6">
        <v>2112</v>
      </c>
      <c r="B2113" s="7" t="s">
        <v>10</v>
      </c>
      <c r="C2113" s="8">
        <v>1888</v>
      </c>
      <c r="D2113" s="9">
        <v>45432</v>
      </c>
      <c r="E2113" s="13" t="str">
        <f>+HYPERLINK("http://trademark.i-assist.jp/data/china/image_1888th/77166032.pdf","77166032")</f>
        <v>77166032</v>
      </c>
      <c r="F2113" s="7" t="s">
        <v>5874</v>
      </c>
      <c r="G2113" s="7" t="s">
        <v>5875</v>
      </c>
      <c r="H2113" s="7" t="s">
        <v>5876</v>
      </c>
      <c r="I2113" s="9">
        <v>45358</v>
      </c>
    </row>
    <row r="2114" spans="1:9" ht="27" x14ac:dyDescent="0.15">
      <c r="A2114" s="6">
        <v>2113</v>
      </c>
      <c r="B2114" s="7" t="s">
        <v>10</v>
      </c>
      <c r="C2114" s="8">
        <v>1888</v>
      </c>
      <c r="D2114" s="9">
        <v>45432</v>
      </c>
      <c r="E2114" s="13" t="str">
        <f>+HYPERLINK("http://trademark.i-assist.jp/data/china/image_1888th/77166345.pdf","77166345")</f>
        <v>77166345</v>
      </c>
      <c r="F2114" s="7" t="s">
        <v>5877</v>
      </c>
      <c r="G2114" s="7" t="s">
        <v>5878</v>
      </c>
      <c r="H2114" s="7" t="s">
        <v>5879</v>
      </c>
      <c r="I2114" s="9">
        <v>45358</v>
      </c>
    </row>
    <row r="2115" spans="1:9" x14ac:dyDescent="0.15">
      <c r="A2115" s="6">
        <v>2114</v>
      </c>
      <c r="B2115" s="7" t="s">
        <v>10</v>
      </c>
      <c r="C2115" s="8">
        <v>1888</v>
      </c>
      <c r="D2115" s="9">
        <v>45432</v>
      </c>
      <c r="E2115" s="13" t="str">
        <f>+HYPERLINK("http://trademark.i-assist.jp/data/china/image_1888th/77166387.pdf","77166387")</f>
        <v>77166387</v>
      </c>
      <c r="F2115" s="7" t="s">
        <v>5880</v>
      </c>
      <c r="G2115" s="7" t="s">
        <v>5881</v>
      </c>
      <c r="H2115" s="7" t="s">
        <v>5882</v>
      </c>
      <c r="I2115" s="9">
        <v>45358</v>
      </c>
    </row>
    <row r="2116" spans="1:9" ht="27" x14ac:dyDescent="0.15">
      <c r="A2116" s="6">
        <v>2115</v>
      </c>
      <c r="B2116" s="7" t="s">
        <v>10</v>
      </c>
      <c r="C2116" s="8">
        <v>1888</v>
      </c>
      <c r="D2116" s="9">
        <v>45432</v>
      </c>
      <c r="E2116" s="13" t="str">
        <f>+HYPERLINK("http://trademark.i-assist.jp/data/china/image_1888th/77166579.pdf","77166579")</f>
        <v>77166579</v>
      </c>
      <c r="F2116" s="7" t="s">
        <v>5883</v>
      </c>
      <c r="G2116" s="7" t="s">
        <v>5601</v>
      </c>
      <c r="H2116" s="7" t="s">
        <v>5884</v>
      </c>
      <c r="I2116" s="9">
        <v>45358</v>
      </c>
    </row>
    <row r="2117" spans="1:9" ht="27" x14ac:dyDescent="0.15">
      <c r="A2117" s="6">
        <v>2116</v>
      </c>
      <c r="B2117" s="7" t="s">
        <v>10</v>
      </c>
      <c r="C2117" s="8">
        <v>1888</v>
      </c>
      <c r="D2117" s="9">
        <v>45432</v>
      </c>
      <c r="E2117" s="13" t="str">
        <f>+HYPERLINK("http://trademark.i-assist.jp/data/china/image_1888th/77166638.pdf","77166638")</f>
        <v>77166638</v>
      </c>
      <c r="F2117" s="7" t="s">
        <v>5885</v>
      </c>
      <c r="G2117" s="7" t="s">
        <v>5886</v>
      </c>
      <c r="H2117" s="7" t="s">
        <v>5887</v>
      </c>
      <c r="I2117" s="9">
        <v>45358</v>
      </c>
    </row>
    <row r="2118" spans="1:9" ht="27" x14ac:dyDescent="0.15">
      <c r="A2118" s="6">
        <v>2117</v>
      </c>
      <c r="B2118" s="7" t="s">
        <v>10</v>
      </c>
      <c r="C2118" s="8">
        <v>1888</v>
      </c>
      <c r="D2118" s="9">
        <v>45432</v>
      </c>
      <c r="E2118" s="13" t="str">
        <f>+HYPERLINK("http://trademark.i-assist.jp/data/china/image_1888th/77166744.pdf","77166744")</f>
        <v>77166744</v>
      </c>
      <c r="F2118" s="7" t="s">
        <v>5888</v>
      </c>
      <c r="G2118" s="7" t="s">
        <v>4737</v>
      </c>
      <c r="H2118" s="7" t="s">
        <v>5889</v>
      </c>
      <c r="I2118" s="9">
        <v>45358</v>
      </c>
    </row>
    <row r="2119" spans="1:9" x14ac:dyDescent="0.15">
      <c r="A2119" s="6">
        <v>2118</v>
      </c>
      <c r="B2119" s="7" t="s">
        <v>10</v>
      </c>
      <c r="C2119" s="8">
        <v>1888</v>
      </c>
      <c r="D2119" s="9">
        <v>45432</v>
      </c>
      <c r="E2119" s="13" t="str">
        <f>+HYPERLINK("http://trademark.i-assist.jp/data/china/image_1888th/77166783.pdf","77166783")</f>
        <v>77166783</v>
      </c>
      <c r="F2119" s="7" t="s">
        <v>5890</v>
      </c>
      <c r="G2119" s="7" t="s">
        <v>5891</v>
      </c>
      <c r="H2119" s="7" t="s">
        <v>5892</v>
      </c>
      <c r="I2119" s="9">
        <v>45358</v>
      </c>
    </row>
    <row r="2120" spans="1:9" x14ac:dyDescent="0.15">
      <c r="A2120" s="6">
        <v>2119</v>
      </c>
      <c r="B2120" s="7" t="s">
        <v>10</v>
      </c>
      <c r="C2120" s="8">
        <v>1888</v>
      </c>
      <c r="D2120" s="9">
        <v>45432</v>
      </c>
      <c r="E2120" s="13" t="str">
        <f>+HYPERLINK("http://trademark.i-assist.jp/data/china/image_1888th/77167093.pdf","77167093")</f>
        <v>77167093</v>
      </c>
      <c r="F2120" s="7" t="s">
        <v>5893</v>
      </c>
      <c r="G2120" s="7" t="s">
        <v>5894</v>
      </c>
      <c r="H2120" s="7" t="s">
        <v>5895</v>
      </c>
      <c r="I2120" s="9">
        <v>45358</v>
      </c>
    </row>
    <row r="2121" spans="1:9" x14ac:dyDescent="0.15">
      <c r="A2121" s="6">
        <v>2120</v>
      </c>
      <c r="B2121" s="7" t="s">
        <v>10</v>
      </c>
      <c r="C2121" s="8">
        <v>1888</v>
      </c>
      <c r="D2121" s="9">
        <v>45432</v>
      </c>
      <c r="E2121" s="13" t="str">
        <f>+HYPERLINK("http://trademark.i-assist.jp/data/china/image_1888th/77167157.pdf","77167157")</f>
        <v>77167157</v>
      </c>
      <c r="F2121" s="7" t="s">
        <v>5896</v>
      </c>
      <c r="G2121" s="7" t="s">
        <v>5897</v>
      </c>
      <c r="H2121" s="7" t="s">
        <v>5898</v>
      </c>
      <c r="I2121" s="9">
        <v>45358</v>
      </c>
    </row>
    <row r="2122" spans="1:9" x14ac:dyDescent="0.15">
      <c r="A2122" s="6">
        <v>2121</v>
      </c>
      <c r="B2122" s="7" t="s">
        <v>10</v>
      </c>
      <c r="C2122" s="8">
        <v>1888</v>
      </c>
      <c r="D2122" s="9">
        <v>45432</v>
      </c>
      <c r="E2122" s="13" t="str">
        <f>+HYPERLINK("http://trademark.i-assist.jp/data/china/image_1888th/77167400.pdf","77167400")</f>
        <v>77167400</v>
      </c>
      <c r="F2122" s="7" t="s">
        <v>5899</v>
      </c>
      <c r="G2122" s="7" t="s">
        <v>5683</v>
      </c>
      <c r="H2122" s="7" t="s">
        <v>5900</v>
      </c>
      <c r="I2122" s="9">
        <v>45358</v>
      </c>
    </row>
    <row r="2123" spans="1:9" ht="27" x14ac:dyDescent="0.15">
      <c r="A2123" s="6">
        <v>2122</v>
      </c>
      <c r="B2123" s="7" t="s">
        <v>10</v>
      </c>
      <c r="C2123" s="8">
        <v>1888</v>
      </c>
      <c r="D2123" s="9">
        <v>45432</v>
      </c>
      <c r="E2123" s="13" t="str">
        <f>+HYPERLINK("http://trademark.i-assist.jp/data/china/image_1888th/77167433.pdf","77167433")</f>
        <v>77167433</v>
      </c>
      <c r="F2123" s="7" t="s">
        <v>5901</v>
      </c>
      <c r="G2123" s="7" t="s">
        <v>5902</v>
      </c>
      <c r="H2123" s="7" t="s">
        <v>5903</v>
      </c>
      <c r="I2123" s="9">
        <v>45358</v>
      </c>
    </row>
    <row r="2124" spans="1:9" x14ac:dyDescent="0.15">
      <c r="A2124" s="6">
        <v>2123</v>
      </c>
      <c r="B2124" s="7" t="s">
        <v>10</v>
      </c>
      <c r="C2124" s="8">
        <v>1888</v>
      </c>
      <c r="D2124" s="9">
        <v>45432</v>
      </c>
      <c r="E2124" s="13" t="str">
        <f>+HYPERLINK("http://trademark.i-assist.jp/data/china/image_1888th/77167920.pdf","77167920")</f>
        <v>77167920</v>
      </c>
      <c r="F2124" s="7" t="s">
        <v>5904</v>
      </c>
      <c r="G2124" s="7" t="s">
        <v>5905</v>
      </c>
      <c r="H2124" s="7" t="s">
        <v>5906</v>
      </c>
      <c r="I2124" s="9">
        <v>45358</v>
      </c>
    </row>
    <row r="2125" spans="1:9" x14ac:dyDescent="0.15">
      <c r="A2125" s="6">
        <v>2124</v>
      </c>
      <c r="B2125" s="7" t="s">
        <v>10</v>
      </c>
      <c r="C2125" s="8">
        <v>1888</v>
      </c>
      <c r="D2125" s="9">
        <v>45432</v>
      </c>
      <c r="E2125" s="13" t="str">
        <f>+HYPERLINK("http://trademark.i-assist.jp/data/china/image_1888th/77168156.pdf","77168156")</f>
        <v>77168156</v>
      </c>
      <c r="F2125" s="7" t="s">
        <v>5907</v>
      </c>
      <c r="G2125" s="7" t="s">
        <v>5908</v>
      </c>
      <c r="H2125" s="7" t="s">
        <v>5909</v>
      </c>
      <c r="I2125" s="9">
        <v>45358</v>
      </c>
    </row>
    <row r="2126" spans="1:9" x14ac:dyDescent="0.15">
      <c r="A2126" s="6">
        <v>2125</v>
      </c>
      <c r="B2126" s="7" t="s">
        <v>10</v>
      </c>
      <c r="C2126" s="8">
        <v>1888</v>
      </c>
      <c r="D2126" s="9">
        <v>45432</v>
      </c>
      <c r="E2126" s="13" t="str">
        <f>+HYPERLINK("http://trademark.i-assist.jp/data/china/image_1888th/77168235.pdf","77168235")</f>
        <v>77168235</v>
      </c>
      <c r="F2126" s="7" t="s">
        <v>5910</v>
      </c>
      <c r="G2126" s="7" t="s">
        <v>5911</v>
      </c>
      <c r="H2126" s="7" t="s">
        <v>5912</v>
      </c>
      <c r="I2126" s="9">
        <v>45358</v>
      </c>
    </row>
    <row r="2127" spans="1:9" x14ac:dyDescent="0.15">
      <c r="A2127" s="6">
        <v>2126</v>
      </c>
      <c r="B2127" s="7" t="s">
        <v>10</v>
      </c>
      <c r="C2127" s="8">
        <v>1888</v>
      </c>
      <c r="D2127" s="9">
        <v>45432</v>
      </c>
      <c r="E2127" s="13" t="str">
        <f>+HYPERLINK("http://trademark.i-assist.jp/data/china/image_1888th/77168375.pdf","77168375")</f>
        <v>77168375</v>
      </c>
      <c r="F2127" s="7" t="s">
        <v>5913</v>
      </c>
      <c r="G2127" s="7" t="s">
        <v>5914</v>
      </c>
      <c r="H2127" s="7" t="s">
        <v>5915</v>
      </c>
      <c r="I2127" s="9">
        <v>45358</v>
      </c>
    </row>
    <row r="2128" spans="1:9" ht="27" x14ac:dyDescent="0.15">
      <c r="A2128" s="6">
        <v>2127</v>
      </c>
      <c r="B2128" s="7" t="s">
        <v>10</v>
      </c>
      <c r="C2128" s="8">
        <v>1888</v>
      </c>
      <c r="D2128" s="9">
        <v>45432</v>
      </c>
      <c r="E2128" s="13" t="str">
        <f>+HYPERLINK("http://trademark.i-assist.jp/data/china/image_1888th/77168423.pdf","77168423")</f>
        <v>77168423</v>
      </c>
      <c r="F2128" s="7" t="s">
        <v>76</v>
      </c>
      <c r="G2128" s="7" t="s">
        <v>5916</v>
      </c>
      <c r="H2128" s="7" t="s">
        <v>5917</v>
      </c>
      <c r="I2128" s="9">
        <v>45358</v>
      </c>
    </row>
    <row r="2129" spans="1:9" x14ac:dyDescent="0.15">
      <c r="A2129" s="6">
        <v>2128</v>
      </c>
      <c r="B2129" s="7" t="s">
        <v>10</v>
      </c>
      <c r="C2129" s="8">
        <v>1888</v>
      </c>
      <c r="D2129" s="9">
        <v>45432</v>
      </c>
      <c r="E2129" s="13" t="str">
        <f>+HYPERLINK("http://trademark.i-assist.jp/data/china/image_1888th/77168653.pdf","77168653")</f>
        <v>77168653</v>
      </c>
      <c r="F2129" s="7" t="s">
        <v>5918</v>
      </c>
      <c r="G2129" s="7" t="s">
        <v>5919</v>
      </c>
      <c r="H2129" s="7" t="s">
        <v>5920</v>
      </c>
      <c r="I2129" s="9">
        <v>45358</v>
      </c>
    </row>
    <row r="2130" spans="1:9" x14ac:dyDescent="0.15">
      <c r="A2130" s="6">
        <v>2129</v>
      </c>
      <c r="B2130" s="7" t="s">
        <v>10</v>
      </c>
      <c r="C2130" s="8">
        <v>1888</v>
      </c>
      <c r="D2130" s="9">
        <v>45432</v>
      </c>
      <c r="E2130" s="13" t="str">
        <f>+HYPERLINK("http://trademark.i-assist.jp/data/china/image_1888th/77168946.pdf","77168946")</f>
        <v>77168946</v>
      </c>
      <c r="F2130" s="7" t="s">
        <v>76</v>
      </c>
      <c r="G2130" s="7" t="s">
        <v>5921</v>
      </c>
      <c r="H2130" s="7" t="s">
        <v>5922</v>
      </c>
      <c r="I2130" s="9">
        <v>45358</v>
      </c>
    </row>
    <row r="2131" spans="1:9" x14ac:dyDescent="0.15">
      <c r="A2131" s="6">
        <v>2130</v>
      </c>
      <c r="B2131" s="7" t="s">
        <v>10</v>
      </c>
      <c r="C2131" s="8">
        <v>1888</v>
      </c>
      <c r="D2131" s="9">
        <v>45432</v>
      </c>
      <c r="E2131" s="13" t="str">
        <f>+HYPERLINK("http://trademark.i-assist.jp/data/china/image_1888th/77169173.pdf","77169173")</f>
        <v>77169173</v>
      </c>
      <c r="F2131" s="7" t="s">
        <v>5923</v>
      </c>
      <c r="G2131" s="7" t="s">
        <v>5924</v>
      </c>
      <c r="H2131" s="7" t="s">
        <v>5925</v>
      </c>
      <c r="I2131" s="9">
        <v>45358</v>
      </c>
    </row>
    <row r="2132" spans="1:9" x14ac:dyDescent="0.15">
      <c r="A2132" s="6">
        <v>2131</v>
      </c>
      <c r="B2132" s="7" t="s">
        <v>10</v>
      </c>
      <c r="C2132" s="8">
        <v>1888</v>
      </c>
      <c r="D2132" s="9">
        <v>45432</v>
      </c>
      <c r="E2132" s="13" t="str">
        <f>+HYPERLINK("http://trademark.i-assist.jp/data/china/image_1888th/77169211.pdf","77169211")</f>
        <v>77169211</v>
      </c>
      <c r="F2132" s="7" t="s">
        <v>5926</v>
      </c>
      <c r="G2132" s="7" t="s">
        <v>5927</v>
      </c>
      <c r="H2132" s="7" t="s">
        <v>5928</v>
      </c>
      <c r="I2132" s="9">
        <v>45358</v>
      </c>
    </row>
    <row r="2133" spans="1:9" x14ac:dyDescent="0.15">
      <c r="A2133" s="6">
        <v>2132</v>
      </c>
      <c r="B2133" s="7" t="s">
        <v>10</v>
      </c>
      <c r="C2133" s="8">
        <v>1888</v>
      </c>
      <c r="D2133" s="9">
        <v>45432</v>
      </c>
      <c r="E2133" s="13" t="str">
        <f>+HYPERLINK("http://trademark.i-assist.jp/data/china/image_1888th/77169472.pdf","77169472")</f>
        <v>77169472</v>
      </c>
      <c r="F2133" s="7" t="s">
        <v>5929</v>
      </c>
      <c r="G2133" s="7" t="s">
        <v>5930</v>
      </c>
      <c r="H2133" s="7" t="s">
        <v>5931</v>
      </c>
      <c r="I2133" s="9">
        <v>45358</v>
      </c>
    </row>
    <row r="2134" spans="1:9" x14ac:dyDescent="0.15">
      <c r="A2134" s="6">
        <v>2133</v>
      </c>
      <c r="B2134" s="7" t="s">
        <v>10</v>
      </c>
      <c r="C2134" s="8">
        <v>1888</v>
      </c>
      <c r="D2134" s="9">
        <v>45432</v>
      </c>
      <c r="E2134" s="13" t="str">
        <f>+HYPERLINK("http://trademark.i-assist.jp/data/china/image_1888th/77169761.pdf","77169761")</f>
        <v>77169761</v>
      </c>
      <c r="F2134" s="7" t="s">
        <v>5932</v>
      </c>
      <c r="G2134" s="7" t="s">
        <v>5933</v>
      </c>
      <c r="H2134" s="7" t="s">
        <v>5934</v>
      </c>
      <c r="I2134" s="9">
        <v>45358</v>
      </c>
    </row>
    <row r="2135" spans="1:9" ht="27" x14ac:dyDescent="0.15">
      <c r="A2135" s="6">
        <v>2134</v>
      </c>
      <c r="B2135" s="7" t="s">
        <v>10</v>
      </c>
      <c r="C2135" s="8">
        <v>1888</v>
      </c>
      <c r="D2135" s="9">
        <v>45432</v>
      </c>
      <c r="E2135" s="13" t="str">
        <f>+HYPERLINK("http://trademark.i-assist.jp/data/china/image_1888th/77170016.pdf","77170016")</f>
        <v>77170016</v>
      </c>
      <c r="F2135" s="7" t="s">
        <v>5935</v>
      </c>
      <c r="G2135" s="7" t="s">
        <v>5936</v>
      </c>
      <c r="H2135" s="7" t="s">
        <v>5937</v>
      </c>
      <c r="I2135" s="9">
        <v>45358</v>
      </c>
    </row>
    <row r="2136" spans="1:9" ht="27" x14ac:dyDescent="0.15">
      <c r="A2136" s="6">
        <v>2135</v>
      </c>
      <c r="B2136" s="7" t="s">
        <v>10</v>
      </c>
      <c r="C2136" s="8">
        <v>1888</v>
      </c>
      <c r="D2136" s="9">
        <v>45432</v>
      </c>
      <c r="E2136" s="13" t="str">
        <f>+HYPERLINK("http://trademark.i-assist.jp/data/china/image_1888th/77170309.pdf","77170309")</f>
        <v>77170309</v>
      </c>
      <c r="F2136" s="7" t="s">
        <v>5938</v>
      </c>
      <c r="G2136" s="7" t="s">
        <v>5939</v>
      </c>
      <c r="H2136" s="7" t="s">
        <v>5940</v>
      </c>
      <c r="I2136" s="9">
        <v>45358</v>
      </c>
    </row>
    <row r="2137" spans="1:9" x14ac:dyDescent="0.15">
      <c r="A2137" s="6">
        <v>2136</v>
      </c>
      <c r="B2137" s="7" t="s">
        <v>10</v>
      </c>
      <c r="C2137" s="8">
        <v>1888</v>
      </c>
      <c r="D2137" s="9">
        <v>45432</v>
      </c>
      <c r="E2137" s="13" t="str">
        <f>+HYPERLINK("http://trademark.i-assist.jp/data/china/image_1888th/77170666.pdf","77170666")</f>
        <v>77170666</v>
      </c>
      <c r="F2137" s="7" t="s">
        <v>76</v>
      </c>
      <c r="G2137" s="7" t="s">
        <v>5941</v>
      </c>
      <c r="H2137" s="7" t="s">
        <v>5942</v>
      </c>
      <c r="I2137" s="9">
        <v>45358</v>
      </c>
    </row>
    <row r="2138" spans="1:9" x14ac:dyDescent="0.15">
      <c r="A2138" s="6">
        <v>2137</v>
      </c>
      <c r="B2138" s="7" t="s">
        <v>10</v>
      </c>
      <c r="C2138" s="8">
        <v>1888</v>
      </c>
      <c r="D2138" s="9">
        <v>45432</v>
      </c>
      <c r="E2138" s="13" t="str">
        <f>+HYPERLINK("http://trademark.i-assist.jp/data/china/image_1888th/77170891.pdf","77170891")</f>
        <v>77170891</v>
      </c>
      <c r="F2138" s="7" t="s">
        <v>5943</v>
      </c>
      <c r="G2138" s="7" t="s">
        <v>5944</v>
      </c>
      <c r="H2138" s="7" t="s">
        <v>5945</v>
      </c>
      <c r="I2138" s="9">
        <v>45358</v>
      </c>
    </row>
    <row r="2139" spans="1:9" ht="27" x14ac:dyDescent="0.15">
      <c r="A2139" s="6">
        <v>2138</v>
      </c>
      <c r="B2139" s="7" t="s">
        <v>10</v>
      </c>
      <c r="C2139" s="8">
        <v>1888</v>
      </c>
      <c r="D2139" s="9">
        <v>45432</v>
      </c>
      <c r="E2139" s="13" t="str">
        <f>+HYPERLINK("http://trademark.i-assist.jp/data/china/image_1888th/77171160.pdf","77171160")</f>
        <v>77171160</v>
      </c>
      <c r="F2139" s="7" t="s">
        <v>5946</v>
      </c>
      <c r="G2139" s="7" t="s">
        <v>5947</v>
      </c>
      <c r="H2139" s="7" t="s">
        <v>5948</v>
      </c>
      <c r="I2139" s="9">
        <v>45358</v>
      </c>
    </row>
    <row r="2140" spans="1:9" x14ac:dyDescent="0.15">
      <c r="A2140" s="6">
        <v>2139</v>
      </c>
      <c r="B2140" s="7" t="s">
        <v>10</v>
      </c>
      <c r="C2140" s="8">
        <v>1888</v>
      </c>
      <c r="D2140" s="9">
        <v>45432</v>
      </c>
      <c r="E2140" s="13" t="str">
        <f>+HYPERLINK("http://trademark.i-assist.jp/data/china/image_1888th/77171772.pdf","77171772")</f>
        <v>77171772</v>
      </c>
      <c r="F2140" s="7" t="s">
        <v>5949</v>
      </c>
      <c r="G2140" s="7" t="s">
        <v>5950</v>
      </c>
      <c r="H2140" s="7" t="s">
        <v>5951</v>
      </c>
      <c r="I2140" s="9">
        <v>45358</v>
      </c>
    </row>
    <row r="2141" spans="1:9" x14ac:dyDescent="0.15">
      <c r="A2141" s="6">
        <v>2140</v>
      </c>
      <c r="B2141" s="7" t="s">
        <v>10</v>
      </c>
      <c r="C2141" s="8">
        <v>1888</v>
      </c>
      <c r="D2141" s="9">
        <v>45432</v>
      </c>
      <c r="E2141" s="13" t="str">
        <f>+HYPERLINK("http://trademark.i-assist.jp/data/china/image_1888th/77171794.pdf","77171794")</f>
        <v>77171794</v>
      </c>
      <c r="F2141" s="7" t="s">
        <v>5952</v>
      </c>
      <c r="G2141" s="7" t="s">
        <v>5953</v>
      </c>
      <c r="H2141" s="7" t="s">
        <v>5954</v>
      </c>
      <c r="I2141" s="9">
        <v>45358</v>
      </c>
    </row>
    <row r="2142" spans="1:9" x14ac:dyDescent="0.15">
      <c r="A2142" s="6">
        <v>2141</v>
      </c>
      <c r="B2142" s="7" t="s">
        <v>10</v>
      </c>
      <c r="C2142" s="8">
        <v>1888</v>
      </c>
      <c r="D2142" s="9">
        <v>45432</v>
      </c>
      <c r="E2142" s="13" t="str">
        <f>+HYPERLINK("http://trademark.i-assist.jp/data/china/image_1888th/77172044.pdf","77172044")</f>
        <v>77172044</v>
      </c>
      <c r="F2142" s="7" t="s">
        <v>5955</v>
      </c>
      <c r="G2142" s="7" t="s">
        <v>5787</v>
      </c>
      <c r="H2142" s="7" t="s">
        <v>5956</v>
      </c>
      <c r="I2142" s="9">
        <v>45358</v>
      </c>
    </row>
    <row r="2143" spans="1:9" x14ac:dyDescent="0.15">
      <c r="A2143" s="6">
        <v>2142</v>
      </c>
      <c r="B2143" s="7" t="s">
        <v>10</v>
      </c>
      <c r="C2143" s="8">
        <v>1888</v>
      </c>
      <c r="D2143" s="9">
        <v>45432</v>
      </c>
      <c r="E2143" s="13" t="str">
        <f>+HYPERLINK("http://trademark.i-assist.jp/data/china/image_1888th/77172219.pdf","77172219")</f>
        <v>77172219</v>
      </c>
      <c r="F2143" s="7" t="s">
        <v>5957</v>
      </c>
      <c r="G2143" s="7" t="s">
        <v>5958</v>
      </c>
      <c r="H2143" s="7" t="s">
        <v>5959</v>
      </c>
      <c r="I2143" s="9">
        <v>45358</v>
      </c>
    </row>
    <row r="2144" spans="1:9" x14ac:dyDescent="0.15">
      <c r="A2144" s="6">
        <v>2143</v>
      </c>
      <c r="B2144" s="7" t="s">
        <v>10</v>
      </c>
      <c r="C2144" s="8">
        <v>1888</v>
      </c>
      <c r="D2144" s="9">
        <v>45432</v>
      </c>
      <c r="E2144" s="13" t="str">
        <f>+HYPERLINK("http://trademark.i-assist.jp/data/china/image_1888th/77172229.pdf","77172229")</f>
        <v>77172229</v>
      </c>
      <c r="F2144" s="7" t="s">
        <v>76</v>
      </c>
      <c r="G2144" s="7" t="s">
        <v>5960</v>
      </c>
      <c r="H2144" s="7" t="s">
        <v>5961</v>
      </c>
      <c r="I2144" s="9">
        <v>45358</v>
      </c>
    </row>
    <row r="2145" spans="1:9" ht="27" x14ac:dyDescent="0.15">
      <c r="A2145" s="6">
        <v>2144</v>
      </c>
      <c r="B2145" s="7" t="s">
        <v>10</v>
      </c>
      <c r="C2145" s="8">
        <v>1888</v>
      </c>
      <c r="D2145" s="9">
        <v>45432</v>
      </c>
      <c r="E2145" s="13" t="str">
        <f>+HYPERLINK("http://trademark.i-assist.jp/data/china/image_1888th/77172255.pdf","77172255")</f>
        <v>77172255</v>
      </c>
      <c r="F2145" s="7" t="s">
        <v>5962</v>
      </c>
      <c r="G2145" s="7" t="s">
        <v>5638</v>
      </c>
      <c r="H2145" s="7" t="s">
        <v>5963</v>
      </c>
      <c r="I2145" s="9">
        <v>45358</v>
      </c>
    </row>
    <row r="2146" spans="1:9" ht="27" x14ac:dyDescent="0.15">
      <c r="A2146" s="6">
        <v>2145</v>
      </c>
      <c r="B2146" s="7" t="s">
        <v>10</v>
      </c>
      <c r="C2146" s="8">
        <v>1888</v>
      </c>
      <c r="D2146" s="9">
        <v>45432</v>
      </c>
      <c r="E2146" s="13" t="str">
        <f>+HYPERLINK("http://trademark.i-assist.jp/data/china/image_1888th/77172499.pdf","77172499")</f>
        <v>77172499</v>
      </c>
      <c r="F2146" s="7" t="s">
        <v>5964</v>
      </c>
      <c r="G2146" s="7" t="s">
        <v>5601</v>
      </c>
      <c r="H2146" s="7" t="s">
        <v>5965</v>
      </c>
      <c r="I2146" s="9">
        <v>45358</v>
      </c>
    </row>
    <row r="2147" spans="1:9" x14ac:dyDescent="0.15">
      <c r="A2147" s="6">
        <v>2146</v>
      </c>
      <c r="B2147" s="7" t="s">
        <v>10</v>
      </c>
      <c r="C2147" s="8">
        <v>1888</v>
      </c>
      <c r="D2147" s="9">
        <v>45432</v>
      </c>
      <c r="E2147" s="13" t="str">
        <f>+HYPERLINK("http://trademark.i-assist.jp/data/china/image_1888th/77172768.pdf","77172768")</f>
        <v>77172768</v>
      </c>
      <c r="F2147" s="7" t="s">
        <v>5966</v>
      </c>
      <c r="G2147" s="7" t="s">
        <v>5806</v>
      </c>
      <c r="H2147" s="7" t="s">
        <v>5967</v>
      </c>
      <c r="I2147" s="9">
        <v>45358</v>
      </c>
    </row>
    <row r="2148" spans="1:9" x14ac:dyDescent="0.15">
      <c r="A2148" s="6">
        <v>2147</v>
      </c>
      <c r="B2148" s="7" t="s">
        <v>10</v>
      </c>
      <c r="C2148" s="8">
        <v>1888</v>
      </c>
      <c r="D2148" s="9">
        <v>45432</v>
      </c>
      <c r="E2148" s="13" t="str">
        <f>+HYPERLINK("http://trademark.i-assist.jp/data/china/image_1888th/77173075.pdf","77173075")</f>
        <v>77173075</v>
      </c>
      <c r="F2148" s="7" t="s">
        <v>5968</v>
      </c>
      <c r="G2148" s="7" t="s">
        <v>5436</v>
      </c>
      <c r="H2148" s="7" t="s">
        <v>5969</v>
      </c>
      <c r="I2148" s="9">
        <v>45358</v>
      </c>
    </row>
    <row r="2149" spans="1:9" ht="27" x14ac:dyDescent="0.15">
      <c r="A2149" s="6">
        <v>2148</v>
      </c>
      <c r="B2149" s="7" t="s">
        <v>10</v>
      </c>
      <c r="C2149" s="8">
        <v>1888</v>
      </c>
      <c r="D2149" s="9">
        <v>45432</v>
      </c>
      <c r="E2149" s="13" t="str">
        <f>+HYPERLINK("http://trademark.i-assist.jp/data/china/image_1888th/77173280.pdf","77173280")</f>
        <v>77173280</v>
      </c>
      <c r="F2149" s="7" t="s">
        <v>5970</v>
      </c>
      <c r="G2149" s="7" t="s">
        <v>5601</v>
      </c>
      <c r="H2149" s="7" t="s">
        <v>5971</v>
      </c>
      <c r="I2149" s="9">
        <v>45358</v>
      </c>
    </row>
    <row r="2150" spans="1:9" ht="27" x14ac:dyDescent="0.15">
      <c r="A2150" s="6">
        <v>2149</v>
      </c>
      <c r="B2150" s="7" t="s">
        <v>10</v>
      </c>
      <c r="C2150" s="8">
        <v>1888</v>
      </c>
      <c r="D2150" s="9">
        <v>45432</v>
      </c>
      <c r="E2150" s="13" t="str">
        <f>+HYPERLINK("http://trademark.i-assist.jp/data/china/image_1888th/77173331.pdf","77173331")</f>
        <v>77173331</v>
      </c>
      <c r="F2150" s="7" t="s">
        <v>5972</v>
      </c>
      <c r="G2150" s="7" t="s">
        <v>5601</v>
      </c>
      <c r="H2150" s="7" t="s">
        <v>5973</v>
      </c>
      <c r="I2150" s="9">
        <v>45358</v>
      </c>
    </row>
    <row r="2151" spans="1:9" x14ac:dyDescent="0.15">
      <c r="A2151" s="6">
        <v>2150</v>
      </c>
      <c r="B2151" s="7" t="s">
        <v>10</v>
      </c>
      <c r="C2151" s="8">
        <v>1888</v>
      </c>
      <c r="D2151" s="9">
        <v>45432</v>
      </c>
      <c r="E2151" s="13" t="str">
        <f>+HYPERLINK("http://trademark.i-assist.jp/data/china/image_1888th/77173380.pdf","77173380")</f>
        <v>77173380</v>
      </c>
      <c r="F2151" s="7" t="s">
        <v>5974</v>
      </c>
      <c r="G2151" s="7" t="s">
        <v>5975</v>
      </c>
      <c r="H2151" s="7" t="s">
        <v>5976</v>
      </c>
      <c r="I2151" s="9">
        <v>45358</v>
      </c>
    </row>
    <row r="2152" spans="1:9" x14ac:dyDescent="0.15">
      <c r="A2152" s="6">
        <v>2151</v>
      </c>
      <c r="B2152" s="7" t="s">
        <v>10</v>
      </c>
      <c r="C2152" s="8">
        <v>1888</v>
      </c>
      <c r="D2152" s="9">
        <v>45432</v>
      </c>
      <c r="E2152" s="13" t="str">
        <f>+HYPERLINK("http://trademark.i-assist.jp/data/china/image_1888th/77173393.pdf","77173393")</f>
        <v>77173393</v>
      </c>
      <c r="F2152" s="7" t="s">
        <v>5977</v>
      </c>
      <c r="G2152" s="7" t="s">
        <v>5978</v>
      </c>
      <c r="H2152" s="7" t="s">
        <v>5979</v>
      </c>
      <c r="I2152" s="9">
        <v>45358</v>
      </c>
    </row>
    <row r="2153" spans="1:9" x14ac:dyDescent="0.15">
      <c r="A2153" s="6">
        <v>2152</v>
      </c>
      <c r="B2153" s="7" t="s">
        <v>10</v>
      </c>
      <c r="C2153" s="8">
        <v>1888</v>
      </c>
      <c r="D2153" s="9">
        <v>45432</v>
      </c>
      <c r="E2153" s="13" t="str">
        <f>+HYPERLINK("http://trademark.i-assist.jp/data/china/image_1888th/77174022.pdf","77174022")</f>
        <v>77174022</v>
      </c>
      <c r="F2153" s="7" t="s">
        <v>5980</v>
      </c>
      <c r="G2153" s="7" t="s">
        <v>5981</v>
      </c>
      <c r="H2153" s="7" t="s">
        <v>5982</v>
      </c>
      <c r="I2153" s="9">
        <v>45359</v>
      </c>
    </row>
    <row r="2154" spans="1:9" x14ac:dyDescent="0.15">
      <c r="A2154" s="6">
        <v>2153</v>
      </c>
      <c r="B2154" s="7" t="s">
        <v>10</v>
      </c>
      <c r="C2154" s="8">
        <v>1888</v>
      </c>
      <c r="D2154" s="9">
        <v>45432</v>
      </c>
      <c r="E2154" s="13" t="str">
        <f>+HYPERLINK("http://trademark.i-assist.jp/data/china/image_1888th/77174024.pdf","77174024")</f>
        <v>77174024</v>
      </c>
      <c r="F2154" s="7" t="s">
        <v>5983</v>
      </c>
      <c r="G2154" s="7" t="s">
        <v>5984</v>
      </c>
      <c r="H2154" s="7" t="s">
        <v>5985</v>
      </c>
      <c r="I2154" s="9">
        <v>45359</v>
      </c>
    </row>
    <row r="2155" spans="1:9" x14ac:dyDescent="0.15">
      <c r="A2155" s="6">
        <v>2154</v>
      </c>
      <c r="B2155" s="7" t="s">
        <v>10</v>
      </c>
      <c r="C2155" s="8">
        <v>1888</v>
      </c>
      <c r="D2155" s="9">
        <v>45432</v>
      </c>
      <c r="E2155" s="13" t="str">
        <f>+HYPERLINK("http://trademark.i-assist.jp/data/china/image_1888th/77174070.pdf","77174070")</f>
        <v>77174070</v>
      </c>
      <c r="F2155" s="7" t="s">
        <v>5986</v>
      </c>
      <c r="G2155" s="7" t="s">
        <v>5987</v>
      </c>
      <c r="H2155" s="7" t="s">
        <v>5988</v>
      </c>
      <c r="I2155" s="9">
        <v>45359</v>
      </c>
    </row>
    <row r="2156" spans="1:9" x14ac:dyDescent="0.15">
      <c r="A2156" s="6">
        <v>2155</v>
      </c>
      <c r="B2156" s="7" t="s">
        <v>10</v>
      </c>
      <c r="C2156" s="8">
        <v>1888</v>
      </c>
      <c r="D2156" s="9">
        <v>45432</v>
      </c>
      <c r="E2156" s="13" t="str">
        <f>+HYPERLINK("http://trademark.i-assist.jp/data/china/image_1888th/77174130.pdf","77174130")</f>
        <v>77174130</v>
      </c>
      <c r="F2156" s="7" t="s">
        <v>5989</v>
      </c>
      <c r="G2156" s="7" t="s">
        <v>5990</v>
      </c>
      <c r="H2156" s="7" t="s">
        <v>5991</v>
      </c>
      <c r="I2156" s="9">
        <v>45359</v>
      </c>
    </row>
    <row r="2157" spans="1:9" x14ac:dyDescent="0.15">
      <c r="A2157" s="6">
        <v>2156</v>
      </c>
      <c r="B2157" s="7" t="s">
        <v>10</v>
      </c>
      <c r="C2157" s="8">
        <v>1888</v>
      </c>
      <c r="D2157" s="9">
        <v>45432</v>
      </c>
      <c r="E2157" s="13" t="str">
        <f>+HYPERLINK("http://trademark.i-assist.jp/data/china/image_1888th/77174163.pdf","77174163")</f>
        <v>77174163</v>
      </c>
      <c r="F2157" s="7" t="s">
        <v>5992</v>
      </c>
      <c r="G2157" s="7" t="s">
        <v>5993</v>
      </c>
      <c r="H2157" s="7" t="s">
        <v>5994</v>
      </c>
      <c r="I2157" s="9">
        <v>45359</v>
      </c>
    </row>
    <row r="2158" spans="1:9" ht="27" x14ac:dyDescent="0.15">
      <c r="A2158" s="6">
        <v>2157</v>
      </c>
      <c r="B2158" s="7" t="s">
        <v>10</v>
      </c>
      <c r="C2158" s="8">
        <v>1888</v>
      </c>
      <c r="D2158" s="9">
        <v>45432</v>
      </c>
      <c r="E2158" s="13" t="str">
        <f>+HYPERLINK("http://trademark.i-assist.jp/data/china/image_1888th/77174206.pdf","77174206")</f>
        <v>77174206</v>
      </c>
      <c r="F2158" s="7" t="s">
        <v>5995</v>
      </c>
      <c r="G2158" s="7" t="s">
        <v>5996</v>
      </c>
      <c r="H2158" s="7" t="s">
        <v>5997</v>
      </c>
      <c r="I2158" s="9">
        <v>45359</v>
      </c>
    </row>
    <row r="2159" spans="1:9" x14ac:dyDescent="0.15">
      <c r="A2159" s="6">
        <v>2158</v>
      </c>
      <c r="B2159" s="7" t="s">
        <v>10</v>
      </c>
      <c r="C2159" s="8">
        <v>1888</v>
      </c>
      <c r="D2159" s="9">
        <v>45432</v>
      </c>
      <c r="E2159" s="13" t="str">
        <f>+HYPERLINK("http://trademark.i-assist.jp/data/china/image_1888th/77174278.pdf","77174278")</f>
        <v>77174278</v>
      </c>
      <c r="F2159" s="7" t="s">
        <v>5998</v>
      </c>
      <c r="G2159" s="7" t="s">
        <v>5999</v>
      </c>
      <c r="H2159" s="7" t="s">
        <v>6000</v>
      </c>
      <c r="I2159" s="9">
        <v>45359</v>
      </c>
    </row>
    <row r="2160" spans="1:9" x14ac:dyDescent="0.15">
      <c r="A2160" s="6">
        <v>2159</v>
      </c>
      <c r="B2160" s="7" t="s">
        <v>10</v>
      </c>
      <c r="C2160" s="8">
        <v>1888</v>
      </c>
      <c r="D2160" s="9">
        <v>45432</v>
      </c>
      <c r="E2160" s="13" t="str">
        <f>+HYPERLINK("http://trademark.i-assist.jp/data/china/image_1888th/77174578.pdf","77174578")</f>
        <v>77174578</v>
      </c>
      <c r="F2160" s="7" t="s">
        <v>6001</v>
      </c>
      <c r="G2160" s="7" t="s">
        <v>6002</v>
      </c>
      <c r="H2160" s="7" t="s">
        <v>6003</v>
      </c>
      <c r="I2160" s="9">
        <v>45359</v>
      </c>
    </row>
    <row r="2161" spans="1:9" ht="27" x14ac:dyDescent="0.15">
      <c r="A2161" s="6">
        <v>2160</v>
      </c>
      <c r="B2161" s="7" t="s">
        <v>10</v>
      </c>
      <c r="C2161" s="8">
        <v>1888</v>
      </c>
      <c r="D2161" s="9">
        <v>45432</v>
      </c>
      <c r="E2161" s="13" t="str">
        <f>+HYPERLINK("http://trademark.i-assist.jp/data/china/image_1888th/77174800.pdf","77174800")</f>
        <v>77174800</v>
      </c>
      <c r="F2161" s="7" t="s">
        <v>6004</v>
      </c>
      <c r="G2161" s="7" t="s">
        <v>6005</v>
      </c>
      <c r="H2161" s="7" t="s">
        <v>6006</v>
      </c>
      <c r="I2161" s="9">
        <v>45359</v>
      </c>
    </row>
    <row r="2162" spans="1:9" ht="27" x14ac:dyDescent="0.15">
      <c r="A2162" s="6">
        <v>2161</v>
      </c>
      <c r="B2162" s="7" t="s">
        <v>10</v>
      </c>
      <c r="C2162" s="8">
        <v>1888</v>
      </c>
      <c r="D2162" s="9">
        <v>45432</v>
      </c>
      <c r="E2162" s="13" t="str">
        <f>+HYPERLINK("http://trademark.i-assist.jp/data/china/image_1888th/77174804.pdf","77174804")</f>
        <v>77174804</v>
      </c>
      <c r="F2162" s="7" t="s">
        <v>6007</v>
      </c>
      <c r="G2162" s="7" t="s">
        <v>6008</v>
      </c>
      <c r="H2162" s="7" t="s">
        <v>6009</v>
      </c>
      <c r="I2162" s="9">
        <v>45359</v>
      </c>
    </row>
    <row r="2163" spans="1:9" x14ac:dyDescent="0.15">
      <c r="A2163" s="6">
        <v>2162</v>
      </c>
      <c r="B2163" s="7" t="s">
        <v>10</v>
      </c>
      <c r="C2163" s="8">
        <v>1888</v>
      </c>
      <c r="D2163" s="9">
        <v>45432</v>
      </c>
      <c r="E2163" s="13" t="str">
        <f>+HYPERLINK("http://trademark.i-assist.jp/data/china/image_1888th/77174860.pdf","77174860")</f>
        <v>77174860</v>
      </c>
      <c r="F2163" s="7" t="s">
        <v>6010</v>
      </c>
      <c r="G2163" s="7" t="s">
        <v>6011</v>
      </c>
      <c r="H2163" s="7" t="s">
        <v>6012</v>
      </c>
      <c r="I2163" s="9">
        <v>45359</v>
      </c>
    </row>
    <row r="2164" spans="1:9" x14ac:dyDescent="0.15">
      <c r="A2164" s="6">
        <v>2163</v>
      </c>
      <c r="B2164" s="7" t="s">
        <v>10</v>
      </c>
      <c r="C2164" s="8">
        <v>1888</v>
      </c>
      <c r="D2164" s="9">
        <v>45432</v>
      </c>
      <c r="E2164" s="13" t="str">
        <f>+HYPERLINK("http://trademark.i-assist.jp/data/china/image_1888th/77175747.pdf","77175747")</f>
        <v>77175747</v>
      </c>
      <c r="F2164" s="7" t="s">
        <v>6013</v>
      </c>
      <c r="G2164" s="7" t="s">
        <v>6014</v>
      </c>
      <c r="H2164" s="7" t="s">
        <v>6015</v>
      </c>
      <c r="I2164" s="9">
        <v>45359</v>
      </c>
    </row>
    <row r="2165" spans="1:9" ht="27" x14ac:dyDescent="0.15">
      <c r="A2165" s="6">
        <v>2164</v>
      </c>
      <c r="B2165" s="7" t="s">
        <v>10</v>
      </c>
      <c r="C2165" s="8">
        <v>1888</v>
      </c>
      <c r="D2165" s="9">
        <v>45432</v>
      </c>
      <c r="E2165" s="13" t="str">
        <f>+HYPERLINK("http://trademark.i-assist.jp/data/china/image_1888th/77175787.pdf","77175787")</f>
        <v>77175787</v>
      </c>
      <c r="F2165" s="7" t="s">
        <v>6016</v>
      </c>
      <c r="G2165" s="7" t="s">
        <v>6017</v>
      </c>
      <c r="H2165" s="7" t="s">
        <v>6018</v>
      </c>
      <c r="I2165" s="9">
        <v>45359</v>
      </c>
    </row>
    <row r="2166" spans="1:9" x14ac:dyDescent="0.15">
      <c r="A2166" s="6">
        <v>2165</v>
      </c>
      <c r="B2166" s="7" t="s">
        <v>10</v>
      </c>
      <c r="C2166" s="8">
        <v>1888</v>
      </c>
      <c r="D2166" s="9">
        <v>45432</v>
      </c>
      <c r="E2166" s="13" t="str">
        <f>+HYPERLINK("http://trademark.i-assist.jp/data/china/image_1888th/77176029.pdf","77176029")</f>
        <v>77176029</v>
      </c>
      <c r="F2166" s="7" t="s">
        <v>6019</v>
      </c>
      <c r="G2166" s="7" t="s">
        <v>6020</v>
      </c>
      <c r="H2166" s="7" t="s">
        <v>6021</v>
      </c>
      <c r="I2166" s="9">
        <v>45359</v>
      </c>
    </row>
    <row r="2167" spans="1:9" ht="27" x14ac:dyDescent="0.15">
      <c r="A2167" s="6">
        <v>2166</v>
      </c>
      <c r="B2167" s="7" t="s">
        <v>10</v>
      </c>
      <c r="C2167" s="8">
        <v>1888</v>
      </c>
      <c r="D2167" s="9">
        <v>45432</v>
      </c>
      <c r="E2167" s="13" t="str">
        <f>+HYPERLINK("http://trademark.i-assist.jp/data/china/image_1888th/77176038.pdf","77176038")</f>
        <v>77176038</v>
      </c>
      <c r="F2167" s="7" t="s">
        <v>76</v>
      </c>
      <c r="G2167" s="7" t="s">
        <v>6022</v>
      </c>
      <c r="H2167" s="7" t="s">
        <v>6023</v>
      </c>
      <c r="I2167" s="9">
        <v>45359</v>
      </c>
    </row>
    <row r="2168" spans="1:9" x14ac:dyDescent="0.15">
      <c r="A2168" s="6">
        <v>2167</v>
      </c>
      <c r="B2168" s="7" t="s">
        <v>10</v>
      </c>
      <c r="C2168" s="8">
        <v>1888</v>
      </c>
      <c r="D2168" s="9">
        <v>45432</v>
      </c>
      <c r="E2168" s="13" t="str">
        <f>+HYPERLINK("http://trademark.i-assist.jp/data/china/image_1888th/77176098.pdf","77176098")</f>
        <v>77176098</v>
      </c>
      <c r="F2168" s="7" t="s">
        <v>6024</v>
      </c>
      <c r="G2168" s="7" t="s">
        <v>6025</v>
      </c>
      <c r="H2168" s="7" t="s">
        <v>6026</v>
      </c>
      <c r="I2168" s="9">
        <v>45359</v>
      </c>
    </row>
    <row r="2169" spans="1:9" x14ac:dyDescent="0.15">
      <c r="A2169" s="6">
        <v>2168</v>
      </c>
      <c r="B2169" s="7" t="s">
        <v>10</v>
      </c>
      <c r="C2169" s="8">
        <v>1888</v>
      </c>
      <c r="D2169" s="9">
        <v>45432</v>
      </c>
      <c r="E2169" s="13" t="str">
        <f>+HYPERLINK("http://trademark.i-assist.jp/data/china/image_1888th/77176618.pdf","77176618")</f>
        <v>77176618</v>
      </c>
      <c r="F2169" s="7" t="s">
        <v>6027</v>
      </c>
      <c r="G2169" s="7" t="s">
        <v>6028</v>
      </c>
      <c r="H2169" s="7" t="s">
        <v>6029</v>
      </c>
      <c r="I2169" s="9">
        <v>45359</v>
      </c>
    </row>
    <row r="2170" spans="1:9" x14ac:dyDescent="0.15">
      <c r="A2170" s="6">
        <v>2169</v>
      </c>
      <c r="B2170" s="7" t="s">
        <v>10</v>
      </c>
      <c r="C2170" s="8">
        <v>1888</v>
      </c>
      <c r="D2170" s="9">
        <v>45432</v>
      </c>
      <c r="E2170" s="13" t="str">
        <f>+HYPERLINK("http://trademark.i-assist.jp/data/china/image_1888th/77176649.pdf","77176649")</f>
        <v>77176649</v>
      </c>
      <c r="F2170" s="7" t="s">
        <v>6030</v>
      </c>
      <c r="G2170" s="7" t="s">
        <v>6031</v>
      </c>
      <c r="H2170" s="7" t="s">
        <v>6032</v>
      </c>
      <c r="I2170" s="9">
        <v>45359</v>
      </c>
    </row>
    <row r="2171" spans="1:9" x14ac:dyDescent="0.15">
      <c r="A2171" s="6">
        <v>2170</v>
      </c>
      <c r="B2171" s="7" t="s">
        <v>10</v>
      </c>
      <c r="C2171" s="8">
        <v>1888</v>
      </c>
      <c r="D2171" s="9">
        <v>45432</v>
      </c>
      <c r="E2171" s="13" t="str">
        <f>+HYPERLINK("http://trademark.i-assist.jp/data/china/image_1888th/77176830.pdf","77176830")</f>
        <v>77176830</v>
      </c>
      <c r="F2171" s="7" t="s">
        <v>6033</v>
      </c>
      <c r="G2171" s="7" t="s">
        <v>6034</v>
      </c>
      <c r="H2171" s="7" t="s">
        <v>6035</v>
      </c>
      <c r="I2171" s="9">
        <v>45359</v>
      </c>
    </row>
    <row r="2172" spans="1:9" x14ac:dyDescent="0.15">
      <c r="A2172" s="6">
        <v>2171</v>
      </c>
      <c r="B2172" s="7" t="s">
        <v>10</v>
      </c>
      <c r="C2172" s="8">
        <v>1888</v>
      </c>
      <c r="D2172" s="9">
        <v>45432</v>
      </c>
      <c r="E2172" s="13" t="str">
        <f>+HYPERLINK("http://trademark.i-assist.jp/data/china/image_1888th/77177049.pdf","77177049")</f>
        <v>77177049</v>
      </c>
      <c r="F2172" s="7" t="s">
        <v>6036</v>
      </c>
      <c r="G2172" s="7" t="s">
        <v>6037</v>
      </c>
      <c r="H2172" s="7" t="s">
        <v>6038</v>
      </c>
      <c r="I2172" s="9">
        <v>45359</v>
      </c>
    </row>
    <row r="2173" spans="1:9" x14ac:dyDescent="0.15">
      <c r="A2173" s="6">
        <v>2172</v>
      </c>
      <c r="B2173" s="7" t="s">
        <v>10</v>
      </c>
      <c r="C2173" s="8">
        <v>1888</v>
      </c>
      <c r="D2173" s="9">
        <v>45432</v>
      </c>
      <c r="E2173" s="13" t="str">
        <f>+HYPERLINK("http://trademark.i-assist.jp/data/china/image_1888th/77177139.pdf","77177139")</f>
        <v>77177139</v>
      </c>
      <c r="F2173" s="7" t="s">
        <v>6039</v>
      </c>
      <c r="G2173" s="7" t="s">
        <v>6040</v>
      </c>
      <c r="H2173" s="7" t="s">
        <v>6041</v>
      </c>
      <c r="I2173" s="9">
        <v>45359</v>
      </c>
    </row>
    <row r="2174" spans="1:9" x14ac:dyDescent="0.15">
      <c r="A2174" s="6">
        <v>2173</v>
      </c>
      <c r="B2174" s="7" t="s">
        <v>10</v>
      </c>
      <c r="C2174" s="8">
        <v>1888</v>
      </c>
      <c r="D2174" s="9">
        <v>45432</v>
      </c>
      <c r="E2174" s="13" t="str">
        <f>+HYPERLINK("http://trademark.i-assist.jp/data/china/image_1888th/77177156.pdf","77177156")</f>
        <v>77177156</v>
      </c>
      <c r="F2174" s="7" t="s">
        <v>6039</v>
      </c>
      <c r="G2174" s="7" t="s">
        <v>6040</v>
      </c>
      <c r="H2174" s="7" t="s">
        <v>6042</v>
      </c>
      <c r="I2174" s="9">
        <v>45359</v>
      </c>
    </row>
    <row r="2175" spans="1:9" x14ac:dyDescent="0.15">
      <c r="A2175" s="6">
        <v>2174</v>
      </c>
      <c r="B2175" s="7" t="s">
        <v>10</v>
      </c>
      <c r="C2175" s="8">
        <v>1888</v>
      </c>
      <c r="D2175" s="9">
        <v>45432</v>
      </c>
      <c r="E2175" s="13" t="str">
        <f>+HYPERLINK("http://trademark.i-assist.jp/data/china/image_1888th/77177164.pdf","77177164")</f>
        <v>77177164</v>
      </c>
      <c r="F2175" s="7" t="s">
        <v>6043</v>
      </c>
      <c r="G2175" s="7" t="s">
        <v>6044</v>
      </c>
      <c r="H2175" s="7" t="s">
        <v>6045</v>
      </c>
      <c r="I2175" s="9">
        <v>45359</v>
      </c>
    </row>
    <row r="2176" spans="1:9" ht="27" x14ac:dyDescent="0.15">
      <c r="A2176" s="6">
        <v>2175</v>
      </c>
      <c r="B2176" s="7" t="s">
        <v>10</v>
      </c>
      <c r="C2176" s="8">
        <v>1888</v>
      </c>
      <c r="D2176" s="9">
        <v>45432</v>
      </c>
      <c r="E2176" s="13" t="str">
        <f>+HYPERLINK("http://trademark.i-assist.jp/data/china/image_1888th/77177375.pdf","77177375")</f>
        <v>77177375</v>
      </c>
      <c r="F2176" s="7" t="s">
        <v>6046</v>
      </c>
      <c r="G2176" s="7" t="s">
        <v>6047</v>
      </c>
      <c r="H2176" s="7" t="s">
        <v>6048</v>
      </c>
      <c r="I2176" s="9">
        <v>45359</v>
      </c>
    </row>
    <row r="2177" spans="1:9" x14ac:dyDescent="0.15">
      <c r="A2177" s="6">
        <v>2176</v>
      </c>
      <c r="B2177" s="7" t="s">
        <v>10</v>
      </c>
      <c r="C2177" s="8">
        <v>1888</v>
      </c>
      <c r="D2177" s="9">
        <v>45432</v>
      </c>
      <c r="E2177" s="13" t="str">
        <f>+HYPERLINK("http://trademark.i-assist.jp/data/china/image_1888th/77177483.pdf","77177483")</f>
        <v>77177483</v>
      </c>
      <c r="F2177" s="7" t="s">
        <v>6049</v>
      </c>
      <c r="G2177" s="7" t="s">
        <v>6050</v>
      </c>
      <c r="H2177" s="7" t="s">
        <v>6051</v>
      </c>
      <c r="I2177" s="9">
        <v>45359</v>
      </c>
    </row>
    <row r="2178" spans="1:9" x14ac:dyDescent="0.15">
      <c r="A2178" s="6">
        <v>2177</v>
      </c>
      <c r="B2178" s="7" t="s">
        <v>10</v>
      </c>
      <c r="C2178" s="8">
        <v>1888</v>
      </c>
      <c r="D2178" s="9">
        <v>45432</v>
      </c>
      <c r="E2178" s="13" t="str">
        <f>+HYPERLINK("http://trademark.i-assist.jp/data/china/image_1888th/77177582.pdf","77177582")</f>
        <v>77177582</v>
      </c>
      <c r="F2178" s="7" t="s">
        <v>6052</v>
      </c>
      <c r="G2178" s="7" t="s">
        <v>6053</v>
      </c>
      <c r="H2178" s="7" t="s">
        <v>6054</v>
      </c>
      <c r="I2178" s="9">
        <v>45359</v>
      </c>
    </row>
    <row r="2179" spans="1:9" x14ac:dyDescent="0.15">
      <c r="A2179" s="6">
        <v>2178</v>
      </c>
      <c r="B2179" s="7" t="s">
        <v>10</v>
      </c>
      <c r="C2179" s="8">
        <v>1888</v>
      </c>
      <c r="D2179" s="9">
        <v>45432</v>
      </c>
      <c r="E2179" s="13" t="str">
        <f>+HYPERLINK("http://trademark.i-assist.jp/data/china/image_1888th/77177690.pdf","77177690")</f>
        <v>77177690</v>
      </c>
      <c r="F2179" s="7" t="s">
        <v>6055</v>
      </c>
      <c r="G2179" s="7" t="s">
        <v>6056</v>
      </c>
      <c r="H2179" s="7" t="s">
        <v>6057</v>
      </c>
      <c r="I2179" s="9">
        <v>45359</v>
      </c>
    </row>
    <row r="2180" spans="1:9" x14ac:dyDescent="0.15">
      <c r="A2180" s="6">
        <v>2179</v>
      </c>
      <c r="B2180" s="7" t="s">
        <v>10</v>
      </c>
      <c r="C2180" s="8">
        <v>1888</v>
      </c>
      <c r="D2180" s="9">
        <v>45432</v>
      </c>
      <c r="E2180" s="13" t="str">
        <f>+HYPERLINK("http://trademark.i-assist.jp/data/china/image_1888th/77177906.pdf","77177906")</f>
        <v>77177906</v>
      </c>
      <c r="F2180" s="7" t="s">
        <v>6058</v>
      </c>
      <c r="G2180" s="7" t="s">
        <v>6059</v>
      </c>
      <c r="H2180" s="7" t="s">
        <v>6060</v>
      </c>
      <c r="I2180" s="9">
        <v>45359</v>
      </c>
    </row>
    <row r="2181" spans="1:9" x14ac:dyDescent="0.15">
      <c r="A2181" s="6">
        <v>2180</v>
      </c>
      <c r="B2181" s="7" t="s">
        <v>10</v>
      </c>
      <c r="C2181" s="8">
        <v>1888</v>
      </c>
      <c r="D2181" s="9">
        <v>45432</v>
      </c>
      <c r="E2181" s="13" t="str">
        <f>+HYPERLINK("http://trademark.i-assist.jp/data/china/image_1888th/77178273.pdf","77178273")</f>
        <v>77178273</v>
      </c>
      <c r="F2181" s="7" t="s">
        <v>6061</v>
      </c>
      <c r="G2181" s="7" t="s">
        <v>2364</v>
      </c>
      <c r="H2181" s="7" t="s">
        <v>6062</v>
      </c>
      <c r="I2181" s="9">
        <v>45359</v>
      </c>
    </row>
    <row r="2182" spans="1:9" x14ac:dyDescent="0.15">
      <c r="A2182" s="6">
        <v>2181</v>
      </c>
      <c r="B2182" s="7" t="s">
        <v>10</v>
      </c>
      <c r="C2182" s="8">
        <v>1888</v>
      </c>
      <c r="D2182" s="9">
        <v>45432</v>
      </c>
      <c r="E2182" s="13" t="str">
        <f>+HYPERLINK("http://trademark.i-assist.jp/data/china/image_1888th/77178495.pdf","77178495")</f>
        <v>77178495</v>
      </c>
      <c r="F2182" s="7" t="s">
        <v>6063</v>
      </c>
      <c r="G2182" s="7" t="s">
        <v>5436</v>
      </c>
      <c r="H2182" s="7" t="s">
        <v>6064</v>
      </c>
      <c r="I2182" s="9">
        <v>45359</v>
      </c>
    </row>
    <row r="2183" spans="1:9" ht="27" x14ac:dyDescent="0.15">
      <c r="A2183" s="6">
        <v>2182</v>
      </c>
      <c r="B2183" s="7" t="s">
        <v>10</v>
      </c>
      <c r="C2183" s="8">
        <v>1888</v>
      </c>
      <c r="D2183" s="9">
        <v>45432</v>
      </c>
      <c r="E2183" s="13" t="str">
        <f>+HYPERLINK("http://trademark.i-assist.jp/data/china/image_1888th/77178512.pdf","77178512")</f>
        <v>77178512</v>
      </c>
      <c r="F2183" s="7" t="s">
        <v>6065</v>
      </c>
      <c r="G2183" s="7" t="s">
        <v>6066</v>
      </c>
      <c r="H2183" s="7" t="s">
        <v>6067</v>
      </c>
      <c r="I2183" s="9">
        <v>45359</v>
      </c>
    </row>
    <row r="2184" spans="1:9" x14ac:dyDescent="0.15">
      <c r="A2184" s="6">
        <v>2183</v>
      </c>
      <c r="B2184" s="7" t="s">
        <v>10</v>
      </c>
      <c r="C2184" s="8">
        <v>1888</v>
      </c>
      <c r="D2184" s="9">
        <v>45432</v>
      </c>
      <c r="E2184" s="13" t="str">
        <f>+HYPERLINK("http://trademark.i-assist.jp/data/china/image_1888th/77178698.pdf","77178698")</f>
        <v>77178698</v>
      </c>
      <c r="F2184" s="7" t="s">
        <v>6068</v>
      </c>
      <c r="G2184" s="7" t="s">
        <v>6069</v>
      </c>
      <c r="H2184" s="7" t="s">
        <v>6070</v>
      </c>
      <c r="I2184" s="9">
        <v>45359</v>
      </c>
    </row>
    <row r="2185" spans="1:9" ht="27" x14ac:dyDescent="0.15">
      <c r="A2185" s="6">
        <v>2184</v>
      </c>
      <c r="B2185" s="7" t="s">
        <v>10</v>
      </c>
      <c r="C2185" s="8">
        <v>1888</v>
      </c>
      <c r="D2185" s="9">
        <v>45432</v>
      </c>
      <c r="E2185" s="13" t="str">
        <f>+HYPERLINK("http://trademark.i-assist.jp/data/china/image_1888th/77178809.pdf","77178809")</f>
        <v>77178809</v>
      </c>
      <c r="F2185" s="7" t="s">
        <v>6071</v>
      </c>
      <c r="G2185" s="7" t="s">
        <v>6072</v>
      </c>
      <c r="H2185" s="7" t="s">
        <v>6073</v>
      </c>
      <c r="I2185" s="9">
        <v>45359</v>
      </c>
    </row>
    <row r="2186" spans="1:9" x14ac:dyDescent="0.15">
      <c r="A2186" s="6">
        <v>2185</v>
      </c>
      <c r="B2186" s="7" t="s">
        <v>10</v>
      </c>
      <c r="C2186" s="8">
        <v>1888</v>
      </c>
      <c r="D2186" s="9">
        <v>45432</v>
      </c>
      <c r="E2186" s="13" t="str">
        <f>+HYPERLINK("http://trademark.i-assist.jp/data/china/image_1888th/77179124.pdf","77179124")</f>
        <v>77179124</v>
      </c>
      <c r="F2186" s="7" t="s">
        <v>76</v>
      </c>
      <c r="G2186" s="7" t="s">
        <v>6074</v>
      </c>
      <c r="H2186" s="7" t="s">
        <v>6075</v>
      </c>
      <c r="I2186" s="9">
        <v>45359</v>
      </c>
    </row>
    <row r="2187" spans="1:9" ht="27" x14ac:dyDescent="0.15">
      <c r="A2187" s="6">
        <v>2186</v>
      </c>
      <c r="B2187" s="7" t="s">
        <v>10</v>
      </c>
      <c r="C2187" s="8">
        <v>1888</v>
      </c>
      <c r="D2187" s="9">
        <v>45432</v>
      </c>
      <c r="E2187" s="13" t="str">
        <f>+HYPERLINK("http://trademark.i-assist.jp/data/china/image_1888th/77179284.pdf","77179284")</f>
        <v>77179284</v>
      </c>
      <c r="F2187" s="7" t="s">
        <v>6076</v>
      </c>
      <c r="G2187" s="7" t="s">
        <v>3138</v>
      </c>
      <c r="H2187" s="7" t="s">
        <v>6077</v>
      </c>
      <c r="I2187" s="9">
        <v>45359</v>
      </c>
    </row>
    <row r="2188" spans="1:9" x14ac:dyDescent="0.15">
      <c r="A2188" s="6">
        <v>2187</v>
      </c>
      <c r="B2188" s="7" t="s">
        <v>10</v>
      </c>
      <c r="C2188" s="8">
        <v>1888</v>
      </c>
      <c r="D2188" s="9">
        <v>45432</v>
      </c>
      <c r="E2188" s="13" t="str">
        <f>+HYPERLINK("http://trademark.i-assist.jp/data/china/image_1888th/77179544.pdf","77179544")</f>
        <v>77179544</v>
      </c>
      <c r="F2188" s="7" t="s">
        <v>6078</v>
      </c>
      <c r="G2188" s="7" t="s">
        <v>6079</v>
      </c>
      <c r="H2188" s="7" t="s">
        <v>6080</v>
      </c>
      <c r="I2188" s="9">
        <v>45359</v>
      </c>
    </row>
    <row r="2189" spans="1:9" ht="27" x14ac:dyDescent="0.15">
      <c r="A2189" s="6">
        <v>2188</v>
      </c>
      <c r="B2189" s="7" t="s">
        <v>10</v>
      </c>
      <c r="C2189" s="8">
        <v>1888</v>
      </c>
      <c r="D2189" s="9">
        <v>45432</v>
      </c>
      <c r="E2189" s="13" t="str">
        <f>+HYPERLINK("http://trademark.i-assist.jp/data/china/image_1888th/77179684.pdf","77179684")</f>
        <v>77179684</v>
      </c>
      <c r="F2189" s="7" t="s">
        <v>76</v>
      </c>
      <c r="G2189" s="7" t="s">
        <v>6081</v>
      </c>
      <c r="H2189" s="7" t="s">
        <v>6082</v>
      </c>
      <c r="I2189" s="9">
        <v>45359</v>
      </c>
    </row>
    <row r="2190" spans="1:9" ht="27" x14ac:dyDescent="0.15">
      <c r="A2190" s="6">
        <v>2189</v>
      </c>
      <c r="B2190" s="7" t="s">
        <v>10</v>
      </c>
      <c r="C2190" s="8">
        <v>1888</v>
      </c>
      <c r="D2190" s="9">
        <v>45432</v>
      </c>
      <c r="E2190" s="13" t="str">
        <f>+HYPERLINK("http://trademark.i-assist.jp/data/china/image_1888th/77180190.pdf","77180190")</f>
        <v>77180190</v>
      </c>
      <c r="F2190" s="7" t="s">
        <v>6083</v>
      </c>
      <c r="G2190" s="7" t="s">
        <v>6047</v>
      </c>
      <c r="H2190" s="7" t="s">
        <v>6084</v>
      </c>
      <c r="I2190" s="9">
        <v>45359</v>
      </c>
    </row>
    <row r="2191" spans="1:9" ht="27" x14ac:dyDescent="0.15">
      <c r="A2191" s="6">
        <v>2190</v>
      </c>
      <c r="B2191" s="7" t="s">
        <v>10</v>
      </c>
      <c r="C2191" s="8">
        <v>1888</v>
      </c>
      <c r="D2191" s="9">
        <v>45432</v>
      </c>
      <c r="E2191" s="13" t="str">
        <f>+HYPERLINK("http://trademark.i-assist.jp/data/china/image_1888th/77180257.pdf","77180257")</f>
        <v>77180257</v>
      </c>
      <c r="F2191" s="7" t="s">
        <v>6085</v>
      </c>
      <c r="G2191" s="7" t="s">
        <v>6086</v>
      </c>
      <c r="H2191" s="7" t="s">
        <v>6087</v>
      </c>
      <c r="I2191" s="9">
        <v>45359</v>
      </c>
    </row>
    <row r="2192" spans="1:9" x14ac:dyDescent="0.15">
      <c r="A2192" s="6">
        <v>2191</v>
      </c>
      <c r="B2192" s="7" t="s">
        <v>10</v>
      </c>
      <c r="C2192" s="8">
        <v>1888</v>
      </c>
      <c r="D2192" s="9">
        <v>45432</v>
      </c>
      <c r="E2192" s="13" t="str">
        <f>+HYPERLINK("http://trademark.i-assist.jp/data/china/image_1888th/77180367.pdf","77180367")</f>
        <v>77180367</v>
      </c>
      <c r="F2192" s="7" t="s">
        <v>6088</v>
      </c>
      <c r="G2192" s="7" t="s">
        <v>6089</v>
      </c>
      <c r="H2192" s="7" t="s">
        <v>6090</v>
      </c>
      <c r="I2192" s="9">
        <v>45359</v>
      </c>
    </row>
    <row r="2193" spans="1:9" x14ac:dyDescent="0.15">
      <c r="A2193" s="6">
        <v>2192</v>
      </c>
      <c r="B2193" s="7" t="s">
        <v>10</v>
      </c>
      <c r="C2193" s="8">
        <v>1888</v>
      </c>
      <c r="D2193" s="9">
        <v>45432</v>
      </c>
      <c r="E2193" s="13" t="str">
        <f>+HYPERLINK("http://trademark.i-assist.jp/data/china/image_1888th/77181139.pdf","77181139")</f>
        <v>77181139</v>
      </c>
      <c r="F2193" s="7" t="s">
        <v>6091</v>
      </c>
      <c r="G2193" s="7" t="s">
        <v>6092</v>
      </c>
      <c r="H2193" s="7" t="s">
        <v>6093</v>
      </c>
      <c r="I2193" s="9">
        <v>45359</v>
      </c>
    </row>
    <row r="2194" spans="1:9" x14ac:dyDescent="0.15">
      <c r="A2194" s="6">
        <v>2193</v>
      </c>
      <c r="B2194" s="7" t="s">
        <v>10</v>
      </c>
      <c r="C2194" s="8">
        <v>1888</v>
      </c>
      <c r="D2194" s="9">
        <v>45432</v>
      </c>
      <c r="E2194" s="13" t="str">
        <f>+HYPERLINK("http://trademark.i-assist.jp/data/china/image_1888th/77181265.pdf","77181265")</f>
        <v>77181265</v>
      </c>
      <c r="F2194" s="7" t="s">
        <v>6094</v>
      </c>
      <c r="G2194" s="7" t="s">
        <v>6095</v>
      </c>
      <c r="H2194" s="7" t="s">
        <v>6096</v>
      </c>
      <c r="I2194" s="9">
        <v>45360</v>
      </c>
    </row>
    <row r="2195" spans="1:9" x14ac:dyDescent="0.15">
      <c r="A2195" s="6">
        <v>2194</v>
      </c>
      <c r="B2195" s="7" t="s">
        <v>10</v>
      </c>
      <c r="C2195" s="8">
        <v>1888</v>
      </c>
      <c r="D2195" s="9">
        <v>45432</v>
      </c>
      <c r="E2195" s="13" t="str">
        <f>+HYPERLINK("http://trademark.i-assist.jp/data/china/image_1888th/77181304.pdf","77181304")</f>
        <v>77181304</v>
      </c>
      <c r="F2195" s="7" t="s">
        <v>6097</v>
      </c>
      <c r="G2195" s="7" t="s">
        <v>6098</v>
      </c>
      <c r="H2195" s="7" t="s">
        <v>6099</v>
      </c>
      <c r="I2195" s="9">
        <v>45360</v>
      </c>
    </row>
    <row r="2196" spans="1:9" x14ac:dyDescent="0.15">
      <c r="A2196" s="6">
        <v>2195</v>
      </c>
      <c r="B2196" s="7" t="s">
        <v>10</v>
      </c>
      <c r="C2196" s="8">
        <v>1888</v>
      </c>
      <c r="D2196" s="9">
        <v>45432</v>
      </c>
      <c r="E2196" s="13" t="str">
        <f>+HYPERLINK("http://trademark.i-assist.jp/data/china/image_1888th/77181439.pdf","77181439")</f>
        <v>77181439</v>
      </c>
      <c r="F2196" s="7" t="s">
        <v>6100</v>
      </c>
      <c r="G2196" s="7" t="s">
        <v>6101</v>
      </c>
      <c r="H2196" s="7" t="s">
        <v>6102</v>
      </c>
      <c r="I2196" s="9">
        <v>45359</v>
      </c>
    </row>
    <row r="2197" spans="1:9" x14ac:dyDescent="0.15">
      <c r="A2197" s="6">
        <v>2196</v>
      </c>
      <c r="B2197" s="7" t="s">
        <v>10</v>
      </c>
      <c r="C2197" s="8">
        <v>1888</v>
      </c>
      <c r="D2197" s="9">
        <v>45432</v>
      </c>
      <c r="E2197" s="13" t="str">
        <f>+HYPERLINK("http://trademark.i-assist.jp/data/china/image_1888th/77181582.pdf","77181582")</f>
        <v>77181582</v>
      </c>
      <c r="F2197" s="7" t="s">
        <v>6103</v>
      </c>
      <c r="G2197" s="7" t="s">
        <v>6104</v>
      </c>
      <c r="H2197" s="7" t="s">
        <v>6105</v>
      </c>
      <c r="I2197" s="9">
        <v>45359</v>
      </c>
    </row>
    <row r="2198" spans="1:9" x14ac:dyDescent="0.15">
      <c r="A2198" s="6">
        <v>2197</v>
      </c>
      <c r="B2198" s="7" t="s">
        <v>10</v>
      </c>
      <c r="C2198" s="8">
        <v>1888</v>
      </c>
      <c r="D2198" s="9">
        <v>45432</v>
      </c>
      <c r="E2198" s="13" t="str">
        <f>+HYPERLINK("http://trademark.i-assist.jp/data/china/image_1888th/77181881.pdf","77181881")</f>
        <v>77181881</v>
      </c>
      <c r="F2198" s="7" t="s">
        <v>6106</v>
      </c>
      <c r="G2198" s="7" t="s">
        <v>6107</v>
      </c>
      <c r="H2198" s="7" t="s">
        <v>6108</v>
      </c>
      <c r="I2198" s="9">
        <v>45359</v>
      </c>
    </row>
    <row r="2199" spans="1:9" ht="27" x14ac:dyDescent="0.15">
      <c r="A2199" s="6">
        <v>2198</v>
      </c>
      <c r="B2199" s="7" t="s">
        <v>10</v>
      </c>
      <c r="C2199" s="8">
        <v>1888</v>
      </c>
      <c r="D2199" s="9">
        <v>45432</v>
      </c>
      <c r="E2199" s="13" t="str">
        <f>+HYPERLINK("http://trademark.i-assist.jp/data/china/image_1888th/77181984.pdf","77181984")</f>
        <v>77181984</v>
      </c>
      <c r="F2199" s="7" t="s">
        <v>6109</v>
      </c>
      <c r="G2199" s="7" t="s">
        <v>6110</v>
      </c>
      <c r="H2199" s="7" t="s">
        <v>6111</v>
      </c>
      <c r="I2199" s="9">
        <v>45359</v>
      </c>
    </row>
    <row r="2200" spans="1:9" ht="27" x14ac:dyDescent="0.15">
      <c r="A2200" s="6">
        <v>2199</v>
      </c>
      <c r="B2200" s="7" t="s">
        <v>10</v>
      </c>
      <c r="C2200" s="8">
        <v>1888</v>
      </c>
      <c r="D2200" s="9">
        <v>45432</v>
      </c>
      <c r="E2200" s="13" t="str">
        <f>+HYPERLINK("http://trademark.i-assist.jp/data/china/image_1888th/77182214.pdf","77182214")</f>
        <v>77182214</v>
      </c>
      <c r="F2200" s="7" t="s">
        <v>6112</v>
      </c>
      <c r="G2200" s="7" t="s">
        <v>3138</v>
      </c>
      <c r="H2200" s="7" t="s">
        <v>6113</v>
      </c>
      <c r="I2200" s="9">
        <v>45359</v>
      </c>
    </row>
    <row r="2201" spans="1:9" x14ac:dyDescent="0.15">
      <c r="A2201" s="6">
        <v>2200</v>
      </c>
      <c r="B2201" s="7" t="s">
        <v>10</v>
      </c>
      <c r="C2201" s="8">
        <v>1888</v>
      </c>
      <c r="D2201" s="9">
        <v>45432</v>
      </c>
      <c r="E2201" s="13" t="str">
        <f>+HYPERLINK("http://trademark.i-assist.jp/data/china/image_1888th/77182278.pdf","77182278")</f>
        <v>77182278</v>
      </c>
      <c r="F2201" s="7" t="s">
        <v>6114</v>
      </c>
      <c r="G2201" s="7" t="s">
        <v>6115</v>
      </c>
      <c r="H2201" s="7" t="s">
        <v>6116</v>
      </c>
      <c r="I2201" s="9">
        <v>45359</v>
      </c>
    </row>
    <row r="2202" spans="1:9" x14ac:dyDescent="0.15">
      <c r="A2202" s="6">
        <v>2201</v>
      </c>
      <c r="B2202" s="7" t="s">
        <v>10</v>
      </c>
      <c r="C2202" s="8">
        <v>1888</v>
      </c>
      <c r="D2202" s="9">
        <v>45432</v>
      </c>
      <c r="E2202" s="13" t="str">
        <f>+HYPERLINK("http://trademark.i-assist.jp/data/china/image_1888th/77182319.pdf","77182319")</f>
        <v>77182319</v>
      </c>
      <c r="F2202" s="7" t="s">
        <v>6117</v>
      </c>
      <c r="G2202" s="7" t="s">
        <v>6118</v>
      </c>
      <c r="H2202" s="7" t="s">
        <v>6119</v>
      </c>
      <c r="I2202" s="9">
        <v>45359</v>
      </c>
    </row>
    <row r="2203" spans="1:9" x14ac:dyDescent="0.15">
      <c r="A2203" s="6">
        <v>2202</v>
      </c>
      <c r="B2203" s="7" t="s">
        <v>10</v>
      </c>
      <c r="C2203" s="8">
        <v>1888</v>
      </c>
      <c r="D2203" s="9">
        <v>45432</v>
      </c>
      <c r="E2203" s="13" t="str">
        <f>+HYPERLINK("http://trademark.i-assist.jp/data/china/image_1888th/77182401.pdf","77182401")</f>
        <v>77182401</v>
      </c>
      <c r="F2203" s="7" t="s">
        <v>6120</v>
      </c>
      <c r="G2203" s="7" t="s">
        <v>6121</v>
      </c>
      <c r="H2203" s="7" t="s">
        <v>6122</v>
      </c>
      <c r="I2203" s="9">
        <v>45359</v>
      </c>
    </row>
    <row r="2204" spans="1:9" x14ac:dyDescent="0.15">
      <c r="A2204" s="6">
        <v>2203</v>
      </c>
      <c r="B2204" s="7" t="s">
        <v>10</v>
      </c>
      <c r="C2204" s="8">
        <v>1888</v>
      </c>
      <c r="D2204" s="9">
        <v>45432</v>
      </c>
      <c r="E2204" s="13" t="str">
        <f>+HYPERLINK("http://trademark.i-assist.jp/data/china/image_1888th/77182479.pdf","77182479")</f>
        <v>77182479</v>
      </c>
      <c r="F2204" s="7" t="s">
        <v>6123</v>
      </c>
      <c r="G2204" s="7" t="s">
        <v>6124</v>
      </c>
      <c r="H2204" s="7" t="s">
        <v>6125</v>
      </c>
      <c r="I2204" s="9">
        <v>45360</v>
      </c>
    </row>
    <row r="2205" spans="1:9" x14ac:dyDescent="0.15">
      <c r="A2205" s="6">
        <v>2204</v>
      </c>
      <c r="B2205" s="7" t="s">
        <v>10</v>
      </c>
      <c r="C2205" s="8">
        <v>1888</v>
      </c>
      <c r="D2205" s="9">
        <v>45432</v>
      </c>
      <c r="E2205" s="13" t="str">
        <f>+HYPERLINK("http://trademark.i-assist.jp/data/china/image_1888th/77182996.pdf","77182996")</f>
        <v>77182996</v>
      </c>
      <c r="F2205" s="7" t="s">
        <v>6126</v>
      </c>
      <c r="G2205" s="7" t="s">
        <v>6127</v>
      </c>
      <c r="H2205" s="7" t="s">
        <v>6128</v>
      </c>
      <c r="I2205" s="9">
        <v>45359</v>
      </c>
    </row>
    <row r="2206" spans="1:9" x14ac:dyDescent="0.15">
      <c r="A2206" s="6">
        <v>2205</v>
      </c>
      <c r="B2206" s="7" t="s">
        <v>10</v>
      </c>
      <c r="C2206" s="8">
        <v>1888</v>
      </c>
      <c r="D2206" s="9">
        <v>45432</v>
      </c>
      <c r="E2206" s="13" t="str">
        <f>+HYPERLINK("http://trademark.i-assist.jp/data/china/image_1888th/77183418.pdf","77183418")</f>
        <v>77183418</v>
      </c>
      <c r="F2206" s="7" t="s">
        <v>6129</v>
      </c>
      <c r="G2206" s="7" t="s">
        <v>6130</v>
      </c>
      <c r="H2206" s="7" t="s">
        <v>6131</v>
      </c>
      <c r="I2206" s="9">
        <v>45359</v>
      </c>
    </row>
    <row r="2207" spans="1:9" x14ac:dyDescent="0.15">
      <c r="A2207" s="6">
        <v>2206</v>
      </c>
      <c r="B2207" s="7" t="s">
        <v>10</v>
      </c>
      <c r="C2207" s="8">
        <v>1888</v>
      </c>
      <c r="D2207" s="9">
        <v>45432</v>
      </c>
      <c r="E2207" s="13" t="str">
        <f>+HYPERLINK("http://trademark.i-assist.jp/data/china/image_1888th/77183882.pdf","77183882")</f>
        <v>77183882</v>
      </c>
      <c r="F2207" s="7" t="s">
        <v>6132</v>
      </c>
      <c r="G2207" s="7" t="s">
        <v>6133</v>
      </c>
      <c r="H2207" s="7" t="s">
        <v>6134</v>
      </c>
      <c r="I2207" s="9">
        <v>45359</v>
      </c>
    </row>
    <row r="2208" spans="1:9" x14ac:dyDescent="0.15">
      <c r="A2208" s="6">
        <v>2207</v>
      </c>
      <c r="B2208" s="7" t="s">
        <v>10</v>
      </c>
      <c r="C2208" s="8">
        <v>1888</v>
      </c>
      <c r="D2208" s="9">
        <v>45432</v>
      </c>
      <c r="E2208" s="13" t="str">
        <f>+HYPERLINK("http://trademark.i-assist.jp/data/china/image_1888th/77184195.pdf","77184195")</f>
        <v>77184195</v>
      </c>
      <c r="F2208" s="7" t="s">
        <v>6135</v>
      </c>
      <c r="G2208" s="7" t="s">
        <v>6136</v>
      </c>
      <c r="H2208" s="7" t="s">
        <v>6137</v>
      </c>
      <c r="I2208" s="9">
        <v>45359</v>
      </c>
    </row>
    <row r="2209" spans="1:9" ht="27" x14ac:dyDescent="0.15">
      <c r="A2209" s="6">
        <v>2208</v>
      </c>
      <c r="B2209" s="7" t="s">
        <v>10</v>
      </c>
      <c r="C2209" s="8">
        <v>1888</v>
      </c>
      <c r="D2209" s="9">
        <v>45432</v>
      </c>
      <c r="E2209" s="13" t="str">
        <f>+HYPERLINK("http://trademark.i-assist.jp/data/china/image_1888th/77184466.pdf","77184466")</f>
        <v>77184466</v>
      </c>
      <c r="F2209" s="7" t="s">
        <v>6138</v>
      </c>
      <c r="G2209" s="7" t="s">
        <v>4154</v>
      </c>
      <c r="H2209" s="7" t="s">
        <v>6139</v>
      </c>
      <c r="I2209" s="9">
        <v>45359</v>
      </c>
    </row>
    <row r="2210" spans="1:9" x14ac:dyDescent="0.15">
      <c r="A2210" s="6">
        <v>2209</v>
      </c>
      <c r="B2210" s="7" t="s">
        <v>10</v>
      </c>
      <c r="C2210" s="8">
        <v>1888</v>
      </c>
      <c r="D2210" s="9">
        <v>45432</v>
      </c>
      <c r="E2210" s="13" t="str">
        <f>+HYPERLINK("http://trademark.i-assist.jp/data/china/image_1888th/77185018.pdf","77185018")</f>
        <v>77185018</v>
      </c>
      <c r="F2210" s="7" t="s">
        <v>6140</v>
      </c>
      <c r="G2210" s="7" t="s">
        <v>6141</v>
      </c>
      <c r="H2210" s="7" t="s">
        <v>6142</v>
      </c>
      <c r="I2210" s="9">
        <v>45359</v>
      </c>
    </row>
    <row r="2211" spans="1:9" x14ac:dyDescent="0.15">
      <c r="A2211" s="6">
        <v>2210</v>
      </c>
      <c r="B2211" s="7" t="s">
        <v>10</v>
      </c>
      <c r="C2211" s="8">
        <v>1888</v>
      </c>
      <c r="D2211" s="9">
        <v>45432</v>
      </c>
      <c r="E2211" s="13" t="str">
        <f>+HYPERLINK("http://trademark.i-assist.jp/data/china/image_1888th/77185096.pdf","77185096")</f>
        <v>77185096</v>
      </c>
      <c r="F2211" s="7" t="s">
        <v>6143</v>
      </c>
      <c r="G2211" s="7" t="s">
        <v>6144</v>
      </c>
      <c r="H2211" s="7" t="s">
        <v>6145</v>
      </c>
      <c r="I2211" s="9">
        <v>45359</v>
      </c>
    </row>
    <row r="2212" spans="1:9" x14ac:dyDescent="0.15">
      <c r="A2212" s="6">
        <v>2211</v>
      </c>
      <c r="B2212" s="7" t="s">
        <v>10</v>
      </c>
      <c r="C2212" s="8">
        <v>1888</v>
      </c>
      <c r="D2212" s="9">
        <v>45432</v>
      </c>
      <c r="E2212" s="13" t="str">
        <f>+HYPERLINK("http://trademark.i-assist.jp/data/china/image_1888th/77185137.pdf","77185137")</f>
        <v>77185137</v>
      </c>
      <c r="F2212" s="7" t="s">
        <v>6146</v>
      </c>
      <c r="G2212" s="7" t="s">
        <v>6147</v>
      </c>
      <c r="H2212" s="7" t="s">
        <v>6148</v>
      </c>
      <c r="I2212" s="9">
        <v>45359</v>
      </c>
    </row>
    <row r="2213" spans="1:9" ht="27" x14ac:dyDescent="0.15">
      <c r="A2213" s="6">
        <v>2212</v>
      </c>
      <c r="B2213" s="7" t="s">
        <v>10</v>
      </c>
      <c r="C2213" s="8">
        <v>1888</v>
      </c>
      <c r="D2213" s="9">
        <v>45432</v>
      </c>
      <c r="E2213" s="13" t="str">
        <f>+HYPERLINK("http://trademark.i-assist.jp/data/china/image_1888th/77185535.pdf","77185535")</f>
        <v>77185535</v>
      </c>
      <c r="F2213" s="7" t="s">
        <v>6149</v>
      </c>
      <c r="G2213" s="7" t="s">
        <v>5996</v>
      </c>
      <c r="H2213" s="7" t="s">
        <v>6150</v>
      </c>
      <c r="I2213" s="9">
        <v>45359</v>
      </c>
    </row>
    <row r="2214" spans="1:9" x14ac:dyDescent="0.15">
      <c r="A2214" s="6">
        <v>2213</v>
      </c>
      <c r="B2214" s="7" t="s">
        <v>10</v>
      </c>
      <c r="C2214" s="8">
        <v>1888</v>
      </c>
      <c r="D2214" s="9">
        <v>45432</v>
      </c>
      <c r="E2214" s="13" t="str">
        <f>+HYPERLINK("http://trademark.i-assist.jp/data/china/image_1888th/77185605.pdf","77185605")</f>
        <v>77185605</v>
      </c>
      <c r="F2214" s="7" t="s">
        <v>6151</v>
      </c>
      <c r="G2214" s="7" t="s">
        <v>6152</v>
      </c>
      <c r="H2214" s="7" t="s">
        <v>6153</v>
      </c>
      <c r="I2214" s="9">
        <v>45359</v>
      </c>
    </row>
    <row r="2215" spans="1:9" x14ac:dyDescent="0.15">
      <c r="A2215" s="6">
        <v>2214</v>
      </c>
      <c r="B2215" s="7" t="s">
        <v>10</v>
      </c>
      <c r="C2215" s="8">
        <v>1888</v>
      </c>
      <c r="D2215" s="9">
        <v>45432</v>
      </c>
      <c r="E2215" s="13" t="str">
        <f>+HYPERLINK("http://trademark.i-assist.jp/data/china/image_1888th/77185811.pdf","77185811")</f>
        <v>77185811</v>
      </c>
      <c r="F2215" s="7" t="s">
        <v>76</v>
      </c>
      <c r="G2215" s="7" t="s">
        <v>6154</v>
      </c>
      <c r="H2215" s="7" t="s">
        <v>6155</v>
      </c>
      <c r="I2215" s="9">
        <v>45359</v>
      </c>
    </row>
    <row r="2216" spans="1:9" x14ac:dyDescent="0.15">
      <c r="A2216" s="6">
        <v>2215</v>
      </c>
      <c r="B2216" s="7" t="s">
        <v>10</v>
      </c>
      <c r="C2216" s="8">
        <v>1888</v>
      </c>
      <c r="D2216" s="9">
        <v>45432</v>
      </c>
      <c r="E2216" s="13" t="str">
        <f>+HYPERLINK("http://trademark.i-assist.jp/data/china/image_1888th/77186032.pdf","77186032")</f>
        <v>77186032</v>
      </c>
      <c r="F2216" s="7" t="s">
        <v>76</v>
      </c>
      <c r="G2216" s="7" t="s">
        <v>6156</v>
      </c>
      <c r="H2216" s="7" t="s">
        <v>6157</v>
      </c>
      <c r="I2216" s="9">
        <v>45359</v>
      </c>
    </row>
    <row r="2217" spans="1:9" ht="27" x14ac:dyDescent="0.15">
      <c r="A2217" s="6">
        <v>2216</v>
      </c>
      <c r="B2217" s="7" t="s">
        <v>10</v>
      </c>
      <c r="C2217" s="8">
        <v>1888</v>
      </c>
      <c r="D2217" s="9">
        <v>45432</v>
      </c>
      <c r="E2217" s="13" t="str">
        <f>+HYPERLINK("http://trademark.i-assist.jp/data/china/image_1888th/77186103.pdf","77186103")</f>
        <v>77186103</v>
      </c>
      <c r="F2217" s="7" t="s">
        <v>6158</v>
      </c>
      <c r="G2217" s="7" t="s">
        <v>6159</v>
      </c>
      <c r="H2217" s="7" t="s">
        <v>6160</v>
      </c>
      <c r="I2217" s="9">
        <v>45359</v>
      </c>
    </row>
    <row r="2218" spans="1:9" x14ac:dyDescent="0.15">
      <c r="A2218" s="6">
        <v>2217</v>
      </c>
      <c r="B2218" s="7" t="s">
        <v>10</v>
      </c>
      <c r="C2218" s="8">
        <v>1888</v>
      </c>
      <c r="D2218" s="9">
        <v>45432</v>
      </c>
      <c r="E2218" s="13" t="str">
        <f>+HYPERLINK("http://trademark.i-assist.jp/data/china/image_1888th/77186255.pdf","77186255")</f>
        <v>77186255</v>
      </c>
      <c r="F2218" s="7" t="s">
        <v>6161</v>
      </c>
      <c r="G2218" s="7" t="s">
        <v>6162</v>
      </c>
      <c r="H2218" s="7" t="s">
        <v>6163</v>
      </c>
      <c r="I2218" s="9">
        <v>45359</v>
      </c>
    </row>
    <row r="2219" spans="1:9" x14ac:dyDescent="0.15">
      <c r="A2219" s="6">
        <v>2218</v>
      </c>
      <c r="B2219" s="7" t="s">
        <v>10</v>
      </c>
      <c r="C2219" s="8">
        <v>1888</v>
      </c>
      <c r="D2219" s="9">
        <v>45432</v>
      </c>
      <c r="E2219" s="13" t="str">
        <f>+HYPERLINK("http://trademark.i-assist.jp/data/china/image_1888th/77186439.pdf","77186439")</f>
        <v>77186439</v>
      </c>
      <c r="F2219" s="7" t="s">
        <v>6164</v>
      </c>
      <c r="G2219" s="7" t="s">
        <v>6165</v>
      </c>
      <c r="H2219" s="7" t="s">
        <v>6166</v>
      </c>
      <c r="I2219" s="9">
        <v>45359</v>
      </c>
    </row>
    <row r="2220" spans="1:9" ht="27" x14ac:dyDescent="0.15">
      <c r="A2220" s="6">
        <v>2219</v>
      </c>
      <c r="B2220" s="7" t="s">
        <v>10</v>
      </c>
      <c r="C2220" s="8">
        <v>1888</v>
      </c>
      <c r="D2220" s="9">
        <v>45432</v>
      </c>
      <c r="E2220" s="13" t="str">
        <f>+HYPERLINK("http://trademark.i-assist.jp/data/china/image_1888th/77186502.pdf","77186502")</f>
        <v>77186502</v>
      </c>
      <c r="F2220" s="7" t="s">
        <v>6167</v>
      </c>
      <c r="G2220" s="7" t="s">
        <v>6047</v>
      </c>
      <c r="H2220" s="7" t="s">
        <v>6168</v>
      </c>
      <c r="I2220" s="9">
        <v>45359</v>
      </c>
    </row>
    <row r="2221" spans="1:9" x14ac:dyDescent="0.15">
      <c r="A2221" s="6">
        <v>2220</v>
      </c>
      <c r="B2221" s="7" t="s">
        <v>10</v>
      </c>
      <c r="C2221" s="8">
        <v>1888</v>
      </c>
      <c r="D2221" s="9">
        <v>45432</v>
      </c>
      <c r="E2221" s="13" t="str">
        <f>+HYPERLINK("http://trademark.i-assist.jp/data/china/image_1888th/77186651.pdf","77186651")</f>
        <v>77186651</v>
      </c>
      <c r="F2221" s="7" t="s">
        <v>6169</v>
      </c>
      <c r="G2221" s="7" t="s">
        <v>6170</v>
      </c>
      <c r="H2221" s="7" t="s">
        <v>6171</v>
      </c>
      <c r="I2221" s="9">
        <v>45359</v>
      </c>
    </row>
    <row r="2222" spans="1:9" x14ac:dyDescent="0.15">
      <c r="A2222" s="6">
        <v>2221</v>
      </c>
      <c r="B2222" s="7" t="s">
        <v>10</v>
      </c>
      <c r="C2222" s="8">
        <v>1888</v>
      </c>
      <c r="D2222" s="9">
        <v>45432</v>
      </c>
      <c r="E2222" s="13" t="str">
        <f>+HYPERLINK("http://trademark.i-assist.jp/data/china/image_1888th/77186754.pdf","77186754")</f>
        <v>77186754</v>
      </c>
      <c r="F2222" s="7" t="s">
        <v>6172</v>
      </c>
      <c r="G2222" s="7" t="s">
        <v>6173</v>
      </c>
      <c r="H2222" s="7" t="s">
        <v>6174</v>
      </c>
      <c r="I2222" s="9">
        <v>45359</v>
      </c>
    </row>
    <row r="2223" spans="1:9" x14ac:dyDescent="0.15">
      <c r="A2223" s="6">
        <v>2222</v>
      </c>
      <c r="B2223" s="7" t="s">
        <v>10</v>
      </c>
      <c r="C2223" s="8">
        <v>1888</v>
      </c>
      <c r="D2223" s="9">
        <v>45432</v>
      </c>
      <c r="E2223" s="13" t="str">
        <f>+HYPERLINK("http://trademark.i-assist.jp/data/china/image_1888th/77186851.pdf","77186851")</f>
        <v>77186851</v>
      </c>
      <c r="F2223" s="7" t="s">
        <v>6175</v>
      </c>
      <c r="G2223" s="7" t="s">
        <v>1823</v>
      </c>
      <c r="H2223" s="7" t="s">
        <v>6176</v>
      </c>
      <c r="I2223" s="9">
        <v>45359</v>
      </c>
    </row>
    <row r="2224" spans="1:9" x14ac:dyDescent="0.15">
      <c r="A2224" s="6">
        <v>2223</v>
      </c>
      <c r="B2224" s="7" t="s">
        <v>10</v>
      </c>
      <c r="C2224" s="8">
        <v>1888</v>
      </c>
      <c r="D2224" s="9">
        <v>45432</v>
      </c>
      <c r="E2224" s="13" t="str">
        <f>+HYPERLINK("http://trademark.i-assist.jp/data/china/image_1888th/77186914.pdf","77186914")</f>
        <v>77186914</v>
      </c>
      <c r="F2224" s="7" t="s">
        <v>6177</v>
      </c>
      <c r="G2224" s="7" t="s">
        <v>6178</v>
      </c>
      <c r="H2224" s="7" t="s">
        <v>6179</v>
      </c>
      <c r="I2224" s="9">
        <v>45359</v>
      </c>
    </row>
    <row r="2225" spans="1:9" x14ac:dyDescent="0.15">
      <c r="A2225" s="6">
        <v>2224</v>
      </c>
      <c r="B2225" s="7" t="s">
        <v>10</v>
      </c>
      <c r="C2225" s="8">
        <v>1888</v>
      </c>
      <c r="D2225" s="9">
        <v>45432</v>
      </c>
      <c r="E2225" s="13" t="str">
        <f>+HYPERLINK("http://trademark.i-assist.jp/data/china/image_1888th/77186923.pdf","77186923")</f>
        <v>77186923</v>
      </c>
      <c r="F2225" s="7" t="s">
        <v>6180</v>
      </c>
      <c r="G2225" s="7" t="s">
        <v>6181</v>
      </c>
      <c r="H2225" s="7" t="s">
        <v>6182</v>
      </c>
      <c r="I2225" s="9">
        <v>45359</v>
      </c>
    </row>
    <row r="2226" spans="1:9" ht="27" x14ac:dyDescent="0.15">
      <c r="A2226" s="6">
        <v>2225</v>
      </c>
      <c r="B2226" s="7" t="s">
        <v>10</v>
      </c>
      <c r="C2226" s="8">
        <v>1888</v>
      </c>
      <c r="D2226" s="9">
        <v>45432</v>
      </c>
      <c r="E2226" s="13" t="str">
        <f>+HYPERLINK("http://trademark.i-assist.jp/data/china/image_1888th/77187000.pdf","77187000")</f>
        <v>77187000</v>
      </c>
      <c r="F2226" s="7" t="s">
        <v>6183</v>
      </c>
      <c r="G2226" s="7" t="s">
        <v>5996</v>
      </c>
      <c r="H2226" s="7" t="s">
        <v>6184</v>
      </c>
      <c r="I2226" s="9">
        <v>45359</v>
      </c>
    </row>
    <row r="2227" spans="1:9" x14ac:dyDescent="0.15">
      <c r="A2227" s="6">
        <v>2226</v>
      </c>
      <c r="B2227" s="7" t="s">
        <v>10</v>
      </c>
      <c r="C2227" s="8">
        <v>1888</v>
      </c>
      <c r="D2227" s="9">
        <v>45432</v>
      </c>
      <c r="E2227" s="13" t="str">
        <f>+HYPERLINK("http://trademark.i-assist.jp/data/china/image_1888th/77187025.pdf","77187025")</f>
        <v>77187025</v>
      </c>
      <c r="F2227" s="7" t="s">
        <v>6185</v>
      </c>
      <c r="G2227" s="7" t="s">
        <v>6186</v>
      </c>
      <c r="H2227" s="7" t="s">
        <v>6187</v>
      </c>
      <c r="I2227" s="9">
        <v>45359</v>
      </c>
    </row>
    <row r="2228" spans="1:9" x14ac:dyDescent="0.15">
      <c r="A2228" s="6">
        <v>2227</v>
      </c>
      <c r="B2228" s="7" t="s">
        <v>10</v>
      </c>
      <c r="C2228" s="8">
        <v>1888</v>
      </c>
      <c r="D2228" s="9">
        <v>45432</v>
      </c>
      <c r="E2228" s="13" t="str">
        <f>+HYPERLINK("http://trademark.i-assist.jp/data/china/image_1888th/77187225.pdf","77187225")</f>
        <v>77187225</v>
      </c>
      <c r="F2228" s="7" t="s">
        <v>6188</v>
      </c>
      <c r="G2228" s="7" t="s">
        <v>6189</v>
      </c>
      <c r="H2228" s="7" t="s">
        <v>6190</v>
      </c>
      <c r="I2228" s="9">
        <v>45359</v>
      </c>
    </row>
    <row r="2229" spans="1:9" x14ac:dyDescent="0.15">
      <c r="A2229" s="6">
        <v>2228</v>
      </c>
      <c r="B2229" s="7" t="s">
        <v>10</v>
      </c>
      <c r="C2229" s="8">
        <v>1888</v>
      </c>
      <c r="D2229" s="9">
        <v>45432</v>
      </c>
      <c r="E2229" s="13" t="str">
        <f>+HYPERLINK("http://trademark.i-assist.jp/data/china/image_1888th/77187423.pdf","77187423")</f>
        <v>77187423</v>
      </c>
      <c r="F2229" s="7" t="s">
        <v>6191</v>
      </c>
      <c r="G2229" s="7" t="s">
        <v>6192</v>
      </c>
      <c r="H2229" s="7" t="s">
        <v>13</v>
      </c>
      <c r="I2229" s="9">
        <v>45359</v>
      </c>
    </row>
    <row r="2230" spans="1:9" x14ac:dyDescent="0.15">
      <c r="A2230" s="6">
        <v>2229</v>
      </c>
      <c r="B2230" s="7" t="s">
        <v>10</v>
      </c>
      <c r="C2230" s="8">
        <v>1888</v>
      </c>
      <c r="D2230" s="9">
        <v>45432</v>
      </c>
      <c r="E2230" s="13" t="str">
        <f>+HYPERLINK("http://trademark.i-assist.jp/data/china/image_1888th/77187522.pdf","77187522")</f>
        <v>77187522</v>
      </c>
      <c r="F2230" s="7" t="s">
        <v>6193</v>
      </c>
      <c r="G2230" s="7" t="s">
        <v>6194</v>
      </c>
      <c r="H2230" s="7" t="s">
        <v>6195</v>
      </c>
      <c r="I2230" s="9">
        <v>45359</v>
      </c>
    </row>
    <row r="2231" spans="1:9" x14ac:dyDescent="0.15">
      <c r="A2231" s="6">
        <v>2230</v>
      </c>
      <c r="B2231" s="7" t="s">
        <v>10</v>
      </c>
      <c r="C2231" s="8">
        <v>1888</v>
      </c>
      <c r="D2231" s="9">
        <v>45432</v>
      </c>
      <c r="E2231" s="13" t="str">
        <f>+HYPERLINK("http://trademark.i-assist.jp/data/china/image_1888th/77187734.pdf","77187734")</f>
        <v>77187734</v>
      </c>
      <c r="F2231" s="7" t="s">
        <v>6196</v>
      </c>
      <c r="G2231" s="7" t="s">
        <v>6197</v>
      </c>
      <c r="H2231" s="7" t="s">
        <v>6198</v>
      </c>
      <c r="I2231" s="9">
        <v>45359</v>
      </c>
    </row>
    <row r="2232" spans="1:9" x14ac:dyDescent="0.15">
      <c r="A2232" s="6">
        <v>2231</v>
      </c>
      <c r="B2232" s="7" t="s">
        <v>10</v>
      </c>
      <c r="C2232" s="8">
        <v>1888</v>
      </c>
      <c r="D2232" s="9">
        <v>45432</v>
      </c>
      <c r="E2232" s="13" t="str">
        <f>+HYPERLINK("http://trademark.i-assist.jp/data/china/image_1888th/77188326.pdf","77188326")</f>
        <v>77188326</v>
      </c>
      <c r="F2232" s="7" t="s">
        <v>6199</v>
      </c>
      <c r="G2232" s="7" t="s">
        <v>6200</v>
      </c>
      <c r="H2232" s="7" t="s">
        <v>6201</v>
      </c>
      <c r="I2232" s="9">
        <v>45359</v>
      </c>
    </row>
    <row r="2233" spans="1:9" x14ac:dyDescent="0.15">
      <c r="A2233" s="6">
        <v>2232</v>
      </c>
      <c r="B2233" s="7" t="s">
        <v>10</v>
      </c>
      <c r="C2233" s="8">
        <v>1888</v>
      </c>
      <c r="D2233" s="9">
        <v>45432</v>
      </c>
      <c r="E2233" s="13" t="str">
        <f>+HYPERLINK("http://trademark.i-assist.jp/data/china/image_1888th/77188390.pdf","77188390")</f>
        <v>77188390</v>
      </c>
      <c r="F2233" s="7" t="s">
        <v>6202</v>
      </c>
      <c r="G2233" s="7" t="s">
        <v>6040</v>
      </c>
      <c r="H2233" s="7" t="s">
        <v>6203</v>
      </c>
      <c r="I2233" s="9">
        <v>45359</v>
      </c>
    </row>
    <row r="2234" spans="1:9" x14ac:dyDescent="0.15">
      <c r="A2234" s="6">
        <v>2233</v>
      </c>
      <c r="B2234" s="7" t="s">
        <v>10</v>
      </c>
      <c r="C2234" s="8">
        <v>1888</v>
      </c>
      <c r="D2234" s="9">
        <v>45432</v>
      </c>
      <c r="E2234" s="13" t="str">
        <f>+HYPERLINK("http://trademark.i-assist.jp/data/china/image_1888th/77188524.pdf","77188524")</f>
        <v>77188524</v>
      </c>
      <c r="F2234" s="7" t="s">
        <v>6204</v>
      </c>
      <c r="G2234" s="7" t="s">
        <v>6205</v>
      </c>
      <c r="H2234" s="7" t="s">
        <v>6206</v>
      </c>
      <c r="I2234" s="9">
        <v>45359</v>
      </c>
    </row>
    <row r="2235" spans="1:9" x14ac:dyDescent="0.15">
      <c r="A2235" s="6">
        <v>2234</v>
      </c>
      <c r="B2235" s="7" t="s">
        <v>10</v>
      </c>
      <c r="C2235" s="8">
        <v>1888</v>
      </c>
      <c r="D2235" s="9">
        <v>45432</v>
      </c>
      <c r="E2235" s="13" t="str">
        <f>+HYPERLINK("http://trademark.i-assist.jp/data/china/image_1888th/77188769.pdf","77188769")</f>
        <v>77188769</v>
      </c>
      <c r="F2235" s="7" t="s">
        <v>6207</v>
      </c>
      <c r="G2235" s="7" t="s">
        <v>6208</v>
      </c>
      <c r="H2235" s="7" t="s">
        <v>6209</v>
      </c>
      <c r="I2235" s="9">
        <v>45359</v>
      </c>
    </row>
    <row r="2236" spans="1:9" x14ac:dyDescent="0.15">
      <c r="A2236" s="6">
        <v>2235</v>
      </c>
      <c r="B2236" s="7" t="s">
        <v>10</v>
      </c>
      <c r="C2236" s="8">
        <v>1888</v>
      </c>
      <c r="D2236" s="9">
        <v>45432</v>
      </c>
      <c r="E2236" s="13" t="str">
        <f>+HYPERLINK("http://trademark.i-assist.jp/data/china/image_1888th/77188961.pdf","77188961")</f>
        <v>77188961</v>
      </c>
      <c r="F2236" s="7" t="s">
        <v>6210</v>
      </c>
      <c r="G2236" s="7" t="s">
        <v>6211</v>
      </c>
      <c r="H2236" s="7" t="s">
        <v>6212</v>
      </c>
      <c r="I2236" s="9">
        <v>45359</v>
      </c>
    </row>
    <row r="2237" spans="1:9" x14ac:dyDescent="0.15">
      <c r="A2237" s="6">
        <v>2236</v>
      </c>
      <c r="B2237" s="7" t="s">
        <v>10</v>
      </c>
      <c r="C2237" s="8">
        <v>1888</v>
      </c>
      <c r="D2237" s="9">
        <v>45432</v>
      </c>
      <c r="E2237" s="13" t="str">
        <f>+HYPERLINK("http://trademark.i-assist.jp/data/china/image_1888th/77189377.pdf","77189377")</f>
        <v>77189377</v>
      </c>
      <c r="F2237" s="7" t="s">
        <v>6213</v>
      </c>
      <c r="G2237" s="7" t="s">
        <v>6214</v>
      </c>
      <c r="H2237" s="7" t="s">
        <v>6215</v>
      </c>
      <c r="I2237" s="9">
        <v>45359</v>
      </c>
    </row>
    <row r="2238" spans="1:9" x14ac:dyDescent="0.15">
      <c r="A2238" s="6">
        <v>2237</v>
      </c>
      <c r="B2238" s="7" t="s">
        <v>10</v>
      </c>
      <c r="C2238" s="8">
        <v>1888</v>
      </c>
      <c r="D2238" s="9">
        <v>45432</v>
      </c>
      <c r="E2238" s="13" t="str">
        <f>+HYPERLINK("http://trademark.i-assist.jp/data/china/image_1888th/77189403.pdf","77189403")</f>
        <v>77189403</v>
      </c>
      <c r="F2238" s="7" t="s">
        <v>6216</v>
      </c>
      <c r="G2238" s="7" t="s">
        <v>6152</v>
      </c>
      <c r="H2238" s="7" t="s">
        <v>6217</v>
      </c>
      <c r="I2238" s="9">
        <v>45359</v>
      </c>
    </row>
    <row r="2239" spans="1:9" x14ac:dyDescent="0.15">
      <c r="A2239" s="6">
        <v>2238</v>
      </c>
      <c r="B2239" s="7" t="s">
        <v>10</v>
      </c>
      <c r="C2239" s="8">
        <v>1888</v>
      </c>
      <c r="D2239" s="9">
        <v>45432</v>
      </c>
      <c r="E2239" s="13" t="str">
        <f>+HYPERLINK("http://trademark.i-assist.jp/data/china/image_1888th/77189453.pdf","77189453")</f>
        <v>77189453</v>
      </c>
      <c r="F2239" s="7" t="s">
        <v>6218</v>
      </c>
      <c r="G2239" s="7" t="s">
        <v>6028</v>
      </c>
      <c r="H2239" s="7" t="s">
        <v>6219</v>
      </c>
      <c r="I2239" s="9">
        <v>45359</v>
      </c>
    </row>
    <row r="2240" spans="1:9" x14ac:dyDescent="0.15">
      <c r="A2240" s="6">
        <v>2239</v>
      </c>
      <c r="B2240" s="7" t="s">
        <v>10</v>
      </c>
      <c r="C2240" s="8">
        <v>1888</v>
      </c>
      <c r="D2240" s="9">
        <v>45432</v>
      </c>
      <c r="E2240" s="13" t="str">
        <f>+HYPERLINK("http://trademark.i-assist.jp/data/china/image_1888th/77189659.pdf","77189659")</f>
        <v>77189659</v>
      </c>
      <c r="F2240" s="7" t="s">
        <v>6220</v>
      </c>
      <c r="G2240" s="7" t="s">
        <v>6002</v>
      </c>
      <c r="H2240" s="7" t="s">
        <v>6221</v>
      </c>
      <c r="I2240" s="9">
        <v>45359</v>
      </c>
    </row>
    <row r="2241" spans="1:9" ht="27" x14ac:dyDescent="0.15">
      <c r="A2241" s="6">
        <v>2240</v>
      </c>
      <c r="B2241" s="7" t="s">
        <v>10</v>
      </c>
      <c r="C2241" s="8">
        <v>1888</v>
      </c>
      <c r="D2241" s="9">
        <v>45432</v>
      </c>
      <c r="E2241" s="13" t="str">
        <f>+HYPERLINK("http://trademark.i-assist.jp/data/china/image_1888th/77190609.pdf","77190609")</f>
        <v>77190609</v>
      </c>
      <c r="F2241" s="7" t="s">
        <v>6222</v>
      </c>
      <c r="G2241" s="7" t="s">
        <v>6223</v>
      </c>
      <c r="H2241" s="7" t="s">
        <v>6224</v>
      </c>
      <c r="I2241" s="9">
        <v>45359</v>
      </c>
    </row>
    <row r="2242" spans="1:9" ht="27" x14ac:dyDescent="0.15">
      <c r="A2242" s="6">
        <v>2241</v>
      </c>
      <c r="B2242" s="7" t="s">
        <v>10</v>
      </c>
      <c r="C2242" s="8">
        <v>1888</v>
      </c>
      <c r="D2242" s="9">
        <v>45432</v>
      </c>
      <c r="E2242" s="13" t="str">
        <f>+HYPERLINK("http://trademark.i-assist.jp/data/china/image_1888th/77191093.pdf","77191093")</f>
        <v>77191093</v>
      </c>
      <c r="F2242" s="7" t="s">
        <v>6225</v>
      </c>
      <c r="G2242" s="7" t="s">
        <v>6226</v>
      </c>
      <c r="H2242" s="7" t="s">
        <v>6227</v>
      </c>
      <c r="I2242" s="9">
        <v>45359</v>
      </c>
    </row>
    <row r="2243" spans="1:9" x14ac:dyDescent="0.15">
      <c r="A2243" s="6">
        <v>2242</v>
      </c>
      <c r="B2243" s="7" t="s">
        <v>10</v>
      </c>
      <c r="C2243" s="8">
        <v>1888</v>
      </c>
      <c r="D2243" s="9">
        <v>45432</v>
      </c>
      <c r="E2243" s="13" t="str">
        <f>+HYPERLINK("http://trademark.i-assist.jp/data/china/image_1888th/77191189.pdf","77191189")</f>
        <v>77191189</v>
      </c>
      <c r="F2243" s="7" t="s">
        <v>6228</v>
      </c>
      <c r="G2243" s="7" t="s">
        <v>5436</v>
      </c>
      <c r="H2243" s="7" t="s">
        <v>6229</v>
      </c>
      <c r="I2243" s="9">
        <v>45359</v>
      </c>
    </row>
    <row r="2244" spans="1:9" ht="27" x14ac:dyDescent="0.15">
      <c r="A2244" s="6">
        <v>2243</v>
      </c>
      <c r="B2244" s="7" t="s">
        <v>10</v>
      </c>
      <c r="C2244" s="8">
        <v>1888</v>
      </c>
      <c r="D2244" s="9">
        <v>45432</v>
      </c>
      <c r="E2244" s="13" t="str">
        <f>+HYPERLINK("http://trademark.i-assist.jp/data/china/image_1888th/77191367.pdf","77191367")</f>
        <v>77191367</v>
      </c>
      <c r="F2244" s="7" t="s">
        <v>6230</v>
      </c>
      <c r="G2244" s="7" t="s">
        <v>5996</v>
      </c>
      <c r="H2244" s="7" t="s">
        <v>6231</v>
      </c>
      <c r="I2244" s="9">
        <v>45359</v>
      </c>
    </row>
    <row r="2245" spans="1:9" x14ac:dyDescent="0.15">
      <c r="A2245" s="6">
        <v>2244</v>
      </c>
      <c r="B2245" s="7" t="s">
        <v>10</v>
      </c>
      <c r="C2245" s="8">
        <v>1888</v>
      </c>
      <c r="D2245" s="9">
        <v>45432</v>
      </c>
      <c r="E2245" s="13" t="str">
        <f>+HYPERLINK("http://trademark.i-assist.jp/data/china/image_1888th/77191466.pdf","77191466")</f>
        <v>77191466</v>
      </c>
      <c r="F2245" s="7" t="s">
        <v>6232</v>
      </c>
      <c r="G2245" s="7" t="s">
        <v>6233</v>
      </c>
      <c r="H2245" s="7" t="s">
        <v>6234</v>
      </c>
      <c r="I2245" s="9">
        <v>45359</v>
      </c>
    </row>
    <row r="2246" spans="1:9" x14ac:dyDescent="0.15">
      <c r="A2246" s="6">
        <v>2245</v>
      </c>
      <c r="B2246" s="7" t="s">
        <v>10</v>
      </c>
      <c r="C2246" s="8">
        <v>1888</v>
      </c>
      <c r="D2246" s="9">
        <v>45432</v>
      </c>
      <c r="E2246" s="13" t="str">
        <f>+HYPERLINK("http://trademark.i-assist.jp/data/china/image_1888th/77191682.pdf","77191682")</f>
        <v>77191682</v>
      </c>
      <c r="F2246" s="7" t="s">
        <v>6235</v>
      </c>
      <c r="G2246" s="7" t="s">
        <v>6236</v>
      </c>
      <c r="H2246" s="7" t="s">
        <v>6237</v>
      </c>
      <c r="I2246" s="9">
        <v>45359</v>
      </c>
    </row>
    <row r="2247" spans="1:9" x14ac:dyDescent="0.15">
      <c r="A2247" s="6">
        <v>2246</v>
      </c>
      <c r="B2247" s="7" t="s">
        <v>10</v>
      </c>
      <c r="C2247" s="8">
        <v>1888</v>
      </c>
      <c r="D2247" s="9">
        <v>45432</v>
      </c>
      <c r="E2247" s="13" t="str">
        <f>+HYPERLINK("http://trademark.i-assist.jp/data/china/image_1888th/77191767.pdf","77191767")</f>
        <v>77191767</v>
      </c>
      <c r="F2247" s="7" t="s">
        <v>6238</v>
      </c>
      <c r="G2247" s="7" t="s">
        <v>6239</v>
      </c>
      <c r="H2247" s="7" t="s">
        <v>6240</v>
      </c>
      <c r="I2247" s="9">
        <v>45359</v>
      </c>
    </row>
    <row r="2248" spans="1:9" x14ac:dyDescent="0.15">
      <c r="A2248" s="6">
        <v>2247</v>
      </c>
      <c r="B2248" s="7" t="s">
        <v>10</v>
      </c>
      <c r="C2248" s="8">
        <v>1888</v>
      </c>
      <c r="D2248" s="9">
        <v>45432</v>
      </c>
      <c r="E2248" s="13" t="str">
        <f>+HYPERLINK("http://trademark.i-assist.jp/data/china/image_1888th/77192158.pdf","77192158")</f>
        <v>77192158</v>
      </c>
      <c r="F2248" s="7" t="s">
        <v>6039</v>
      </c>
      <c r="G2248" s="7" t="s">
        <v>6040</v>
      </c>
      <c r="H2248" s="7" t="s">
        <v>6241</v>
      </c>
      <c r="I2248" s="9">
        <v>45359</v>
      </c>
    </row>
    <row r="2249" spans="1:9" x14ac:dyDescent="0.15">
      <c r="A2249" s="6">
        <v>2248</v>
      </c>
      <c r="B2249" s="7" t="s">
        <v>10</v>
      </c>
      <c r="C2249" s="8">
        <v>1888</v>
      </c>
      <c r="D2249" s="9">
        <v>45432</v>
      </c>
      <c r="E2249" s="13" t="str">
        <f>+HYPERLINK("http://trademark.i-assist.jp/data/china/image_1888th/77192894.pdf","77192894")</f>
        <v>77192894</v>
      </c>
      <c r="F2249" s="7" t="s">
        <v>6242</v>
      </c>
      <c r="G2249" s="7" t="s">
        <v>6243</v>
      </c>
      <c r="H2249" s="7" t="s">
        <v>6244</v>
      </c>
      <c r="I2249" s="9">
        <v>45359</v>
      </c>
    </row>
    <row r="2250" spans="1:9" x14ac:dyDescent="0.15">
      <c r="A2250" s="6">
        <v>2249</v>
      </c>
      <c r="B2250" s="7" t="s">
        <v>10</v>
      </c>
      <c r="C2250" s="8">
        <v>1888</v>
      </c>
      <c r="D2250" s="9">
        <v>45432</v>
      </c>
      <c r="E2250" s="13" t="str">
        <f>+HYPERLINK("http://trademark.i-assist.jp/data/china/image_1888th/77193003.pdf","77193003")</f>
        <v>77193003</v>
      </c>
      <c r="F2250" s="7" t="s">
        <v>6245</v>
      </c>
      <c r="G2250" s="7" t="s">
        <v>6246</v>
      </c>
      <c r="H2250" s="7" t="s">
        <v>6247</v>
      </c>
      <c r="I2250" s="9">
        <v>45359</v>
      </c>
    </row>
    <row r="2251" spans="1:9" x14ac:dyDescent="0.15">
      <c r="A2251" s="6">
        <v>2250</v>
      </c>
      <c r="B2251" s="7" t="s">
        <v>10</v>
      </c>
      <c r="C2251" s="8">
        <v>1888</v>
      </c>
      <c r="D2251" s="9">
        <v>45432</v>
      </c>
      <c r="E2251" s="13" t="str">
        <f>+HYPERLINK("http://trademark.i-assist.jp/data/china/image_1888th/77193147.pdf","77193147")</f>
        <v>77193147</v>
      </c>
      <c r="F2251" s="7" t="s">
        <v>6248</v>
      </c>
      <c r="G2251" s="7" t="s">
        <v>6249</v>
      </c>
      <c r="H2251" s="7" t="s">
        <v>6250</v>
      </c>
      <c r="I2251" s="9">
        <v>45359</v>
      </c>
    </row>
    <row r="2252" spans="1:9" x14ac:dyDescent="0.15">
      <c r="A2252" s="6">
        <v>2251</v>
      </c>
      <c r="B2252" s="7" t="s">
        <v>10</v>
      </c>
      <c r="C2252" s="8">
        <v>1888</v>
      </c>
      <c r="D2252" s="9">
        <v>45432</v>
      </c>
      <c r="E2252" s="13" t="str">
        <f>+HYPERLINK("http://trademark.i-assist.jp/data/china/image_1888th/77193412.pdf","77193412")</f>
        <v>77193412</v>
      </c>
      <c r="F2252" s="7" t="s">
        <v>6251</v>
      </c>
      <c r="G2252" s="7" t="s">
        <v>6186</v>
      </c>
      <c r="H2252" s="7" t="s">
        <v>6252</v>
      </c>
      <c r="I2252" s="9">
        <v>45359</v>
      </c>
    </row>
    <row r="2253" spans="1:9" x14ac:dyDescent="0.15">
      <c r="A2253" s="6">
        <v>2252</v>
      </c>
      <c r="B2253" s="7" t="s">
        <v>10</v>
      </c>
      <c r="C2253" s="8">
        <v>1888</v>
      </c>
      <c r="D2253" s="9">
        <v>45432</v>
      </c>
      <c r="E2253" s="13" t="str">
        <f>+HYPERLINK("http://trademark.i-assist.jp/data/china/image_1888th/77193502.pdf","77193502")</f>
        <v>77193502</v>
      </c>
      <c r="F2253" s="7" t="s">
        <v>6253</v>
      </c>
      <c r="G2253" s="7" t="s">
        <v>6254</v>
      </c>
      <c r="H2253" s="7" t="s">
        <v>6255</v>
      </c>
      <c r="I2253" s="9">
        <v>45359</v>
      </c>
    </row>
    <row r="2254" spans="1:9" x14ac:dyDescent="0.15">
      <c r="A2254" s="6">
        <v>2253</v>
      </c>
      <c r="B2254" s="7" t="s">
        <v>10</v>
      </c>
      <c r="C2254" s="8">
        <v>1888</v>
      </c>
      <c r="D2254" s="9">
        <v>45432</v>
      </c>
      <c r="E2254" s="13" t="str">
        <f>+HYPERLINK("http://trademark.i-assist.jp/data/china/image_1888th/77193662.pdf","77193662")</f>
        <v>77193662</v>
      </c>
      <c r="F2254" s="7" t="s">
        <v>6256</v>
      </c>
      <c r="G2254" s="7" t="s">
        <v>6257</v>
      </c>
      <c r="H2254" s="7" t="s">
        <v>6258</v>
      </c>
      <c r="I2254" s="9">
        <v>45359</v>
      </c>
    </row>
    <row r="2255" spans="1:9" x14ac:dyDescent="0.15">
      <c r="A2255" s="6">
        <v>2254</v>
      </c>
      <c r="B2255" s="7" t="s">
        <v>10</v>
      </c>
      <c r="C2255" s="8">
        <v>1888</v>
      </c>
      <c r="D2255" s="9">
        <v>45432</v>
      </c>
      <c r="E2255" s="13" t="str">
        <f>+HYPERLINK("http://trademark.i-assist.jp/data/china/image_1888th/77193721.pdf","77193721")</f>
        <v>77193721</v>
      </c>
      <c r="F2255" s="7" t="s">
        <v>6259</v>
      </c>
      <c r="G2255" s="7" t="s">
        <v>6260</v>
      </c>
      <c r="H2255" s="7" t="s">
        <v>6261</v>
      </c>
      <c r="I2255" s="9">
        <v>45359</v>
      </c>
    </row>
    <row r="2256" spans="1:9" x14ac:dyDescent="0.15">
      <c r="A2256" s="6">
        <v>2255</v>
      </c>
      <c r="B2256" s="7" t="s">
        <v>10</v>
      </c>
      <c r="C2256" s="8">
        <v>1888</v>
      </c>
      <c r="D2256" s="9">
        <v>45432</v>
      </c>
      <c r="E2256" s="13" t="str">
        <f>+HYPERLINK("http://trademark.i-assist.jp/data/china/image_1888th/77194170.pdf","77194170")</f>
        <v>77194170</v>
      </c>
      <c r="F2256" s="7" t="s">
        <v>6262</v>
      </c>
      <c r="G2256" s="7" t="s">
        <v>6262</v>
      </c>
      <c r="H2256" s="7" t="s">
        <v>6263</v>
      </c>
      <c r="I2256" s="9">
        <v>45359</v>
      </c>
    </row>
    <row r="2257" spans="1:9" x14ac:dyDescent="0.15">
      <c r="A2257" s="6">
        <v>2256</v>
      </c>
      <c r="B2257" s="7" t="s">
        <v>10</v>
      </c>
      <c r="C2257" s="8">
        <v>1888</v>
      </c>
      <c r="D2257" s="9">
        <v>45432</v>
      </c>
      <c r="E2257" s="13" t="str">
        <f>+HYPERLINK("http://trademark.i-assist.jp/data/china/image_1888th/77194574.pdf","77194574")</f>
        <v>77194574</v>
      </c>
      <c r="F2257" s="7" t="s">
        <v>6264</v>
      </c>
      <c r="G2257" s="7" t="s">
        <v>6265</v>
      </c>
      <c r="H2257" s="7" t="s">
        <v>6266</v>
      </c>
      <c r="I2257" s="9">
        <v>45359</v>
      </c>
    </row>
    <row r="2258" spans="1:9" ht="27" x14ac:dyDescent="0.15">
      <c r="A2258" s="6">
        <v>2257</v>
      </c>
      <c r="B2258" s="7" t="s">
        <v>10</v>
      </c>
      <c r="C2258" s="8">
        <v>1888</v>
      </c>
      <c r="D2258" s="9">
        <v>45432</v>
      </c>
      <c r="E2258" s="13" t="str">
        <f>+HYPERLINK("http://trademark.i-assist.jp/data/china/image_1888th/77194671.pdf","77194671")</f>
        <v>77194671</v>
      </c>
      <c r="F2258" s="7" t="s">
        <v>6267</v>
      </c>
      <c r="G2258" s="7" t="s">
        <v>6268</v>
      </c>
      <c r="H2258" s="7" t="s">
        <v>6269</v>
      </c>
      <c r="I2258" s="9">
        <v>45359</v>
      </c>
    </row>
    <row r="2259" spans="1:9" x14ac:dyDescent="0.15">
      <c r="A2259" s="6">
        <v>2258</v>
      </c>
      <c r="B2259" s="7" t="s">
        <v>10</v>
      </c>
      <c r="C2259" s="8">
        <v>1888</v>
      </c>
      <c r="D2259" s="9">
        <v>45432</v>
      </c>
      <c r="E2259" s="13" t="str">
        <f>+HYPERLINK("http://trademark.i-assist.jp/data/china/image_1888th/77194982.pdf","77194982")</f>
        <v>77194982</v>
      </c>
      <c r="F2259" s="7" t="s">
        <v>6270</v>
      </c>
      <c r="G2259" s="7" t="s">
        <v>6271</v>
      </c>
      <c r="H2259" s="7" t="s">
        <v>6272</v>
      </c>
      <c r="I2259" s="9">
        <v>45359</v>
      </c>
    </row>
    <row r="2260" spans="1:9" x14ac:dyDescent="0.15">
      <c r="A2260" s="6">
        <v>2259</v>
      </c>
      <c r="B2260" s="7" t="s">
        <v>10</v>
      </c>
      <c r="C2260" s="8">
        <v>1888</v>
      </c>
      <c r="D2260" s="9">
        <v>45432</v>
      </c>
      <c r="E2260" s="13" t="str">
        <f>+HYPERLINK("http://trademark.i-assist.jp/data/china/image_1888th/77195282.pdf","77195282")</f>
        <v>77195282</v>
      </c>
      <c r="F2260" s="7" t="s">
        <v>6273</v>
      </c>
      <c r="G2260" s="7" t="s">
        <v>6274</v>
      </c>
      <c r="H2260" s="7" t="s">
        <v>6275</v>
      </c>
      <c r="I2260" s="9">
        <v>45359</v>
      </c>
    </row>
    <row r="2261" spans="1:9" ht="27" x14ac:dyDescent="0.15">
      <c r="A2261" s="6">
        <v>2260</v>
      </c>
      <c r="B2261" s="7" t="s">
        <v>10</v>
      </c>
      <c r="C2261" s="8">
        <v>1888</v>
      </c>
      <c r="D2261" s="9">
        <v>45432</v>
      </c>
      <c r="E2261" s="13" t="str">
        <f>+HYPERLINK("http://trademark.i-assist.jp/data/china/image_1888th/77195507.pdf","77195507")</f>
        <v>77195507</v>
      </c>
      <c r="F2261" s="7" t="s">
        <v>6276</v>
      </c>
      <c r="G2261" s="7" t="s">
        <v>5996</v>
      </c>
      <c r="H2261" s="7" t="s">
        <v>6277</v>
      </c>
      <c r="I2261" s="9">
        <v>45359</v>
      </c>
    </row>
    <row r="2262" spans="1:9" ht="27" x14ac:dyDescent="0.15">
      <c r="A2262" s="6">
        <v>2261</v>
      </c>
      <c r="B2262" s="7" t="s">
        <v>10</v>
      </c>
      <c r="C2262" s="8">
        <v>1888</v>
      </c>
      <c r="D2262" s="9">
        <v>45432</v>
      </c>
      <c r="E2262" s="13" t="str">
        <f>+HYPERLINK("http://trademark.i-assist.jp/data/china/image_1888th/77195547.pdf","77195547")</f>
        <v>77195547</v>
      </c>
      <c r="F2262" s="7" t="s">
        <v>6278</v>
      </c>
      <c r="G2262" s="7" t="s">
        <v>4276</v>
      </c>
      <c r="H2262" s="7" t="s">
        <v>6279</v>
      </c>
      <c r="I2262" s="9">
        <v>45359</v>
      </c>
    </row>
    <row r="2263" spans="1:9" x14ac:dyDescent="0.15">
      <c r="A2263" s="6">
        <v>2262</v>
      </c>
      <c r="B2263" s="7" t="s">
        <v>10</v>
      </c>
      <c r="C2263" s="8">
        <v>1888</v>
      </c>
      <c r="D2263" s="9">
        <v>45432</v>
      </c>
      <c r="E2263" s="13" t="str">
        <f>+HYPERLINK("http://trademark.i-assist.jp/data/china/image_1888th/77196018.pdf","77196018")</f>
        <v>77196018</v>
      </c>
      <c r="F2263" s="7" t="s">
        <v>6280</v>
      </c>
      <c r="G2263" s="7" t="s">
        <v>6056</v>
      </c>
      <c r="H2263" s="7" t="s">
        <v>6281</v>
      </c>
      <c r="I2263" s="9">
        <v>45359</v>
      </c>
    </row>
    <row r="2264" spans="1:9" x14ac:dyDescent="0.15">
      <c r="A2264" s="6">
        <v>2263</v>
      </c>
      <c r="B2264" s="7" t="s">
        <v>10</v>
      </c>
      <c r="C2264" s="8">
        <v>1888</v>
      </c>
      <c r="D2264" s="9">
        <v>45432</v>
      </c>
      <c r="E2264" s="13" t="str">
        <f>+HYPERLINK("http://trademark.i-assist.jp/data/china/image_1888th/77196130.pdf","77196130")</f>
        <v>77196130</v>
      </c>
      <c r="F2264" s="7" t="s">
        <v>6282</v>
      </c>
      <c r="G2264" s="7" t="s">
        <v>6283</v>
      </c>
      <c r="H2264" s="7" t="s">
        <v>6284</v>
      </c>
      <c r="I2264" s="9">
        <v>45359</v>
      </c>
    </row>
    <row r="2265" spans="1:9" x14ac:dyDescent="0.15">
      <c r="A2265" s="6">
        <v>2264</v>
      </c>
      <c r="B2265" s="7" t="s">
        <v>10</v>
      </c>
      <c r="C2265" s="8">
        <v>1888</v>
      </c>
      <c r="D2265" s="9">
        <v>45432</v>
      </c>
      <c r="E2265" s="13" t="str">
        <f>+HYPERLINK("http://trademark.i-assist.jp/data/china/image_1888th/77196301.pdf","77196301")</f>
        <v>77196301</v>
      </c>
      <c r="F2265" s="7" t="s">
        <v>6285</v>
      </c>
      <c r="G2265" s="7" t="s">
        <v>6286</v>
      </c>
      <c r="H2265" s="7" t="s">
        <v>6287</v>
      </c>
      <c r="I2265" s="9">
        <v>45359</v>
      </c>
    </row>
    <row r="2266" spans="1:9" x14ac:dyDescent="0.15">
      <c r="A2266" s="6">
        <v>2265</v>
      </c>
      <c r="B2266" s="7" t="s">
        <v>10</v>
      </c>
      <c r="C2266" s="8">
        <v>1888</v>
      </c>
      <c r="D2266" s="9">
        <v>45432</v>
      </c>
      <c r="E2266" s="13" t="str">
        <f>+HYPERLINK("http://trademark.i-assist.jp/data/china/image_1888th/77196561.pdf","77196561")</f>
        <v>77196561</v>
      </c>
      <c r="F2266" s="7" t="s">
        <v>6288</v>
      </c>
      <c r="G2266" s="7" t="s">
        <v>6289</v>
      </c>
      <c r="H2266" s="7" t="s">
        <v>6290</v>
      </c>
      <c r="I2266" s="9">
        <v>45361</v>
      </c>
    </row>
    <row r="2267" spans="1:9" x14ac:dyDescent="0.15">
      <c r="A2267" s="6">
        <v>2266</v>
      </c>
      <c r="B2267" s="7" t="s">
        <v>10</v>
      </c>
      <c r="C2267" s="8">
        <v>1888</v>
      </c>
      <c r="D2267" s="9">
        <v>45432</v>
      </c>
      <c r="E2267" s="13" t="str">
        <f>+HYPERLINK("http://trademark.i-assist.jp/data/china/image_1888th/77196565.pdf","77196565")</f>
        <v>77196565</v>
      </c>
      <c r="F2267" s="7" t="s">
        <v>6291</v>
      </c>
      <c r="G2267" s="7" t="s">
        <v>6292</v>
      </c>
      <c r="H2267" s="7" t="s">
        <v>6293</v>
      </c>
      <c r="I2267" s="9">
        <v>45361</v>
      </c>
    </row>
    <row r="2268" spans="1:9" x14ac:dyDescent="0.15">
      <c r="A2268" s="6">
        <v>2267</v>
      </c>
      <c r="B2268" s="7" t="s">
        <v>10</v>
      </c>
      <c r="C2268" s="8">
        <v>1888</v>
      </c>
      <c r="D2268" s="9">
        <v>45432</v>
      </c>
      <c r="E2268" s="13" t="str">
        <f>+HYPERLINK("http://trademark.i-assist.jp/data/china/image_1888th/77196631.pdf","77196631")</f>
        <v>77196631</v>
      </c>
      <c r="F2268" s="7" t="s">
        <v>6294</v>
      </c>
      <c r="G2268" s="7" t="s">
        <v>2364</v>
      </c>
      <c r="H2268" s="7" t="s">
        <v>6295</v>
      </c>
      <c r="I2268" s="9">
        <v>45359</v>
      </c>
    </row>
    <row r="2269" spans="1:9" x14ac:dyDescent="0.15">
      <c r="A2269" s="6">
        <v>2268</v>
      </c>
      <c r="B2269" s="7" t="s">
        <v>10</v>
      </c>
      <c r="C2269" s="8">
        <v>1888</v>
      </c>
      <c r="D2269" s="9">
        <v>45432</v>
      </c>
      <c r="E2269" s="13" t="str">
        <f>+HYPERLINK("http://trademark.i-assist.jp/data/china/image_1888th/77197288.pdf","77197288")</f>
        <v>77197288</v>
      </c>
      <c r="F2269" s="7" t="s">
        <v>6296</v>
      </c>
      <c r="G2269" s="7" t="s">
        <v>6297</v>
      </c>
      <c r="H2269" s="7" t="s">
        <v>6298</v>
      </c>
      <c r="I2269" s="9">
        <v>45359</v>
      </c>
    </row>
    <row r="2270" spans="1:9" x14ac:dyDescent="0.15">
      <c r="A2270" s="6">
        <v>2269</v>
      </c>
      <c r="B2270" s="7" t="s">
        <v>10</v>
      </c>
      <c r="C2270" s="8">
        <v>1888</v>
      </c>
      <c r="D2270" s="9">
        <v>45432</v>
      </c>
      <c r="E2270" s="13" t="str">
        <f>+HYPERLINK("http://trademark.i-assist.jp/data/china/image_1888th/77197410.pdf","77197410")</f>
        <v>77197410</v>
      </c>
      <c r="F2270" s="7" t="s">
        <v>6299</v>
      </c>
      <c r="G2270" s="7" t="s">
        <v>6300</v>
      </c>
      <c r="H2270" s="7" t="s">
        <v>6301</v>
      </c>
      <c r="I2270" s="9">
        <v>45359</v>
      </c>
    </row>
    <row r="2271" spans="1:9" x14ac:dyDescent="0.15">
      <c r="A2271" s="6">
        <v>2270</v>
      </c>
      <c r="B2271" s="7" t="s">
        <v>10</v>
      </c>
      <c r="C2271" s="8">
        <v>1888</v>
      </c>
      <c r="D2271" s="9">
        <v>45432</v>
      </c>
      <c r="E2271" s="13" t="str">
        <f>+HYPERLINK("http://trademark.i-assist.jp/data/china/image_1888th/77198011.pdf","77198011")</f>
        <v>77198011</v>
      </c>
      <c r="F2271" s="7" t="s">
        <v>6302</v>
      </c>
      <c r="G2271" s="7" t="s">
        <v>6303</v>
      </c>
      <c r="H2271" s="7" t="s">
        <v>6304</v>
      </c>
      <c r="I2271" s="9">
        <v>45360</v>
      </c>
    </row>
    <row r="2272" spans="1:9" x14ac:dyDescent="0.15">
      <c r="A2272" s="6">
        <v>2271</v>
      </c>
      <c r="B2272" s="7" t="s">
        <v>10</v>
      </c>
      <c r="C2272" s="8">
        <v>1888</v>
      </c>
      <c r="D2272" s="9">
        <v>45432</v>
      </c>
      <c r="E2272" s="13" t="str">
        <f>+HYPERLINK("http://trademark.i-assist.jp/data/china/image_1888th/77198149.pdf","77198149")</f>
        <v>77198149</v>
      </c>
      <c r="F2272" s="7" t="s">
        <v>6305</v>
      </c>
      <c r="G2272" s="7" t="s">
        <v>6306</v>
      </c>
      <c r="H2272" s="7" t="s">
        <v>6307</v>
      </c>
      <c r="I2272" s="9">
        <v>45360</v>
      </c>
    </row>
    <row r="2273" spans="1:9" x14ac:dyDescent="0.15">
      <c r="A2273" s="6">
        <v>2272</v>
      </c>
      <c r="B2273" s="7" t="s">
        <v>10</v>
      </c>
      <c r="C2273" s="8">
        <v>1888</v>
      </c>
      <c r="D2273" s="9">
        <v>45432</v>
      </c>
      <c r="E2273" s="13" t="str">
        <f>+HYPERLINK("http://trademark.i-assist.jp/data/china/image_1888th/77198408.pdf","77198408")</f>
        <v>77198408</v>
      </c>
      <c r="F2273" s="7" t="s">
        <v>6308</v>
      </c>
      <c r="G2273" s="7" t="s">
        <v>6309</v>
      </c>
      <c r="H2273" s="7" t="s">
        <v>6310</v>
      </c>
      <c r="I2273" s="9">
        <v>45360</v>
      </c>
    </row>
    <row r="2274" spans="1:9" ht="27" x14ac:dyDescent="0.15">
      <c r="A2274" s="6">
        <v>2273</v>
      </c>
      <c r="B2274" s="7" t="s">
        <v>10</v>
      </c>
      <c r="C2274" s="8">
        <v>1888</v>
      </c>
      <c r="D2274" s="9">
        <v>45432</v>
      </c>
      <c r="E2274" s="13" t="str">
        <f>+HYPERLINK("http://trademark.i-assist.jp/data/china/image_1888th/77198605.pdf","77198605")</f>
        <v>77198605</v>
      </c>
      <c r="F2274" s="7" t="s">
        <v>6311</v>
      </c>
      <c r="G2274" s="7" t="s">
        <v>6312</v>
      </c>
      <c r="H2274" s="7" t="s">
        <v>6313</v>
      </c>
      <c r="I2274" s="9">
        <v>45360</v>
      </c>
    </row>
    <row r="2275" spans="1:9" ht="27" x14ac:dyDescent="0.15">
      <c r="A2275" s="6">
        <v>2274</v>
      </c>
      <c r="B2275" s="7" t="s">
        <v>10</v>
      </c>
      <c r="C2275" s="8">
        <v>1888</v>
      </c>
      <c r="D2275" s="9">
        <v>45432</v>
      </c>
      <c r="E2275" s="13" t="str">
        <f>+HYPERLINK("http://trademark.i-assist.jp/data/china/image_1888th/77198725.pdf","77198725")</f>
        <v>77198725</v>
      </c>
      <c r="F2275" s="7" t="s">
        <v>6314</v>
      </c>
      <c r="G2275" s="7" t="s">
        <v>6315</v>
      </c>
      <c r="H2275" s="7" t="s">
        <v>6316</v>
      </c>
      <c r="I2275" s="9">
        <v>45360</v>
      </c>
    </row>
    <row r="2276" spans="1:9" x14ac:dyDescent="0.15">
      <c r="A2276" s="6">
        <v>2275</v>
      </c>
      <c r="B2276" s="7" t="s">
        <v>10</v>
      </c>
      <c r="C2276" s="8">
        <v>1888</v>
      </c>
      <c r="D2276" s="9">
        <v>45432</v>
      </c>
      <c r="E2276" s="13" t="str">
        <f>+HYPERLINK("http://trademark.i-assist.jp/data/china/image_1888th/77198739.pdf","77198739")</f>
        <v>77198739</v>
      </c>
      <c r="F2276" s="7" t="s">
        <v>6317</v>
      </c>
      <c r="G2276" s="7" t="s">
        <v>6318</v>
      </c>
      <c r="H2276" s="7" t="s">
        <v>6319</v>
      </c>
      <c r="I2276" s="9">
        <v>45360</v>
      </c>
    </row>
    <row r="2277" spans="1:9" x14ac:dyDescent="0.15">
      <c r="A2277" s="6">
        <v>2276</v>
      </c>
      <c r="B2277" s="7" t="s">
        <v>10</v>
      </c>
      <c r="C2277" s="8">
        <v>1888</v>
      </c>
      <c r="D2277" s="9">
        <v>45432</v>
      </c>
      <c r="E2277" s="13" t="str">
        <f>+HYPERLINK("http://trademark.i-assist.jp/data/china/image_1888th/77198763.pdf","77198763")</f>
        <v>77198763</v>
      </c>
      <c r="F2277" s="7" t="s">
        <v>6320</v>
      </c>
      <c r="G2277" s="7" t="s">
        <v>6321</v>
      </c>
      <c r="H2277" s="7" t="s">
        <v>6322</v>
      </c>
      <c r="I2277" s="9">
        <v>45360</v>
      </c>
    </row>
    <row r="2278" spans="1:9" ht="27" x14ac:dyDescent="0.15">
      <c r="A2278" s="6">
        <v>2277</v>
      </c>
      <c r="B2278" s="7" t="s">
        <v>10</v>
      </c>
      <c r="C2278" s="8">
        <v>1888</v>
      </c>
      <c r="D2278" s="9">
        <v>45432</v>
      </c>
      <c r="E2278" s="13" t="str">
        <f>+HYPERLINK("http://trademark.i-assist.jp/data/china/image_1888th/77198847.pdf","77198847")</f>
        <v>77198847</v>
      </c>
      <c r="F2278" s="7" t="s">
        <v>6323</v>
      </c>
      <c r="G2278" s="7" t="s">
        <v>6324</v>
      </c>
      <c r="H2278" s="7" t="s">
        <v>6325</v>
      </c>
      <c r="I2278" s="9">
        <v>45360</v>
      </c>
    </row>
    <row r="2279" spans="1:9" x14ac:dyDescent="0.15">
      <c r="A2279" s="6">
        <v>2278</v>
      </c>
      <c r="B2279" s="7" t="s">
        <v>10</v>
      </c>
      <c r="C2279" s="8">
        <v>1888</v>
      </c>
      <c r="D2279" s="9">
        <v>45432</v>
      </c>
      <c r="E2279" s="13" t="str">
        <f>+HYPERLINK("http://trademark.i-assist.jp/data/china/image_1888th/77199009.pdf","77199009")</f>
        <v>77199009</v>
      </c>
      <c r="F2279" s="7" t="s">
        <v>6326</v>
      </c>
      <c r="G2279" s="7" t="s">
        <v>6327</v>
      </c>
      <c r="H2279" s="7" t="s">
        <v>6328</v>
      </c>
      <c r="I2279" s="9">
        <v>45360</v>
      </c>
    </row>
    <row r="2280" spans="1:9" x14ac:dyDescent="0.15">
      <c r="A2280" s="6">
        <v>2279</v>
      </c>
      <c r="B2280" s="7" t="s">
        <v>10</v>
      </c>
      <c r="C2280" s="8">
        <v>1888</v>
      </c>
      <c r="D2280" s="9">
        <v>45432</v>
      </c>
      <c r="E2280" s="13" t="str">
        <f>+HYPERLINK("http://trademark.i-assist.jp/data/china/image_1888th/77199052.pdf","77199052")</f>
        <v>77199052</v>
      </c>
      <c r="F2280" s="7" t="s">
        <v>6329</v>
      </c>
      <c r="G2280" s="7" t="s">
        <v>6330</v>
      </c>
      <c r="H2280" s="7" t="s">
        <v>6331</v>
      </c>
      <c r="I2280" s="9">
        <v>45360</v>
      </c>
    </row>
    <row r="2281" spans="1:9" x14ac:dyDescent="0.15">
      <c r="A2281" s="6">
        <v>2280</v>
      </c>
      <c r="B2281" s="7" t="s">
        <v>10</v>
      </c>
      <c r="C2281" s="8">
        <v>1888</v>
      </c>
      <c r="D2281" s="9">
        <v>45432</v>
      </c>
      <c r="E2281" s="13" t="str">
        <f>+HYPERLINK("http://trademark.i-assist.jp/data/china/image_1888th/77199153.pdf","77199153")</f>
        <v>77199153</v>
      </c>
      <c r="F2281" s="7" t="s">
        <v>6332</v>
      </c>
      <c r="G2281" s="7" t="s">
        <v>6333</v>
      </c>
      <c r="H2281" s="7" t="s">
        <v>6334</v>
      </c>
      <c r="I2281" s="9">
        <v>45360</v>
      </c>
    </row>
    <row r="2282" spans="1:9" x14ac:dyDescent="0.15">
      <c r="A2282" s="6">
        <v>2281</v>
      </c>
      <c r="B2282" s="7" t="s">
        <v>10</v>
      </c>
      <c r="C2282" s="8">
        <v>1888</v>
      </c>
      <c r="D2282" s="9">
        <v>45432</v>
      </c>
      <c r="E2282" s="13" t="str">
        <f>+HYPERLINK("http://trademark.i-assist.jp/data/china/image_1888th/77199159.pdf","77199159")</f>
        <v>77199159</v>
      </c>
      <c r="F2282" s="7" t="s">
        <v>6335</v>
      </c>
      <c r="G2282" s="7" t="s">
        <v>6336</v>
      </c>
      <c r="H2282" s="7" t="s">
        <v>6337</v>
      </c>
      <c r="I2282" s="9">
        <v>45360</v>
      </c>
    </row>
    <row r="2283" spans="1:9" ht="27" x14ac:dyDescent="0.15">
      <c r="A2283" s="6">
        <v>2282</v>
      </c>
      <c r="B2283" s="7" t="s">
        <v>10</v>
      </c>
      <c r="C2283" s="8">
        <v>1888</v>
      </c>
      <c r="D2283" s="9">
        <v>45432</v>
      </c>
      <c r="E2283" s="13" t="str">
        <f>+HYPERLINK("http://trademark.i-assist.jp/data/china/image_1888th/77199580.pdf","77199580")</f>
        <v>77199580</v>
      </c>
      <c r="F2283" s="7" t="s">
        <v>6338</v>
      </c>
      <c r="G2283" s="7" t="s">
        <v>6339</v>
      </c>
      <c r="H2283" s="7" t="s">
        <v>6340</v>
      </c>
      <c r="I2283" s="9">
        <v>45360</v>
      </c>
    </row>
    <row r="2284" spans="1:9" x14ac:dyDescent="0.15">
      <c r="A2284" s="6">
        <v>2283</v>
      </c>
      <c r="B2284" s="7" t="s">
        <v>10</v>
      </c>
      <c r="C2284" s="8">
        <v>1888</v>
      </c>
      <c r="D2284" s="9">
        <v>45432</v>
      </c>
      <c r="E2284" s="13" t="str">
        <f>+HYPERLINK("http://trademark.i-assist.jp/data/china/image_1888th/77199643.pdf","77199643")</f>
        <v>77199643</v>
      </c>
      <c r="F2284" s="7" t="s">
        <v>6341</v>
      </c>
      <c r="G2284" s="7" t="s">
        <v>6341</v>
      </c>
      <c r="H2284" s="7" t="s">
        <v>6342</v>
      </c>
      <c r="I2284" s="9">
        <v>45360</v>
      </c>
    </row>
    <row r="2285" spans="1:9" x14ac:dyDescent="0.15">
      <c r="A2285" s="6">
        <v>2284</v>
      </c>
      <c r="B2285" s="7" t="s">
        <v>10</v>
      </c>
      <c r="C2285" s="8">
        <v>1888</v>
      </c>
      <c r="D2285" s="9">
        <v>45432</v>
      </c>
      <c r="E2285" s="13" t="str">
        <f>+HYPERLINK("http://trademark.i-assist.jp/data/china/image_1888th/77199817.pdf","77199817")</f>
        <v>77199817</v>
      </c>
      <c r="F2285" s="7" t="s">
        <v>6343</v>
      </c>
      <c r="G2285" s="7" t="s">
        <v>6344</v>
      </c>
      <c r="H2285" s="7" t="s">
        <v>6345</v>
      </c>
      <c r="I2285" s="9">
        <v>45360</v>
      </c>
    </row>
    <row r="2286" spans="1:9" x14ac:dyDescent="0.15">
      <c r="A2286" s="6">
        <v>2285</v>
      </c>
      <c r="B2286" s="7" t="s">
        <v>10</v>
      </c>
      <c r="C2286" s="8">
        <v>1888</v>
      </c>
      <c r="D2286" s="9">
        <v>45432</v>
      </c>
      <c r="E2286" s="13" t="str">
        <f>+HYPERLINK("http://trademark.i-assist.jp/data/china/image_1888th/77200144.pdf","77200144")</f>
        <v>77200144</v>
      </c>
      <c r="F2286" s="7" t="s">
        <v>6346</v>
      </c>
      <c r="G2286" s="7" t="s">
        <v>6347</v>
      </c>
      <c r="H2286" s="7" t="s">
        <v>6348</v>
      </c>
      <c r="I2286" s="9">
        <v>45359</v>
      </c>
    </row>
    <row r="2287" spans="1:9" ht="27" x14ac:dyDescent="0.15">
      <c r="A2287" s="6">
        <v>2286</v>
      </c>
      <c r="B2287" s="7" t="s">
        <v>10</v>
      </c>
      <c r="C2287" s="8">
        <v>1888</v>
      </c>
      <c r="D2287" s="9">
        <v>45432</v>
      </c>
      <c r="E2287" s="13" t="str">
        <f>+HYPERLINK("http://trademark.i-assist.jp/data/china/image_1888th/77200702.pdf","77200702")</f>
        <v>77200702</v>
      </c>
      <c r="F2287" s="7" t="s">
        <v>6349</v>
      </c>
      <c r="G2287" s="7" t="s">
        <v>6350</v>
      </c>
      <c r="H2287" s="7" t="s">
        <v>6351</v>
      </c>
      <c r="I2287" s="9">
        <v>45360</v>
      </c>
    </row>
    <row r="2288" spans="1:9" ht="27" x14ac:dyDescent="0.15">
      <c r="A2288" s="6">
        <v>2287</v>
      </c>
      <c r="B2288" s="7" t="s">
        <v>10</v>
      </c>
      <c r="C2288" s="8">
        <v>1888</v>
      </c>
      <c r="D2288" s="9">
        <v>45432</v>
      </c>
      <c r="E2288" s="13" t="str">
        <f>+HYPERLINK("http://trademark.i-assist.jp/data/china/image_1888th/77200705.pdf","77200705")</f>
        <v>77200705</v>
      </c>
      <c r="F2288" s="7" t="s">
        <v>6352</v>
      </c>
      <c r="G2288" s="7" t="s">
        <v>6353</v>
      </c>
      <c r="H2288" s="7" t="s">
        <v>6354</v>
      </c>
      <c r="I2288" s="9">
        <v>45360</v>
      </c>
    </row>
    <row r="2289" spans="1:9" x14ac:dyDescent="0.15">
      <c r="A2289" s="6">
        <v>2288</v>
      </c>
      <c r="B2289" s="7" t="s">
        <v>10</v>
      </c>
      <c r="C2289" s="8">
        <v>1888</v>
      </c>
      <c r="D2289" s="9">
        <v>45432</v>
      </c>
      <c r="E2289" s="13" t="str">
        <f>+HYPERLINK("http://trademark.i-assist.jp/data/china/image_1888th/77200754.pdf","77200754")</f>
        <v>77200754</v>
      </c>
      <c r="F2289" s="7" t="s">
        <v>6355</v>
      </c>
      <c r="G2289" s="7" t="s">
        <v>6356</v>
      </c>
      <c r="H2289" s="7" t="s">
        <v>6357</v>
      </c>
      <c r="I2289" s="9">
        <v>45360</v>
      </c>
    </row>
    <row r="2290" spans="1:9" x14ac:dyDescent="0.15">
      <c r="A2290" s="6">
        <v>2289</v>
      </c>
      <c r="B2290" s="7" t="s">
        <v>10</v>
      </c>
      <c r="C2290" s="8">
        <v>1888</v>
      </c>
      <c r="D2290" s="9">
        <v>45432</v>
      </c>
      <c r="E2290" s="13" t="str">
        <f>+HYPERLINK("http://trademark.i-assist.jp/data/china/image_1888th/77200955.pdf","77200955")</f>
        <v>77200955</v>
      </c>
      <c r="F2290" s="7" t="s">
        <v>6358</v>
      </c>
      <c r="G2290" s="7" t="s">
        <v>6359</v>
      </c>
      <c r="H2290" s="7" t="s">
        <v>6360</v>
      </c>
      <c r="I2290" s="9">
        <v>45360</v>
      </c>
    </row>
    <row r="2291" spans="1:9" x14ac:dyDescent="0.15">
      <c r="A2291" s="6">
        <v>2290</v>
      </c>
      <c r="B2291" s="7" t="s">
        <v>10</v>
      </c>
      <c r="C2291" s="8">
        <v>1888</v>
      </c>
      <c r="D2291" s="9">
        <v>45432</v>
      </c>
      <c r="E2291" s="13" t="str">
        <f>+HYPERLINK("http://trademark.i-assist.jp/data/china/image_1888th/77201142.pdf","77201142")</f>
        <v>77201142</v>
      </c>
      <c r="F2291" s="7" t="s">
        <v>76</v>
      </c>
      <c r="G2291" s="7" t="s">
        <v>6361</v>
      </c>
      <c r="H2291" s="7" t="s">
        <v>6362</v>
      </c>
      <c r="I2291" s="9">
        <v>45360</v>
      </c>
    </row>
    <row r="2292" spans="1:9" ht="27" x14ac:dyDescent="0.15">
      <c r="A2292" s="6">
        <v>2291</v>
      </c>
      <c r="B2292" s="7" t="s">
        <v>10</v>
      </c>
      <c r="C2292" s="8">
        <v>1888</v>
      </c>
      <c r="D2292" s="9">
        <v>45432</v>
      </c>
      <c r="E2292" s="13" t="str">
        <f>+HYPERLINK("http://trademark.i-assist.jp/data/china/image_1888th/77202007.pdf","77202007")</f>
        <v>77202007</v>
      </c>
      <c r="F2292" s="7" t="s">
        <v>6363</v>
      </c>
      <c r="G2292" s="7" t="s">
        <v>6350</v>
      </c>
      <c r="H2292" s="7" t="s">
        <v>6364</v>
      </c>
      <c r="I2292" s="9">
        <v>45360</v>
      </c>
    </row>
    <row r="2293" spans="1:9" x14ac:dyDescent="0.15">
      <c r="A2293" s="6">
        <v>2292</v>
      </c>
      <c r="B2293" s="7" t="s">
        <v>10</v>
      </c>
      <c r="C2293" s="8">
        <v>1888</v>
      </c>
      <c r="D2293" s="9">
        <v>45432</v>
      </c>
      <c r="E2293" s="13" t="str">
        <f>+HYPERLINK("http://trademark.i-assist.jp/data/china/image_1888th/77202190.pdf","77202190")</f>
        <v>77202190</v>
      </c>
      <c r="F2293" s="7" t="s">
        <v>6365</v>
      </c>
      <c r="G2293" s="7" t="s">
        <v>6366</v>
      </c>
      <c r="H2293" s="7" t="s">
        <v>6367</v>
      </c>
      <c r="I2293" s="9">
        <v>45360</v>
      </c>
    </row>
    <row r="2294" spans="1:9" ht="27" x14ac:dyDescent="0.15">
      <c r="A2294" s="6">
        <v>2293</v>
      </c>
      <c r="B2294" s="7" t="s">
        <v>10</v>
      </c>
      <c r="C2294" s="8">
        <v>1888</v>
      </c>
      <c r="D2294" s="9">
        <v>45432</v>
      </c>
      <c r="E2294" s="13" t="str">
        <f>+HYPERLINK("http://trademark.i-assist.jp/data/china/image_1888th/77202209.pdf","77202209")</f>
        <v>77202209</v>
      </c>
      <c r="F2294" s="7" t="s">
        <v>6368</v>
      </c>
      <c r="G2294" s="7" t="s">
        <v>6369</v>
      </c>
      <c r="H2294" s="7" t="s">
        <v>6370</v>
      </c>
      <c r="I2294" s="9">
        <v>45360</v>
      </c>
    </row>
    <row r="2295" spans="1:9" x14ac:dyDescent="0.15">
      <c r="A2295" s="6">
        <v>2294</v>
      </c>
      <c r="B2295" s="7" t="s">
        <v>10</v>
      </c>
      <c r="C2295" s="8">
        <v>1888</v>
      </c>
      <c r="D2295" s="9">
        <v>45432</v>
      </c>
      <c r="E2295" s="13" t="str">
        <f>+HYPERLINK("http://trademark.i-assist.jp/data/china/image_1888th/77202221.pdf","77202221")</f>
        <v>77202221</v>
      </c>
      <c r="F2295" s="7" t="s">
        <v>6371</v>
      </c>
      <c r="G2295" s="7" t="s">
        <v>6372</v>
      </c>
      <c r="H2295" s="7" t="s">
        <v>6373</v>
      </c>
      <c r="I2295" s="9">
        <v>45360</v>
      </c>
    </row>
    <row r="2296" spans="1:9" x14ac:dyDescent="0.15">
      <c r="A2296" s="6">
        <v>2295</v>
      </c>
      <c r="B2296" s="7" t="s">
        <v>10</v>
      </c>
      <c r="C2296" s="8">
        <v>1888</v>
      </c>
      <c r="D2296" s="9">
        <v>45432</v>
      </c>
      <c r="E2296" s="13" t="str">
        <f>+HYPERLINK("http://trademark.i-assist.jp/data/china/image_1888th/77202448.pdf","77202448")</f>
        <v>77202448</v>
      </c>
      <c r="F2296" s="7" t="s">
        <v>6374</v>
      </c>
      <c r="G2296" s="7" t="s">
        <v>6375</v>
      </c>
      <c r="H2296" s="7" t="s">
        <v>6376</v>
      </c>
      <c r="I2296" s="9">
        <v>45360</v>
      </c>
    </row>
    <row r="2297" spans="1:9" ht="27" x14ac:dyDescent="0.15">
      <c r="A2297" s="6">
        <v>2296</v>
      </c>
      <c r="B2297" s="7" t="s">
        <v>10</v>
      </c>
      <c r="C2297" s="8">
        <v>1888</v>
      </c>
      <c r="D2297" s="9">
        <v>45432</v>
      </c>
      <c r="E2297" s="13" t="str">
        <f>+HYPERLINK("http://trademark.i-assist.jp/data/china/image_1888th/77202680.pdf","77202680")</f>
        <v>77202680</v>
      </c>
      <c r="F2297" s="7" t="s">
        <v>6377</v>
      </c>
      <c r="G2297" s="7" t="s">
        <v>6378</v>
      </c>
      <c r="H2297" s="7" t="s">
        <v>6379</v>
      </c>
      <c r="I2297" s="9">
        <v>45360</v>
      </c>
    </row>
    <row r="2298" spans="1:9" x14ac:dyDescent="0.15">
      <c r="A2298" s="6">
        <v>2297</v>
      </c>
      <c r="B2298" s="7" t="s">
        <v>10</v>
      </c>
      <c r="C2298" s="8">
        <v>1888</v>
      </c>
      <c r="D2298" s="9">
        <v>45432</v>
      </c>
      <c r="E2298" s="13" t="str">
        <f>+HYPERLINK("http://trademark.i-assist.jp/data/china/image_1888th/77203015.pdf","77203015")</f>
        <v>77203015</v>
      </c>
      <c r="F2298" s="7" t="s">
        <v>6380</v>
      </c>
      <c r="G2298" s="7" t="s">
        <v>6381</v>
      </c>
      <c r="H2298" s="7" t="s">
        <v>6382</v>
      </c>
      <c r="I2298" s="9">
        <v>45360</v>
      </c>
    </row>
    <row r="2299" spans="1:9" x14ac:dyDescent="0.15">
      <c r="A2299" s="6">
        <v>2298</v>
      </c>
      <c r="B2299" s="7" t="s">
        <v>10</v>
      </c>
      <c r="C2299" s="8">
        <v>1888</v>
      </c>
      <c r="D2299" s="9">
        <v>45432</v>
      </c>
      <c r="E2299" s="13" t="str">
        <f>+HYPERLINK("http://trademark.i-assist.jp/data/china/image_1888th/77203350.pdf","77203350")</f>
        <v>77203350</v>
      </c>
      <c r="F2299" s="7" t="s">
        <v>6383</v>
      </c>
      <c r="G2299" s="7" t="s">
        <v>6384</v>
      </c>
      <c r="H2299" s="7" t="s">
        <v>6385</v>
      </c>
      <c r="I2299" s="9">
        <v>45360</v>
      </c>
    </row>
    <row r="2300" spans="1:9" x14ac:dyDescent="0.15">
      <c r="A2300" s="6">
        <v>2299</v>
      </c>
      <c r="B2300" s="7" t="s">
        <v>10</v>
      </c>
      <c r="C2300" s="8">
        <v>1888</v>
      </c>
      <c r="D2300" s="9">
        <v>45432</v>
      </c>
      <c r="E2300" s="13" t="str">
        <f>+HYPERLINK("http://trademark.i-assist.jp/data/china/image_1888th/77203457.pdf","77203457")</f>
        <v>77203457</v>
      </c>
      <c r="F2300" s="7" t="s">
        <v>6386</v>
      </c>
      <c r="G2300" s="7" t="s">
        <v>6387</v>
      </c>
      <c r="H2300" s="7" t="s">
        <v>6388</v>
      </c>
      <c r="I2300" s="9">
        <v>45360</v>
      </c>
    </row>
    <row r="2301" spans="1:9" x14ac:dyDescent="0.15">
      <c r="A2301" s="6">
        <v>2300</v>
      </c>
      <c r="B2301" s="7" t="s">
        <v>10</v>
      </c>
      <c r="C2301" s="8">
        <v>1888</v>
      </c>
      <c r="D2301" s="9">
        <v>45432</v>
      </c>
      <c r="E2301" s="13" t="str">
        <f>+HYPERLINK("http://trademark.i-assist.jp/data/china/image_1888th/77203717.pdf","77203717")</f>
        <v>77203717</v>
      </c>
      <c r="F2301" s="7" t="s">
        <v>6389</v>
      </c>
      <c r="G2301" s="7" t="s">
        <v>6390</v>
      </c>
      <c r="H2301" s="7" t="s">
        <v>6391</v>
      </c>
      <c r="I2301" s="9">
        <v>45360</v>
      </c>
    </row>
    <row r="2302" spans="1:9" x14ac:dyDescent="0.15">
      <c r="A2302" s="6">
        <v>2301</v>
      </c>
      <c r="B2302" s="7" t="s">
        <v>10</v>
      </c>
      <c r="C2302" s="8">
        <v>1888</v>
      </c>
      <c r="D2302" s="9">
        <v>45432</v>
      </c>
      <c r="E2302" s="13" t="str">
        <f>+HYPERLINK("http://trademark.i-assist.jp/data/china/image_1888th/77204090.pdf","77204090")</f>
        <v>77204090</v>
      </c>
      <c r="F2302" s="7" t="s">
        <v>6392</v>
      </c>
      <c r="G2302" s="7" t="s">
        <v>6393</v>
      </c>
      <c r="H2302" s="7" t="s">
        <v>6394</v>
      </c>
      <c r="I2302" s="9">
        <v>45360</v>
      </c>
    </row>
    <row r="2303" spans="1:9" ht="27" x14ac:dyDescent="0.15">
      <c r="A2303" s="6">
        <v>2302</v>
      </c>
      <c r="B2303" s="7" t="s">
        <v>10</v>
      </c>
      <c r="C2303" s="8">
        <v>1888</v>
      </c>
      <c r="D2303" s="9">
        <v>45432</v>
      </c>
      <c r="E2303" s="13" t="str">
        <f>+HYPERLINK("http://trademark.i-assist.jp/data/china/image_1888th/77204153.pdf","77204153")</f>
        <v>77204153</v>
      </c>
      <c r="F2303" s="7" t="s">
        <v>6395</v>
      </c>
      <c r="G2303" s="7" t="s">
        <v>6350</v>
      </c>
      <c r="H2303" s="7" t="s">
        <v>6396</v>
      </c>
      <c r="I2303" s="9">
        <v>45360</v>
      </c>
    </row>
    <row r="2304" spans="1:9" ht="27" x14ac:dyDescent="0.15">
      <c r="A2304" s="6">
        <v>2303</v>
      </c>
      <c r="B2304" s="7" t="s">
        <v>10</v>
      </c>
      <c r="C2304" s="8">
        <v>1888</v>
      </c>
      <c r="D2304" s="9">
        <v>45432</v>
      </c>
      <c r="E2304" s="13" t="str">
        <f>+HYPERLINK("http://trademark.i-assist.jp/data/china/image_1888th/77204155.pdf","77204155")</f>
        <v>77204155</v>
      </c>
      <c r="F2304" s="7" t="s">
        <v>6397</v>
      </c>
      <c r="G2304" s="7" t="s">
        <v>6350</v>
      </c>
      <c r="H2304" s="7" t="s">
        <v>6398</v>
      </c>
      <c r="I2304" s="9">
        <v>45360</v>
      </c>
    </row>
    <row r="2305" spans="1:9" x14ac:dyDescent="0.15">
      <c r="A2305" s="6">
        <v>2304</v>
      </c>
      <c r="B2305" s="7" t="s">
        <v>10</v>
      </c>
      <c r="C2305" s="8">
        <v>1888</v>
      </c>
      <c r="D2305" s="9">
        <v>45432</v>
      </c>
      <c r="E2305" s="13" t="str">
        <f>+HYPERLINK("http://trademark.i-assist.jp/data/china/image_1888th/77204368.pdf","77204368")</f>
        <v>77204368</v>
      </c>
      <c r="F2305" s="7" t="s">
        <v>6399</v>
      </c>
      <c r="G2305" s="7" t="s">
        <v>6400</v>
      </c>
      <c r="H2305" s="7" t="s">
        <v>6401</v>
      </c>
      <c r="I2305" s="9">
        <v>45360</v>
      </c>
    </row>
    <row r="2306" spans="1:9" ht="27" x14ac:dyDescent="0.15">
      <c r="A2306" s="6">
        <v>2305</v>
      </c>
      <c r="B2306" s="7" t="s">
        <v>10</v>
      </c>
      <c r="C2306" s="8">
        <v>1888</v>
      </c>
      <c r="D2306" s="9">
        <v>45432</v>
      </c>
      <c r="E2306" s="13" t="str">
        <f>+HYPERLINK("http://trademark.i-assist.jp/data/china/image_1888th/77204489.pdf","77204489")</f>
        <v>77204489</v>
      </c>
      <c r="F2306" s="7" t="s">
        <v>6402</v>
      </c>
      <c r="G2306" s="7" t="s">
        <v>6350</v>
      </c>
      <c r="H2306" s="7" t="s">
        <v>6403</v>
      </c>
      <c r="I2306" s="9">
        <v>45360</v>
      </c>
    </row>
    <row r="2307" spans="1:9" x14ac:dyDescent="0.15">
      <c r="A2307" s="6">
        <v>2306</v>
      </c>
      <c r="B2307" s="7" t="s">
        <v>10</v>
      </c>
      <c r="C2307" s="8">
        <v>1888</v>
      </c>
      <c r="D2307" s="9">
        <v>45432</v>
      </c>
      <c r="E2307" s="13" t="str">
        <f>+HYPERLINK("http://trademark.i-assist.jp/data/china/image_1888th/77204498.pdf","77204498")</f>
        <v>77204498</v>
      </c>
      <c r="F2307" s="7" t="s">
        <v>6404</v>
      </c>
      <c r="G2307" s="7" t="s">
        <v>6405</v>
      </c>
      <c r="H2307" s="7" t="s">
        <v>6406</v>
      </c>
      <c r="I2307" s="9">
        <v>45361</v>
      </c>
    </row>
    <row r="2308" spans="1:9" x14ac:dyDescent="0.15">
      <c r="A2308" s="6">
        <v>2307</v>
      </c>
      <c r="B2308" s="7" t="s">
        <v>10</v>
      </c>
      <c r="C2308" s="8">
        <v>1888</v>
      </c>
      <c r="D2308" s="9">
        <v>45432</v>
      </c>
      <c r="E2308" s="13" t="str">
        <f>+HYPERLINK("http://trademark.i-assist.jp/data/china/image_1888th/77204857.pdf","77204857")</f>
        <v>77204857</v>
      </c>
      <c r="F2308" s="7" t="s">
        <v>76</v>
      </c>
      <c r="G2308" s="7" t="s">
        <v>6407</v>
      </c>
      <c r="H2308" s="7" t="s">
        <v>6408</v>
      </c>
      <c r="I2308" s="9">
        <v>45360</v>
      </c>
    </row>
    <row r="2309" spans="1:9" x14ac:dyDescent="0.15">
      <c r="A2309" s="6">
        <v>2308</v>
      </c>
      <c r="B2309" s="7" t="s">
        <v>10</v>
      </c>
      <c r="C2309" s="8">
        <v>1888</v>
      </c>
      <c r="D2309" s="9">
        <v>45432</v>
      </c>
      <c r="E2309" s="13" t="str">
        <f>+HYPERLINK("http://trademark.i-assist.jp/data/china/image_1888th/77204998.pdf","77204998")</f>
        <v>77204998</v>
      </c>
      <c r="F2309" s="7" t="s">
        <v>6409</v>
      </c>
      <c r="G2309" s="7" t="s">
        <v>6410</v>
      </c>
      <c r="H2309" s="7" t="s">
        <v>6411</v>
      </c>
      <c r="I2309" s="9">
        <v>45361</v>
      </c>
    </row>
    <row r="2310" spans="1:9" x14ac:dyDescent="0.15">
      <c r="A2310" s="6">
        <v>2309</v>
      </c>
      <c r="B2310" s="7" t="s">
        <v>10</v>
      </c>
      <c r="C2310" s="8">
        <v>1888</v>
      </c>
      <c r="D2310" s="9">
        <v>45432</v>
      </c>
      <c r="E2310" s="13" t="str">
        <f>+HYPERLINK("http://trademark.i-assist.jp/data/china/image_1888th/77205309.pdf","77205309")</f>
        <v>77205309</v>
      </c>
      <c r="F2310" s="7" t="s">
        <v>6412</v>
      </c>
      <c r="G2310" s="7" t="s">
        <v>6413</v>
      </c>
      <c r="H2310" s="7" t="s">
        <v>6414</v>
      </c>
      <c r="I2310" s="9">
        <v>45361</v>
      </c>
    </row>
    <row r="2311" spans="1:9" ht="27" x14ac:dyDescent="0.15">
      <c r="A2311" s="6">
        <v>2310</v>
      </c>
      <c r="B2311" s="7" t="s">
        <v>10</v>
      </c>
      <c r="C2311" s="8">
        <v>1888</v>
      </c>
      <c r="D2311" s="9">
        <v>45432</v>
      </c>
      <c r="E2311" s="13" t="str">
        <f>+HYPERLINK("http://trademark.i-assist.jp/data/china/image_1888th/77205345.pdf","77205345")</f>
        <v>77205345</v>
      </c>
      <c r="F2311" s="7" t="s">
        <v>6415</v>
      </c>
      <c r="G2311" s="7" t="s">
        <v>6416</v>
      </c>
      <c r="H2311" s="7" t="s">
        <v>6417</v>
      </c>
      <c r="I2311" s="9">
        <v>45361</v>
      </c>
    </row>
    <row r="2312" spans="1:9" x14ac:dyDescent="0.15">
      <c r="A2312" s="6">
        <v>2311</v>
      </c>
      <c r="B2312" s="7" t="s">
        <v>10</v>
      </c>
      <c r="C2312" s="8">
        <v>1888</v>
      </c>
      <c r="D2312" s="9">
        <v>45432</v>
      </c>
      <c r="E2312" s="13" t="str">
        <f>+HYPERLINK("http://trademark.i-assist.jp/data/china/image_1888th/77205389.pdf","77205389")</f>
        <v>77205389</v>
      </c>
      <c r="F2312" s="7" t="s">
        <v>6418</v>
      </c>
      <c r="G2312" s="7" t="s">
        <v>6419</v>
      </c>
      <c r="H2312" s="7" t="s">
        <v>6420</v>
      </c>
      <c r="I2312" s="9">
        <v>45361</v>
      </c>
    </row>
    <row r="2313" spans="1:9" x14ac:dyDescent="0.15">
      <c r="A2313" s="6">
        <v>2312</v>
      </c>
      <c r="B2313" s="7" t="s">
        <v>10</v>
      </c>
      <c r="C2313" s="8">
        <v>1888</v>
      </c>
      <c r="D2313" s="9">
        <v>45432</v>
      </c>
      <c r="E2313" s="13" t="str">
        <f>+HYPERLINK("http://trademark.i-assist.jp/data/china/image_1888th/77205893.pdf","77205893")</f>
        <v>77205893</v>
      </c>
      <c r="F2313" s="7" t="s">
        <v>6421</v>
      </c>
      <c r="G2313" s="7" t="s">
        <v>6422</v>
      </c>
      <c r="H2313" s="7" t="s">
        <v>6423</v>
      </c>
      <c r="I2313" s="9">
        <v>45361</v>
      </c>
    </row>
    <row r="2314" spans="1:9" x14ac:dyDescent="0.15">
      <c r="A2314" s="6">
        <v>2313</v>
      </c>
      <c r="B2314" s="7" t="s">
        <v>10</v>
      </c>
      <c r="C2314" s="8">
        <v>1888</v>
      </c>
      <c r="D2314" s="9">
        <v>45432</v>
      </c>
      <c r="E2314" s="13" t="str">
        <f>+HYPERLINK("http://trademark.i-assist.jp/data/china/image_1888th/77206012.pdf","77206012")</f>
        <v>77206012</v>
      </c>
      <c r="F2314" s="7" t="s">
        <v>6424</v>
      </c>
      <c r="G2314" s="7" t="s">
        <v>6425</v>
      </c>
      <c r="H2314" s="7" t="s">
        <v>6426</v>
      </c>
      <c r="I2314" s="9">
        <v>45361</v>
      </c>
    </row>
    <row r="2315" spans="1:9" x14ac:dyDescent="0.15">
      <c r="A2315" s="6">
        <v>2314</v>
      </c>
      <c r="B2315" s="7" t="s">
        <v>10</v>
      </c>
      <c r="C2315" s="8">
        <v>1888</v>
      </c>
      <c r="D2315" s="9">
        <v>45432</v>
      </c>
      <c r="E2315" s="13" t="str">
        <f>+HYPERLINK("http://trademark.i-assist.jp/data/china/image_1888th/77206120.pdf","77206120")</f>
        <v>77206120</v>
      </c>
      <c r="F2315" s="7" t="s">
        <v>6427</v>
      </c>
      <c r="G2315" s="7" t="s">
        <v>6428</v>
      </c>
      <c r="H2315" s="7" t="s">
        <v>6429</v>
      </c>
      <c r="I2315" s="9">
        <v>45361</v>
      </c>
    </row>
    <row r="2316" spans="1:9" x14ac:dyDescent="0.15">
      <c r="A2316" s="6">
        <v>2315</v>
      </c>
      <c r="B2316" s="7" t="s">
        <v>10</v>
      </c>
      <c r="C2316" s="8">
        <v>1888</v>
      </c>
      <c r="D2316" s="9">
        <v>45432</v>
      </c>
      <c r="E2316" s="13" t="str">
        <f>+HYPERLINK("http://trademark.i-assist.jp/data/china/image_1888th/77206126.pdf","77206126")</f>
        <v>77206126</v>
      </c>
      <c r="F2316" s="7" t="s">
        <v>6430</v>
      </c>
      <c r="G2316" s="7" t="s">
        <v>6289</v>
      </c>
      <c r="H2316" s="7" t="s">
        <v>6431</v>
      </c>
      <c r="I2316" s="9">
        <v>45361</v>
      </c>
    </row>
    <row r="2317" spans="1:9" x14ac:dyDescent="0.15">
      <c r="A2317" s="6">
        <v>2316</v>
      </c>
      <c r="B2317" s="7" t="s">
        <v>10</v>
      </c>
      <c r="C2317" s="8">
        <v>1888</v>
      </c>
      <c r="D2317" s="9">
        <v>45432</v>
      </c>
      <c r="E2317" s="13" t="str">
        <f>+HYPERLINK("http://trademark.i-assist.jp/data/china/image_1888th/77206499.pdf","77206499")</f>
        <v>77206499</v>
      </c>
      <c r="F2317" s="7" t="s">
        <v>6432</v>
      </c>
      <c r="G2317" s="7" t="s">
        <v>6422</v>
      </c>
      <c r="H2317" s="7" t="s">
        <v>6433</v>
      </c>
      <c r="I2317" s="9">
        <v>45361</v>
      </c>
    </row>
    <row r="2318" spans="1:9" x14ac:dyDescent="0.15">
      <c r="A2318" s="6">
        <v>2317</v>
      </c>
      <c r="B2318" s="7" t="s">
        <v>10</v>
      </c>
      <c r="C2318" s="8">
        <v>1888</v>
      </c>
      <c r="D2318" s="9">
        <v>45432</v>
      </c>
      <c r="E2318" s="13" t="str">
        <f>+HYPERLINK("http://trademark.i-assist.jp/data/china/image_1888th/77206660.pdf","77206660")</f>
        <v>77206660</v>
      </c>
      <c r="F2318" s="7" t="s">
        <v>6434</v>
      </c>
      <c r="G2318" s="7" t="s">
        <v>6435</v>
      </c>
      <c r="H2318" s="7" t="s">
        <v>6436</v>
      </c>
      <c r="I2318" s="9">
        <v>45361</v>
      </c>
    </row>
    <row r="2319" spans="1:9" x14ac:dyDescent="0.15">
      <c r="A2319" s="6">
        <v>2318</v>
      </c>
      <c r="B2319" s="7" t="s">
        <v>10</v>
      </c>
      <c r="C2319" s="8">
        <v>1888</v>
      </c>
      <c r="D2319" s="9">
        <v>45432</v>
      </c>
      <c r="E2319" s="13" t="str">
        <f>+HYPERLINK("http://trademark.i-assist.jp/data/china/image_1888th/77207247.pdf","77207247")</f>
        <v>77207247</v>
      </c>
      <c r="F2319" s="7" t="s">
        <v>6437</v>
      </c>
      <c r="G2319" s="7" t="s">
        <v>6438</v>
      </c>
      <c r="H2319" s="7" t="s">
        <v>6439</v>
      </c>
      <c r="I2319" s="9">
        <v>45361</v>
      </c>
    </row>
    <row r="2320" spans="1:9" x14ac:dyDescent="0.15">
      <c r="A2320" s="6">
        <v>2319</v>
      </c>
      <c r="B2320" s="7" t="s">
        <v>10</v>
      </c>
      <c r="C2320" s="8">
        <v>1888</v>
      </c>
      <c r="D2320" s="9">
        <v>45432</v>
      </c>
      <c r="E2320" s="13" t="str">
        <f>+HYPERLINK("http://trademark.i-assist.jp/data/china/image_1888th/77207357.pdf","77207357")</f>
        <v>77207357</v>
      </c>
      <c r="F2320" s="7" t="s">
        <v>6440</v>
      </c>
      <c r="G2320" s="7" t="s">
        <v>6441</v>
      </c>
      <c r="H2320" s="7" t="s">
        <v>6442</v>
      </c>
      <c r="I2320" s="9">
        <v>45361</v>
      </c>
    </row>
    <row r="2321" spans="1:9" x14ac:dyDescent="0.15">
      <c r="A2321" s="6">
        <v>2320</v>
      </c>
      <c r="B2321" s="7" t="s">
        <v>10</v>
      </c>
      <c r="C2321" s="8">
        <v>1888</v>
      </c>
      <c r="D2321" s="9">
        <v>45432</v>
      </c>
      <c r="E2321" s="13" t="str">
        <f>+HYPERLINK("http://trademark.i-assist.jp/data/china/image_1888th/77207444.pdf","77207444")</f>
        <v>77207444</v>
      </c>
      <c r="F2321" s="7" t="s">
        <v>6443</v>
      </c>
      <c r="G2321" s="7" t="s">
        <v>6292</v>
      </c>
      <c r="H2321" s="7" t="s">
        <v>6444</v>
      </c>
      <c r="I2321" s="9">
        <v>45361</v>
      </c>
    </row>
    <row r="2322" spans="1:9" x14ac:dyDescent="0.15">
      <c r="A2322" s="6">
        <v>2321</v>
      </c>
      <c r="B2322" s="7" t="s">
        <v>10</v>
      </c>
      <c r="C2322" s="8">
        <v>1888</v>
      </c>
      <c r="D2322" s="9">
        <v>45432</v>
      </c>
      <c r="E2322" s="13" t="str">
        <f>+HYPERLINK("http://trademark.i-assist.jp/data/china/image_1888th/77207648.pdf","77207648")</f>
        <v>77207648</v>
      </c>
      <c r="F2322" s="7" t="s">
        <v>6445</v>
      </c>
      <c r="G2322" s="7" t="s">
        <v>6419</v>
      </c>
      <c r="H2322" s="7" t="s">
        <v>6446</v>
      </c>
      <c r="I2322" s="9">
        <v>45361</v>
      </c>
    </row>
    <row r="2323" spans="1:9" x14ac:dyDescent="0.15">
      <c r="A2323" s="6">
        <v>2322</v>
      </c>
      <c r="B2323" s="7" t="s">
        <v>10</v>
      </c>
      <c r="C2323" s="8">
        <v>1888</v>
      </c>
      <c r="D2323" s="9">
        <v>45432</v>
      </c>
      <c r="E2323" s="13" t="str">
        <f>+HYPERLINK("http://trademark.i-assist.jp/data/china/image_1888th/77208001.pdf","77208001")</f>
        <v>77208001</v>
      </c>
      <c r="F2323" s="7" t="s">
        <v>6447</v>
      </c>
      <c r="G2323" s="7" t="s">
        <v>6448</v>
      </c>
      <c r="H2323" s="7" t="s">
        <v>6449</v>
      </c>
      <c r="I2323" s="9">
        <v>45359</v>
      </c>
    </row>
    <row r="2324" spans="1:9" ht="27" x14ac:dyDescent="0.15">
      <c r="A2324" s="6">
        <v>2323</v>
      </c>
      <c r="B2324" s="7" t="s">
        <v>10</v>
      </c>
      <c r="C2324" s="8">
        <v>1888</v>
      </c>
      <c r="D2324" s="9">
        <v>45432</v>
      </c>
      <c r="E2324" s="13" t="str">
        <f>+HYPERLINK("http://trademark.i-assist.jp/data/china/image_1888th/77216864.pdf","77216864")</f>
        <v>77216864</v>
      </c>
      <c r="F2324" s="7" t="s">
        <v>6450</v>
      </c>
      <c r="G2324" s="7" t="s">
        <v>6451</v>
      </c>
      <c r="H2324" s="7" t="s">
        <v>6452</v>
      </c>
      <c r="I2324" s="9">
        <v>45362</v>
      </c>
    </row>
    <row r="2325" spans="1:9" x14ac:dyDescent="0.15">
      <c r="A2325" s="6">
        <v>2324</v>
      </c>
      <c r="B2325" s="7" t="s">
        <v>10</v>
      </c>
      <c r="C2325" s="8">
        <v>1888</v>
      </c>
      <c r="D2325" s="9">
        <v>45432</v>
      </c>
      <c r="E2325" s="13" t="str">
        <f>+HYPERLINK("http://trademark.i-assist.jp/data/china/image_1888th/77217777.pdf","77217777")</f>
        <v>77217777</v>
      </c>
      <c r="F2325" s="7" t="s">
        <v>6453</v>
      </c>
      <c r="G2325" s="7" t="s">
        <v>6454</v>
      </c>
      <c r="H2325" s="7" t="s">
        <v>6455</v>
      </c>
      <c r="I2325" s="9">
        <v>45362</v>
      </c>
    </row>
    <row r="2326" spans="1:9" x14ac:dyDescent="0.15">
      <c r="A2326" s="6">
        <v>2325</v>
      </c>
      <c r="B2326" s="7" t="s">
        <v>10</v>
      </c>
      <c r="C2326" s="8">
        <v>1888</v>
      </c>
      <c r="D2326" s="9">
        <v>45432</v>
      </c>
      <c r="E2326" s="13" t="str">
        <f>+HYPERLINK("http://trademark.i-assist.jp/data/china/image_1888th/77220862.pdf","77220862")</f>
        <v>77220862</v>
      </c>
      <c r="F2326" s="7" t="s">
        <v>6456</v>
      </c>
      <c r="G2326" s="7" t="s">
        <v>6457</v>
      </c>
      <c r="H2326" s="7" t="s">
        <v>6458</v>
      </c>
      <c r="I2326" s="9">
        <v>45362</v>
      </c>
    </row>
    <row r="2327" spans="1:9" x14ac:dyDescent="0.15">
      <c r="A2327" s="6">
        <v>2326</v>
      </c>
      <c r="B2327" s="7" t="s">
        <v>10</v>
      </c>
      <c r="C2327" s="8">
        <v>1888</v>
      </c>
      <c r="D2327" s="9">
        <v>45432</v>
      </c>
      <c r="E2327" s="13" t="str">
        <f>+HYPERLINK("http://trademark.i-assist.jp/data/china/image_1888th/77221999.pdf","77221999")</f>
        <v>77221999</v>
      </c>
      <c r="F2327" s="7" t="s">
        <v>6459</v>
      </c>
      <c r="G2327" s="7" t="s">
        <v>6460</v>
      </c>
      <c r="H2327" s="7" t="s">
        <v>6461</v>
      </c>
      <c r="I2327" s="9">
        <v>45362</v>
      </c>
    </row>
    <row r="2328" spans="1:9" x14ac:dyDescent="0.15">
      <c r="A2328" s="6">
        <v>2327</v>
      </c>
      <c r="B2328" s="7" t="s">
        <v>10</v>
      </c>
      <c r="C2328" s="8">
        <v>1888</v>
      </c>
      <c r="D2328" s="9">
        <v>45432</v>
      </c>
      <c r="E2328" s="13" t="str">
        <f>+HYPERLINK("http://trademark.i-assist.jp/data/china/image_1888th/77222099.pdf","77222099")</f>
        <v>77222099</v>
      </c>
      <c r="F2328" s="7" t="s">
        <v>6462</v>
      </c>
      <c r="G2328" s="7" t="s">
        <v>6463</v>
      </c>
      <c r="H2328" s="7" t="s">
        <v>6464</v>
      </c>
      <c r="I2328" s="9">
        <v>45362</v>
      </c>
    </row>
    <row r="2329" spans="1:9" ht="27" x14ac:dyDescent="0.15">
      <c r="A2329" s="6">
        <v>2328</v>
      </c>
      <c r="B2329" s="7" t="s">
        <v>10</v>
      </c>
      <c r="C2329" s="8">
        <v>1888</v>
      </c>
      <c r="D2329" s="9">
        <v>45432</v>
      </c>
      <c r="E2329" s="13" t="str">
        <f>+HYPERLINK("http://trademark.i-assist.jp/data/china/image_1888th/77227465.pdf","77227465")</f>
        <v>77227465</v>
      </c>
      <c r="F2329" s="7" t="s">
        <v>6465</v>
      </c>
      <c r="G2329" s="7" t="s">
        <v>6466</v>
      </c>
      <c r="H2329" s="7" t="s">
        <v>6467</v>
      </c>
      <c r="I2329" s="9">
        <v>45362</v>
      </c>
    </row>
    <row r="2330" spans="1:9" x14ac:dyDescent="0.15">
      <c r="A2330" s="6">
        <v>2329</v>
      </c>
      <c r="B2330" s="7" t="s">
        <v>10</v>
      </c>
      <c r="C2330" s="8">
        <v>1888</v>
      </c>
      <c r="D2330" s="9">
        <v>45432</v>
      </c>
      <c r="E2330" s="13" t="str">
        <f>+HYPERLINK("http://trademark.i-assist.jp/data/china/image_1888th/77228702.pdf","77228702")</f>
        <v>77228702</v>
      </c>
      <c r="F2330" s="7" t="s">
        <v>6468</v>
      </c>
      <c r="G2330" s="7" t="s">
        <v>6469</v>
      </c>
      <c r="H2330" s="7" t="s">
        <v>6470</v>
      </c>
      <c r="I2330" s="9">
        <v>45362</v>
      </c>
    </row>
    <row r="2331" spans="1:9" x14ac:dyDescent="0.15">
      <c r="A2331" s="6">
        <v>2330</v>
      </c>
      <c r="B2331" s="7" t="s">
        <v>10</v>
      </c>
      <c r="C2331" s="8">
        <v>1888</v>
      </c>
      <c r="D2331" s="9">
        <v>45432</v>
      </c>
      <c r="E2331" s="13" t="str">
        <f>+HYPERLINK("http://trademark.i-assist.jp/data/china/image_1888th/77231883.pdf","77231883")</f>
        <v>77231883</v>
      </c>
      <c r="F2331" s="7" t="s">
        <v>6471</v>
      </c>
      <c r="G2331" s="7" t="s">
        <v>3685</v>
      </c>
      <c r="H2331" s="7" t="s">
        <v>6472</v>
      </c>
      <c r="I2331" s="9">
        <v>45362</v>
      </c>
    </row>
    <row r="2332" spans="1:9" x14ac:dyDescent="0.15">
      <c r="A2332" s="6">
        <v>2331</v>
      </c>
      <c r="B2332" s="7" t="s">
        <v>10</v>
      </c>
      <c r="C2332" s="8">
        <v>1888</v>
      </c>
      <c r="D2332" s="9">
        <v>45432</v>
      </c>
      <c r="E2332" s="13" t="str">
        <f>+HYPERLINK("http://trademark.i-assist.jp/data/china/image_1888th/77233354.pdf","77233354")</f>
        <v>77233354</v>
      </c>
      <c r="F2332" s="7" t="s">
        <v>6473</v>
      </c>
      <c r="G2332" s="7" t="s">
        <v>6474</v>
      </c>
      <c r="H2332" s="7" t="s">
        <v>6475</v>
      </c>
      <c r="I2332" s="9">
        <v>45362</v>
      </c>
    </row>
    <row r="2333" spans="1:9" x14ac:dyDescent="0.15">
      <c r="A2333" s="6">
        <v>2332</v>
      </c>
      <c r="B2333" s="7" t="s">
        <v>10</v>
      </c>
      <c r="C2333" s="8">
        <v>1888</v>
      </c>
      <c r="D2333" s="9">
        <v>45432</v>
      </c>
      <c r="E2333" s="13" t="str">
        <f>+HYPERLINK("http://trademark.i-assist.jp/data/china/image_1888th/77237310.pdf","77237310")</f>
        <v>77237310</v>
      </c>
      <c r="F2333" s="7" t="s">
        <v>6476</v>
      </c>
      <c r="G2333" s="7" t="s">
        <v>6477</v>
      </c>
      <c r="H2333" s="7" t="s">
        <v>6478</v>
      </c>
      <c r="I2333" s="9">
        <v>45363</v>
      </c>
    </row>
    <row r="2334" spans="1:9" x14ac:dyDescent="0.15">
      <c r="A2334" s="6">
        <v>2333</v>
      </c>
      <c r="B2334" s="7" t="s">
        <v>10</v>
      </c>
      <c r="C2334" s="8">
        <v>1888</v>
      </c>
      <c r="D2334" s="9">
        <v>45432</v>
      </c>
      <c r="E2334" s="13" t="str">
        <f>+HYPERLINK("http://trademark.i-assist.jp/data/china/image_1888th/77238208.pdf","77238208")</f>
        <v>77238208</v>
      </c>
      <c r="F2334" s="7" t="s">
        <v>6479</v>
      </c>
      <c r="G2334" s="7" t="s">
        <v>6480</v>
      </c>
      <c r="H2334" s="7" t="s">
        <v>6481</v>
      </c>
      <c r="I2334" s="9">
        <v>45363</v>
      </c>
    </row>
    <row r="2335" spans="1:9" x14ac:dyDescent="0.15">
      <c r="A2335" s="6">
        <v>2334</v>
      </c>
      <c r="B2335" s="7" t="s">
        <v>10</v>
      </c>
      <c r="C2335" s="8">
        <v>1888</v>
      </c>
      <c r="D2335" s="9">
        <v>45432</v>
      </c>
      <c r="E2335" s="13" t="str">
        <f>+HYPERLINK("http://trademark.i-assist.jp/data/china/image_1888th/77241521.pdf","77241521")</f>
        <v>77241521</v>
      </c>
      <c r="F2335" s="7" t="s">
        <v>6482</v>
      </c>
      <c r="G2335" s="7" t="s">
        <v>2091</v>
      </c>
      <c r="H2335" s="7" t="s">
        <v>6483</v>
      </c>
      <c r="I2335" s="9">
        <v>45363</v>
      </c>
    </row>
    <row r="2336" spans="1:9" x14ac:dyDescent="0.15">
      <c r="A2336" s="6">
        <v>2335</v>
      </c>
      <c r="B2336" s="7" t="s">
        <v>10</v>
      </c>
      <c r="C2336" s="8">
        <v>1888</v>
      </c>
      <c r="D2336" s="9">
        <v>45432</v>
      </c>
      <c r="E2336" s="13" t="str">
        <f>+HYPERLINK("http://trademark.i-assist.jp/data/china/image_1888th/77242401.pdf","77242401")</f>
        <v>77242401</v>
      </c>
      <c r="F2336" s="7" t="s">
        <v>6484</v>
      </c>
      <c r="G2336" s="7" t="s">
        <v>6318</v>
      </c>
      <c r="H2336" s="7" t="s">
        <v>6485</v>
      </c>
      <c r="I2336" s="9">
        <v>45363</v>
      </c>
    </row>
    <row r="2337" spans="1:9" x14ac:dyDescent="0.15">
      <c r="A2337" s="6">
        <v>2336</v>
      </c>
      <c r="B2337" s="7" t="s">
        <v>10</v>
      </c>
      <c r="C2337" s="8">
        <v>1888</v>
      </c>
      <c r="D2337" s="9">
        <v>45432</v>
      </c>
      <c r="E2337" s="13" t="str">
        <f>+HYPERLINK("http://trademark.i-assist.jp/data/china/image_1888th/77242898.pdf","77242898")</f>
        <v>77242898</v>
      </c>
      <c r="F2337" s="7" t="s">
        <v>6486</v>
      </c>
      <c r="G2337" s="7" t="s">
        <v>6487</v>
      </c>
      <c r="H2337" s="7" t="s">
        <v>6488</v>
      </c>
      <c r="I2337" s="9">
        <v>45363</v>
      </c>
    </row>
    <row r="2338" spans="1:9" x14ac:dyDescent="0.15">
      <c r="A2338" s="6">
        <v>2337</v>
      </c>
      <c r="B2338" s="7" t="s">
        <v>10</v>
      </c>
      <c r="C2338" s="8">
        <v>1888</v>
      </c>
      <c r="D2338" s="9">
        <v>45432</v>
      </c>
      <c r="E2338" s="13" t="str">
        <f>+HYPERLINK("http://trademark.i-assist.jp/data/china/image_1888th/77245023.pdf","77245023")</f>
        <v>77245023</v>
      </c>
      <c r="F2338" s="7" t="s">
        <v>6489</v>
      </c>
      <c r="G2338" s="7" t="s">
        <v>6490</v>
      </c>
      <c r="H2338" s="7" t="s">
        <v>6491</v>
      </c>
      <c r="I2338" s="9">
        <v>45363</v>
      </c>
    </row>
    <row r="2339" spans="1:9" x14ac:dyDescent="0.15">
      <c r="A2339" s="6">
        <v>2338</v>
      </c>
      <c r="B2339" s="7" t="s">
        <v>10</v>
      </c>
      <c r="C2339" s="8">
        <v>1888</v>
      </c>
      <c r="D2339" s="9">
        <v>45432</v>
      </c>
      <c r="E2339" s="13" t="str">
        <f>+HYPERLINK("http://trademark.i-assist.jp/data/china/image_1888th/77246460.pdf","77246460")</f>
        <v>77246460</v>
      </c>
      <c r="F2339" s="7" t="s">
        <v>6492</v>
      </c>
      <c r="G2339" s="7" t="s">
        <v>6493</v>
      </c>
      <c r="H2339" s="7" t="s">
        <v>6494</v>
      </c>
      <c r="I2339" s="9">
        <v>45363</v>
      </c>
    </row>
    <row r="2340" spans="1:9" x14ac:dyDescent="0.15">
      <c r="A2340" s="6">
        <v>2339</v>
      </c>
      <c r="B2340" s="7" t="s">
        <v>10</v>
      </c>
      <c r="C2340" s="8">
        <v>1888</v>
      </c>
      <c r="D2340" s="9">
        <v>45432</v>
      </c>
      <c r="E2340" s="13" t="str">
        <f>+HYPERLINK("http://trademark.i-assist.jp/data/china/image_1888th/77252806.pdf","77252806")</f>
        <v>77252806</v>
      </c>
      <c r="F2340" s="7" t="s">
        <v>6495</v>
      </c>
      <c r="G2340" s="7" t="s">
        <v>6496</v>
      </c>
      <c r="H2340" s="7" t="s">
        <v>6497</v>
      </c>
      <c r="I2340" s="9">
        <v>45363</v>
      </c>
    </row>
    <row r="2341" spans="1:9" ht="27" x14ac:dyDescent="0.15">
      <c r="A2341" s="6">
        <v>2340</v>
      </c>
      <c r="B2341" s="7" t="s">
        <v>10</v>
      </c>
      <c r="C2341" s="8">
        <v>1888</v>
      </c>
      <c r="D2341" s="9">
        <v>45432</v>
      </c>
      <c r="E2341" s="13" t="str">
        <f>+HYPERLINK("http://trademark.i-assist.jp/data/china/image_1888th/77253832.pdf","77253832")</f>
        <v>77253832</v>
      </c>
      <c r="F2341" s="7" t="s">
        <v>6498</v>
      </c>
      <c r="G2341" s="7" t="s">
        <v>6499</v>
      </c>
      <c r="H2341" s="7" t="s">
        <v>6500</v>
      </c>
      <c r="I2341" s="9">
        <v>45363</v>
      </c>
    </row>
    <row r="2342" spans="1:9" x14ac:dyDescent="0.15">
      <c r="A2342" s="6">
        <v>2341</v>
      </c>
      <c r="B2342" s="7" t="s">
        <v>10</v>
      </c>
      <c r="C2342" s="8">
        <v>1888</v>
      </c>
      <c r="D2342" s="9">
        <v>45432</v>
      </c>
      <c r="E2342" s="13" t="str">
        <f>+HYPERLINK("http://trademark.i-assist.jp/data/china/image_1888th/77257076.pdf","77257076")</f>
        <v>77257076</v>
      </c>
      <c r="F2342" s="7" t="s">
        <v>6501</v>
      </c>
      <c r="G2342" s="7" t="s">
        <v>6318</v>
      </c>
      <c r="H2342" s="7" t="s">
        <v>6502</v>
      </c>
      <c r="I2342" s="9">
        <v>45363</v>
      </c>
    </row>
    <row r="2343" spans="1:9" x14ac:dyDescent="0.15">
      <c r="A2343" s="6">
        <v>2342</v>
      </c>
      <c r="B2343" s="7" t="s">
        <v>10</v>
      </c>
      <c r="C2343" s="8">
        <v>1888</v>
      </c>
      <c r="D2343" s="9">
        <v>45432</v>
      </c>
      <c r="E2343" s="13" t="str">
        <f>+HYPERLINK("http://trademark.i-assist.jp/data/china/image_1888th/77257966.pdf","77257966")</f>
        <v>77257966</v>
      </c>
      <c r="F2343" s="7" t="s">
        <v>6503</v>
      </c>
      <c r="G2343" s="7" t="s">
        <v>6504</v>
      </c>
      <c r="H2343" s="7" t="s">
        <v>6505</v>
      </c>
      <c r="I2343" s="9">
        <v>45363</v>
      </c>
    </row>
    <row r="2344" spans="1:9" x14ac:dyDescent="0.15">
      <c r="A2344" s="6">
        <v>2343</v>
      </c>
      <c r="B2344" s="7" t="s">
        <v>10</v>
      </c>
      <c r="C2344" s="8">
        <v>1888</v>
      </c>
      <c r="D2344" s="9">
        <v>45432</v>
      </c>
      <c r="E2344" s="13" t="str">
        <f>+HYPERLINK("http://trademark.i-assist.jp/data/china/image_1888th/77259271.pdf","77259271")</f>
        <v>77259271</v>
      </c>
      <c r="F2344" s="7" t="s">
        <v>6506</v>
      </c>
      <c r="G2344" s="7" t="s">
        <v>6507</v>
      </c>
      <c r="H2344" s="7" t="s">
        <v>6508</v>
      </c>
      <c r="I2344" s="9">
        <v>45363</v>
      </c>
    </row>
    <row r="2345" spans="1:9" ht="27" x14ac:dyDescent="0.15">
      <c r="A2345" s="6">
        <v>2344</v>
      </c>
      <c r="B2345" s="7" t="s">
        <v>10</v>
      </c>
      <c r="C2345" s="8">
        <v>1888</v>
      </c>
      <c r="D2345" s="9">
        <v>45432</v>
      </c>
      <c r="E2345" s="13" t="str">
        <f>+HYPERLINK("http://trademark.i-assist.jp/data/china/image_1888th/77268366.pdf","77268366")</f>
        <v>77268366</v>
      </c>
      <c r="F2345" s="7" t="s">
        <v>6509</v>
      </c>
      <c r="G2345" s="7" t="s">
        <v>6510</v>
      </c>
      <c r="H2345" s="7" t="s">
        <v>6511</v>
      </c>
      <c r="I2345" s="9">
        <v>45364</v>
      </c>
    </row>
    <row r="2346" spans="1:9" x14ac:dyDescent="0.15">
      <c r="A2346" s="6">
        <v>2345</v>
      </c>
      <c r="B2346" s="7" t="s">
        <v>10</v>
      </c>
      <c r="C2346" s="8">
        <v>1888</v>
      </c>
      <c r="D2346" s="9">
        <v>45432</v>
      </c>
      <c r="E2346" s="13" t="str">
        <f>+HYPERLINK("http://trademark.i-assist.jp/data/china/image_1888th/77268404.pdf","77268404")</f>
        <v>77268404</v>
      </c>
      <c r="F2346" s="7" t="s">
        <v>6512</v>
      </c>
      <c r="G2346" s="7" t="s">
        <v>6513</v>
      </c>
      <c r="H2346" s="7" t="s">
        <v>6514</v>
      </c>
      <c r="I2346" s="9">
        <v>45364</v>
      </c>
    </row>
    <row r="2347" spans="1:9" x14ac:dyDescent="0.15">
      <c r="A2347" s="6">
        <v>2346</v>
      </c>
      <c r="B2347" s="7" t="s">
        <v>10</v>
      </c>
      <c r="C2347" s="8">
        <v>1888</v>
      </c>
      <c r="D2347" s="9">
        <v>45432</v>
      </c>
      <c r="E2347" s="13" t="str">
        <f>+HYPERLINK("http://trademark.i-assist.jp/data/china/image_1888th/77268413.pdf","77268413")</f>
        <v>77268413</v>
      </c>
      <c r="F2347" s="7" t="s">
        <v>6515</v>
      </c>
      <c r="G2347" s="7" t="s">
        <v>6513</v>
      </c>
      <c r="H2347" s="7" t="s">
        <v>6516</v>
      </c>
      <c r="I2347" s="9">
        <v>45364</v>
      </c>
    </row>
    <row r="2348" spans="1:9" x14ac:dyDescent="0.15">
      <c r="A2348" s="6">
        <v>2347</v>
      </c>
      <c r="B2348" s="7" t="s">
        <v>10</v>
      </c>
      <c r="C2348" s="8">
        <v>1888</v>
      </c>
      <c r="D2348" s="9">
        <v>45432</v>
      </c>
      <c r="E2348" s="13" t="str">
        <f>+HYPERLINK("http://trademark.i-assist.jp/data/china/image_1888th/77268739.pdf","77268739")</f>
        <v>77268739</v>
      </c>
      <c r="F2348" s="7" t="s">
        <v>6517</v>
      </c>
      <c r="G2348" s="7" t="s">
        <v>6518</v>
      </c>
      <c r="H2348" s="7" t="s">
        <v>6519</v>
      </c>
      <c r="I2348" s="9">
        <v>45364</v>
      </c>
    </row>
    <row r="2349" spans="1:9" x14ac:dyDescent="0.15">
      <c r="A2349" s="6">
        <v>2348</v>
      </c>
      <c r="B2349" s="7" t="s">
        <v>10</v>
      </c>
      <c r="C2349" s="8">
        <v>1888</v>
      </c>
      <c r="D2349" s="9">
        <v>45432</v>
      </c>
      <c r="E2349" s="13" t="str">
        <f>+HYPERLINK("http://trademark.i-assist.jp/data/china/image_1888th/77280282.pdf","77280282")</f>
        <v>77280282</v>
      </c>
      <c r="F2349" s="7" t="s">
        <v>6520</v>
      </c>
      <c r="G2349" s="7" t="s">
        <v>6513</v>
      </c>
      <c r="H2349" s="7" t="s">
        <v>6521</v>
      </c>
      <c r="I2349" s="9">
        <v>45364</v>
      </c>
    </row>
    <row r="2350" spans="1:9" ht="27" x14ac:dyDescent="0.15">
      <c r="A2350" s="6">
        <v>2349</v>
      </c>
      <c r="B2350" s="7" t="s">
        <v>10</v>
      </c>
      <c r="C2350" s="8">
        <v>1888</v>
      </c>
      <c r="D2350" s="9">
        <v>45432</v>
      </c>
      <c r="E2350" s="13" t="str">
        <f>+HYPERLINK("http://trademark.i-assist.jp/data/china/image_1888th/77289028.pdf","77289028")</f>
        <v>77289028</v>
      </c>
      <c r="F2350" s="7" t="s">
        <v>6522</v>
      </c>
      <c r="G2350" s="7" t="s">
        <v>6523</v>
      </c>
      <c r="H2350" s="7" t="s">
        <v>6524</v>
      </c>
      <c r="I2350" s="9">
        <v>45364</v>
      </c>
    </row>
    <row r="2351" spans="1:9" ht="27" x14ac:dyDescent="0.15">
      <c r="A2351" s="6">
        <v>2350</v>
      </c>
      <c r="B2351" s="7" t="s">
        <v>10</v>
      </c>
      <c r="C2351" s="8">
        <v>1888</v>
      </c>
      <c r="D2351" s="9">
        <v>45432</v>
      </c>
      <c r="E2351" s="13" t="str">
        <f>+HYPERLINK("http://trademark.i-assist.jp/data/china/image_1888th/77289033.pdf","77289033")</f>
        <v>77289033</v>
      </c>
      <c r="F2351" s="7" t="s">
        <v>6525</v>
      </c>
      <c r="G2351" s="7" t="s">
        <v>6526</v>
      </c>
      <c r="H2351" s="7" t="s">
        <v>6527</v>
      </c>
      <c r="I2351" s="9">
        <v>45364</v>
      </c>
    </row>
    <row r="2352" spans="1:9" x14ac:dyDescent="0.15">
      <c r="A2352" s="6">
        <v>2351</v>
      </c>
      <c r="B2352" s="7" t="s">
        <v>10</v>
      </c>
      <c r="C2352" s="8">
        <v>1888</v>
      </c>
      <c r="D2352" s="9">
        <v>45432</v>
      </c>
      <c r="E2352" s="13" t="str">
        <f>+HYPERLINK("http://trademark.i-assist.jp/data/china/image_1888th/77297980.pdf","77297980")</f>
        <v>77297980</v>
      </c>
      <c r="F2352" s="7" t="s">
        <v>6528</v>
      </c>
      <c r="G2352" s="7" t="s">
        <v>6529</v>
      </c>
      <c r="H2352" s="7" t="s">
        <v>6530</v>
      </c>
      <c r="I2352" s="9">
        <v>45365</v>
      </c>
    </row>
    <row r="2353" spans="1:9" x14ac:dyDescent="0.15">
      <c r="A2353" s="6">
        <v>2352</v>
      </c>
      <c r="B2353" s="7" t="s">
        <v>10</v>
      </c>
      <c r="C2353" s="8">
        <v>1888</v>
      </c>
      <c r="D2353" s="9">
        <v>45432</v>
      </c>
      <c r="E2353" s="13" t="str">
        <f>+HYPERLINK("http://trademark.i-assist.jp/data/china/image_1888th/77298956.pdf","77298956")</f>
        <v>77298956</v>
      </c>
      <c r="F2353" s="7" t="s">
        <v>6531</v>
      </c>
      <c r="G2353" s="7" t="s">
        <v>6532</v>
      </c>
      <c r="H2353" s="7" t="s">
        <v>6533</v>
      </c>
      <c r="I2353" s="9">
        <v>45365</v>
      </c>
    </row>
    <row r="2354" spans="1:9" x14ac:dyDescent="0.15">
      <c r="A2354" s="6">
        <v>2353</v>
      </c>
      <c r="B2354" s="7" t="s">
        <v>10</v>
      </c>
      <c r="C2354" s="8">
        <v>1888</v>
      </c>
      <c r="D2354" s="9">
        <v>45432</v>
      </c>
      <c r="E2354" s="13" t="str">
        <f>+HYPERLINK("http://trademark.i-assist.jp/data/china/image_1888th/77309773.pdf","77309773")</f>
        <v>77309773</v>
      </c>
      <c r="F2354" s="7" t="s">
        <v>6534</v>
      </c>
      <c r="G2354" s="7" t="s">
        <v>4479</v>
      </c>
      <c r="H2354" s="7" t="s">
        <v>6535</v>
      </c>
      <c r="I2354" s="9">
        <v>45365</v>
      </c>
    </row>
    <row r="2355" spans="1:9" x14ac:dyDescent="0.15">
      <c r="A2355" s="6">
        <v>2354</v>
      </c>
      <c r="B2355" s="7" t="s">
        <v>10</v>
      </c>
      <c r="C2355" s="8">
        <v>1888</v>
      </c>
      <c r="D2355" s="9">
        <v>45432</v>
      </c>
      <c r="E2355" s="13" t="str">
        <f>+HYPERLINK("http://trademark.i-assist.jp/data/china/image_1888th/77313948.pdf","77313948")</f>
        <v>77313948</v>
      </c>
      <c r="F2355" s="7" t="s">
        <v>6536</v>
      </c>
      <c r="G2355" s="7" t="s">
        <v>6537</v>
      </c>
      <c r="H2355" s="7" t="s">
        <v>6538</v>
      </c>
      <c r="I2355" s="9">
        <v>45365</v>
      </c>
    </row>
    <row r="2356" spans="1:9" ht="27" x14ac:dyDescent="0.15">
      <c r="A2356" s="6">
        <v>2355</v>
      </c>
      <c r="B2356" s="7" t="s">
        <v>10</v>
      </c>
      <c r="C2356" s="8">
        <v>1888</v>
      </c>
      <c r="D2356" s="9">
        <v>45432</v>
      </c>
      <c r="E2356" s="13" t="str">
        <f>+HYPERLINK("http://trademark.i-assist.jp/data/china/image_1888th/77327308.pdf","77327308")</f>
        <v>77327308</v>
      </c>
      <c r="F2356" s="7" t="s">
        <v>6539</v>
      </c>
      <c r="G2356" s="7" t="s">
        <v>6540</v>
      </c>
      <c r="H2356" s="7" t="s">
        <v>6541</v>
      </c>
      <c r="I2356" s="9">
        <v>45366</v>
      </c>
    </row>
    <row r="2357" spans="1:9" x14ac:dyDescent="0.15">
      <c r="A2357" s="6">
        <v>2356</v>
      </c>
      <c r="B2357" s="7" t="s">
        <v>10</v>
      </c>
      <c r="C2357" s="8">
        <v>1888</v>
      </c>
      <c r="D2357" s="9">
        <v>45432</v>
      </c>
      <c r="E2357" s="13" t="str">
        <f>+HYPERLINK("http://trademark.i-assist.jp/data/china/image_1888th/77333398.pdf","77333398")</f>
        <v>77333398</v>
      </c>
      <c r="F2357" s="7" t="s">
        <v>6542</v>
      </c>
      <c r="G2357" s="7" t="s">
        <v>6543</v>
      </c>
      <c r="H2357" s="7" t="s">
        <v>6544</v>
      </c>
      <c r="I2357" s="9">
        <v>45366</v>
      </c>
    </row>
    <row r="2358" spans="1:9" x14ac:dyDescent="0.15">
      <c r="A2358" s="6">
        <v>2357</v>
      </c>
      <c r="B2358" s="7" t="s">
        <v>10</v>
      </c>
      <c r="C2358" s="8">
        <v>1888</v>
      </c>
      <c r="D2358" s="9">
        <v>45432</v>
      </c>
      <c r="E2358" s="13" t="str">
        <f>+HYPERLINK("http://trademark.i-assist.jp/data/china/image_1888th/77333969.pdf","77333969")</f>
        <v>77333969</v>
      </c>
      <c r="F2358" s="7" t="s">
        <v>6545</v>
      </c>
      <c r="G2358" s="7" t="s">
        <v>6546</v>
      </c>
      <c r="H2358" s="7" t="s">
        <v>6547</v>
      </c>
      <c r="I2358" s="9">
        <v>45366</v>
      </c>
    </row>
    <row r="2359" spans="1:9" x14ac:dyDescent="0.15">
      <c r="A2359" s="6">
        <v>2358</v>
      </c>
      <c r="B2359" s="7" t="s">
        <v>10</v>
      </c>
      <c r="C2359" s="8">
        <v>1888</v>
      </c>
      <c r="D2359" s="9">
        <v>45432</v>
      </c>
      <c r="E2359" s="13" t="str">
        <f>+HYPERLINK("http://trademark.i-assist.jp/data/china/image_1888th/77372477.pdf","77372477")</f>
        <v>77372477</v>
      </c>
      <c r="F2359" s="7" t="s">
        <v>6548</v>
      </c>
      <c r="G2359" s="7" t="s">
        <v>6549</v>
      </c>
      <c r="H2359" s="7" t="s">
        <v>6550</v>
      </c>
      <c r="I2359" s="9">
        <v>45369</v>
      </c>
    </row>
    <row r="2360" spans="1:9" x14ac:dyDescent="0.15">
      <c r="A2360" s="6">
        <v>2359</v>
      </c>
      <c r="B2360" s="7" t="s">
        <v>10</v>
      </c>
      <c r="C2360" s="8">
        <v>1888</v>
      </c>
      <c r="D2360" s="9">
        <v>45432</v>
      </c>
      <c r="E2360" s="13" t="str">
        <f>+HYPERLINK("http://trademark.i-assist.jp/data/china/image_1888th/77382182.pdf","77382182")</f>
        <v>77382182</v>
      </c>
      <c r="F2360" s="7" t="s">
        <v>6551</v>
      </c>
      <c r="G2360" s="7" t="s">
        <v>6549</v>
      </c>
      <c r="H2360" s="7" t="s">
        <v>6552</v>
      </c>
      <c r="I2360" s="9">
        <v>45369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sample</vt:lpstr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2024-12-04T07:01:38Z</dcterms:modified>
</cp:coreProperties>
</file>