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F810EBA-1942-4D90-822F-71B809D68F8D}" xr6:coauthVersionLast="47" xr6:coauthVersionMax="47" xr10:uidLastSave="{00000000-0000-0000-0000-000000000000}"/>
  <bookViews>
    <workbookView xWindow="780" yWindow="780" windowWidth="24555" windowHeight="14250" xr2:uid="{00000000-000D-0000-FFFF-FFFF00000000}"/>
  </bookViews>
  <sheets>
    <sheet name="1887th" sheetId="2" r:id="rId1"/>
  </sheet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</calcChain>
</file>

<file path=xl/sharedStrings.xml><?xml version="1.0" encoding="utf-8"?>
<sst xmlns="http://schemas.openxmlformats.org/spreadsheetml/2006/main" count="10328" uniqueCount="7032">
  <si>
    <t>国名</t>
  </si>
  <si>
    <t>公告期</t>
  </si>
  <si>
    <t>発表日</t>
  </si>
  <si>
    <t>商標番号</t>
  </si>
  <si>
    <t>商標名称</t>
  </si>
  <si>
    <t>申請人</t>
  </si>
  <si>
    <t>商品</t>
  </si>
  <si>
    <t>No.</t>
    <phoneticPr fontId="1"/>
  </si>
  <si>
    <t>中国</t>
  </si>
  <si>
    <t>葡萄酒</t>
  </si>
  <si>
    <r>
      <t>银</t>
    </r>
    <r>
      <rPr>
        <sz val="11"/>
        <color theme="1"/>
        <rFont val="ＭＳ Ｐゴシック"/>
        <family val="3"/>
        <charset val="128"/>
        <scheme val="minor"/>
      </rPr>
      <t>沙荷花</t>
    </r>
  </si>
  <si>
    <t>黎洪金</t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</si>
  <si>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</si>
  <si>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城之恋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</si>
  <si>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</si>
  <si>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</si>
  <si>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POWERS P</t>
  </si>
  <si>
    <r>
      <t>爱尔兰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</si>
  <si>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威士忌</t>
  </si>
  <si>
    <t>POWERS THREE SWALLOW P</t>
  </si>
  <si>
    <t>海天梦</t>
  </si>
  <si>
    <r>
      <t>佛山市海天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味食品股份有限公司</t>
    </r>
  </si>
  <si>
    <r>
      <t>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</si>
  <si>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董子 九之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</si>
  <si>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>德州董子酒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</si>
  <si>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</si>
  <si>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董子 九之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慰</t>
    </r>
  </si>
  <si>
    <r>
      <t>董子 九之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效</t>
    </r>
  </si>
  <si>
    <r>
      <t>董子 九之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</si>
  <si>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</si>
  <si>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海淘国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</si>
  <si>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</si>
  <si>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藏真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</si>
  <si>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山区厚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广告工作室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</si>
  <si>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</si>
  <si>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嫁牌酒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</si>
  <si>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</si>
  <si>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</si>
  <si>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河宏斌食品有限公司</t>
    </r>
  </si>
  <si>
    <r>
      <t>果酒; 烈酒;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白干酒（中国白酒）;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日式甜米酒;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</si>
  <si>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秘造 唐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</si>
  <si>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深圳市怡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通深度供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</si>
  <si>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果酒(含酒精); 烈酒; 白酒; 米酒; 黄酒; 蒸煮提取物(利口酒和烈酒);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青稞酒; 葡萄酒</t>
    </r>
  </si>
  <si>
    <t>OTTER CRAFT DISTILLING</t>
  </si>
  <si>
    <r>
      <t>奥特工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有限公司(作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奥特工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蒸</t>
    </r>
    <r>
      <rPr>
        <sz val="11"/>
        <color theme="1"/>
        <rFont val="ＭＳ Ｐゴシック"/>
        <family val="3"/>
        <charset val="134"/>
        <scheme val="minor"/>
      </rPr>
      <t>馏单</t>
    </r>
    <r>
      <rPr>
        <sz val="11"/>
        <color theme="1"/>
        <rFont val="ＭＳ Ｐゴシック"/>
        <family val="3"/>
        <charset val="128"/>
        <scheme val="minor"/>
      </rPr>
      <t>元信托的受托人)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</si>
  <si>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伏特加酒; 杜松子酒; 威士忌</t>
    </r>
  </si>
  <si>
    <t>DONGJIANGJIU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</si>
  <si>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州善牌酒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</si>
  <si>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</si>
  <si>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半天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</si>
  <si>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东兴</t>
    </r>
    <r>
      <rPr>
        <sz val="11"/>
        <color theme="1"/>
        <rFont val="ＭＳ Ｐゴシック"/>
        <family val="3"/>
        <charset val="128"/>
        <scheme val="minor"/>
      </rPr>
      <t>广品牌策划有限公司</t>
    </r>
  </si>
  <si>
    <r>
      <t xml:space="preserve">高粱酒; 果酒; 烈酒; 白酒; 米酒; 葡萄酒; 汽酒;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</si>
  <si>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老根老葡</t>
  </si>
  <si>
    <r>
      <t>上海妥瑞文化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</si>
  <si>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</si>
  <si>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许进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</si>
  <si>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利口酒;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</si>
  <si>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旺源</t>
    </r>
  </si>
  <si>
    <r>
      <t>姚建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</si>
  <si>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露酒;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</si>
  <si>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BRAUNSTEIN</t>
  </si>
  <si>
    <r>
      <t>克厄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</si>
  <si>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朗姆酒; 利口酒; 烈酒; 苦味酒; 佐餐酒</t>
    </r>
  </si>
  <si>
    <r>
      <t>武当永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大典</t>
    </r>
  </si>
  <si>
    <r>
      <t>湖北武当仙尊酒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</si>
  <si>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</si>
  <si>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</si>
  <si>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酒庄民用公司</t>
    </r>
  </si>
  <si>
    <t>年古年</t>
  </si>
  <si>
    <r>
      <t>奇治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</si>
  <si>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州奇治酒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</si>
  <si>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</si>
  <si>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中苹</t>
  </si>
  <si>
    <r>
      <t>河南圣秫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</si>
  <si>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</si>
  <si>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感恩原</t>
  </si>
  <si>
    <r>
      <t>锡</t>
    </r>
    <r>
      <rPr>
        <sz val="11"/>
        <color theme="1"/>
        <rFont val="ＭＳ Ｐゴシック"/>
        <family val="3"/>
        <charset val="128"/>
        <scheme val="minor"/>
      </rPr>
      <t>山区厚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方佳五金厂</t>
    </r>
  </si>
  <si>
    <r>
      <t>茨瓦克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尼古</t>
    </r>
  </si>
  <si>
    <r>
      <t>Z&amp;U酒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</si>
  <si>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</si>
  <si>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焱酒尊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</si>
  <si>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欣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逸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</si>
  <si>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</si>
  <si>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林区小</t>
    </r>
    <r>
      <rPr>
        <sz val="11"/>
        <color theme="1"/>
        <rFont val="ＭＳ Ｐゴシック"/>
        <family val="3"/>
        <charset val="134"/>
        <scheme val="minor"/>
      </rPr>
      <t>凯</t>
    </r>
  </si>
  <si>
    <t>郑凯</t>
  </si>
  <si>
    <r>
      <t>果酒（含酒精）; 开胃酒; 葡萄酒;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</si>
  <si>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哈夫</t>
  </si>
  <si>
    <r>
      <t>历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</si>
  <si>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利口酒; 果酒; 开胃酒; 苦味酒;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</si>
  <si>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克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心有限公司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</si>
  <si>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薄荷酒</t>
    </r>
  </si>
  <si>
    <t>黔聚源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</si>
  <si>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市黔聚源酒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</si>
  <si>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薄荷酒; 米酒</t>
    </r>
  </si>
  <si>
    <t>邳府</t>
  </si>
  <si>
    <r>
      <t>广州市番禺区大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友善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</si>
  <si>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</si>
  <si>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超群</t>
  </si>
  <si>
    <r>
      <t>泉州市洛江区双阳礼霞祥商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</si>
  <si>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</si>
  <si>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t>玉池</t>
  </si>
  <si>
    <r>
      <t xml:space="preserve">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</si>
  <si>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见龙</t>
    </r>
    <r>
      <rPr>
        <sz val="11"/>
        <color theme="1"/>
        <rFont val="ＭＳ Ｐゴシック"/>
        <family val="3"/>
        <charset val="128"/>
        <scheme val="minor"/>
      </rPr>
      <t>在田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</si>
  <si>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</si>
  <si>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</si>
  <si>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t>中韵</t>
  </si>
  <si>
    <r>
      <t>高新区</t>
    </r>
    <r>
      <rPr>
        <sz val="11"/>
        <color theme="1"/>
        <rFont val="ＭＳ Ｐゴシック"/>
        <family val="3"/>
        <charset val="134"/>
        <scheme val="minor"/>
      </rPr>
      <t>枫桥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眼泪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</si>
  <si>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</si>
  <si>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京椹</t>
  </si>
  <si>
    <t>安徽首丰生物科技有限公司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</si>
  <si>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葡萄酒; 青稞酒; 果酒（含酒精）; 薄荷酒;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</si>
  <si>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秀坊</t>
    </r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</si>
  <si>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萃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</si>
  <si>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黄酒; 米酒;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</t>
    </r>
  </si>
  <si>
    <r>
      <t>鮀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</si>
  <si>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新民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</si>
  <si>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</si>
  <si>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牡丹皇后</t>
  </si>
  <si>
    <t>洛阳武后医学科技有限公司</t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</si>
  <si>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开胃酒</t>
    </r>
  </si>
  <si>
    <r>
      <t>中国（福建）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易中心集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</si>
  <si>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葡萄潘趣酒; 麦芽威士忌; 阿蒙蒂拉多白葡萄酒;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白葡萄酒; 葡萄汽酒; 起泡白葡萄酒;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威士忌;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混合威士忌酒;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...</t>
    </r>
  </si>
  <si>
    <t>冰溪 BINSIS</t>
  </si>
  <si>
    <t>湖南冰溪生物科技有限公司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</si>
  <si>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黄酒; 米酒</t>
    </r>
  </si>
  <si>
    <t>美心生活 MX VIBRANT LIFE</t>
  </si>
  <si>
    <t>美心食品有限公司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</si>
  <si>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</si>
  <si>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归酿</t>
    </r>
  </si>
  <si>
    <r>
      <t>北京海洋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</si>
  <si>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</t>
    </r>
  </si>
  <si>
    <t>乾隆状元坊</t>
  </si>
  <si>
    <r>
      <t>成都特安特企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</si>
  <si>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</si>
  <si>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竹芒</t>
  </si>
  <si>
    <t>深圳竹芒科技有限公司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</si>
  <si>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</si>
  <si>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州路酒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</si>
  <si>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米酒; 汽酒</t>
    </r>
  </si>
  <si>
    <t>三富</t>
  </si>
  <si>
    <r>
      <t>廊坊市万隆酒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</si>
  <si>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食用酒精;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</si>
  <si>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小∣兮∣菲</t>
  </si>
  <si>
    <t>湖北蕊露源生物科技有限公司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</si>
  <si>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梅酒;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</si>
  <si>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掬水台</t>
  </si>
  <si>
    <r>
      <t>诸</t>
    </r>
    <r>
      <rPr>
        <sz val="11"/>
        <color theme="1"/>
        <rFont val="ＭＳ Ｐゴシック"/>
        <family val="3"/>
        <charset val="128"/>
        <scheme val="minor"/>
      </rPr>
      <t>城市</t>
    </r>
    <r>
      <rPr>
        <sz val="11"/>
        <color theme="1"/>
        <rFont val="ＭＳ Ｐゴシック"/>
        <family val="3"/>
        <charset val="134"/>
        <scheme val="minor"/>
      </rPr>
      <t>锐华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</si>
  <si>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 xml:space="preserve">黄酒; 葡萄酒; 米酒; 高粱酒; 果酒; 烈性干酒;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</t>
    </r>
  </si>
  <si>
    <t>PEACOCKVINE</t>
  </si>
  <si>
    <r>
      <t>库</t>
    </r>
    <r>
      <rPr>
        <sz val="11"/>
        <color theme="1"/>
        <rFont val="ＭＳ Ｐゴシック"/>
        <family val="3"/>
        <charset val="128"/>
        <scheme val="minor"/>
      </rPr>
      <t>普曼斯克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夫温杰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德私人有限公司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</si>
  <si>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</si>
  <si>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盘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</si>
  <si>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</si>
  <si>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葡萄汽酒;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</si>
  <si>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汉骄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</si>
  <si>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汉骄酱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</si>
  <si>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清酒;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</si>
  <si>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汉骄红</t>
  </si>
  <si>
    <r>
      <t xml:space="preserve">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果酒（含酒精）; 葡萄酒; 白酒</t>
    </r>
  </si>
  <si>
    <r>
      <t>汉骄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</si>
  <si>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 xml:space="preserve">果酒（含酒精）; 清酒;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</si>
  <si>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腾势</t>
  </si>
  <si>
    <r>
      <t>泰州鑫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</si>
  <si>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</si>
  <si>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荣和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</si>
  <si>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荣和酒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</si>
  <si>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白干酒（中国白酒）; 果酒（含酒精）; 白酒</t>
    </r>
  </si>
  <si>
    <t>DONGWEI</t>
  </si>
  <si>
    <r>
      <t>魏</t>
    </r>
    <r>
      <rPr>
        <sz val="11"/>
        <color theme="1"/>
        <rFont val="ＭＳ Ｐゴシック"/>
        <family val="3"/>
        <charset val="134"/>
        <scheme val="minor"/>
      </rPr>
      <t>伟东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</si>
  <si>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杜松子酒</t>
    </r>
  </si>
  <si>
    <t>政品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</si>
  <si>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</si>
  <si>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</si>
  <si>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梦追岳</t>
    </r>
    <r>
      <rPr>
        <sz val="11"/>
        <color theme="1"/>
        <rFont val="ＭＳ Ｐゴシック"/>
        <family val="3"/>
        <charset val="134"/>
        <scheme val="minor"/>
      </rPr>
      <t>飞</t>
    </r>
  </si>
  <si>
    <t>李金花</t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</si>
  <si>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</si>
  <si>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瓦 INNOVA</t>
    </r>
  </si>
  <si>
    <r>
      <t>深圳市众品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</si>
  <si>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</si>
  <si>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裕曲</t>
  </si>
  <si>
    <r>
      <t>太白酒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</si>
  <si>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果酒（含酒精）; 白酒; 青稞酒; 米酒</t>
    </r>
  </si>
  <si>
    <t>刘泉利</t>
  </si>
  <si>
    <r>
      <t>食用酒精; 不起泡葡萄酒;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</si>
  <si>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清花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</si>
  <si>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文武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</si>
  <si>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伏特加酒; 米酒; 朗姆酒; 白酒; 葡萄酒; 果酒（含酒精）</t>
    </r>
  </si>
  <si>
    <t>莞府秘藏</t>
  </si>
  <si>
    <t>袁拱照</t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</si>
  <si>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黄酒; 朗姆酒; 清酒;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</si>
  <si>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离柳</t>
    </r>
    <r>
      <rPr>
        <sz val="11"/>
        <color theme="1"/>
        <rFont val="ＭＳ Ｐゴシック"/>
        <family val="3"/>
        <charset val="134"/>
        <scheme val="minor"/>
      </rPr>
      <t>吕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</si>
  <si>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山西杏花村酒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</si>
  <si>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食用酒精; 黄酒; 高粱酒;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开胃酒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</si>
  <si>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凰下凡</t>
    </r>
    <r>
      <rPr>
        <sz val="11"/>
        <color theme="1"/>
        <rFont val="ＭＳ Ｐゴシック"/>
        <family val="3"/>
        <charset val="134"/>
        <scheme val="minor"/>
      </rPr>
      <t>尘</t>
    </r>
  </si>
  <si>
    <t>广州三易健康科技有限公司</t>
  </si>
  <si>
    <r>
      <t>米酒; 白酒;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高粱酒;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</si>
  <si>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振昌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</si>
  <si>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保定市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</si>
  <si>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黄酒; 开胃酒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</si>
  <si>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</si>
  <si>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红</t>
    </r>
  </si>
  <si>
    <t>米酒; 黄酒; 高粱酒; 白酒; 青梅酒; 露酒; 葡萄酒; 果酒; 清酒; 青稞酒</t>
  </si>
  <si>
    <r>
      <t>史祖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</si>
  <si>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米酒;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</si>
  <si>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BLUTHNER</t>
  </si>
  <si>
    <r>
      <t>德国博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斯勒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琴(中国)有限公司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</si>
  <si>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</si>
  <si>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体彩</t>
  </si>
  <si>
    <r>
      <t>国家体育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局体育彩票管理中心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</si>
  <si>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</si>
  <si>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大学 自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不息厚德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物 TSINGHUA 1911 UNIVERSITY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</si>
  <si>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大学</t>
    </r>
  </si>
  <si>
    <r>
      <t>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</si>
  <si>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</si>
  <si>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安珀生</t>
    </r>
    <r>
      <rPr>
        <sz val="11"/>
        <color theme="1"/>
        <rFont val="ＭＳ Ｐゴシック"/>
        <family val="3"/>
        <charset val="134"/>
        <scheme val="minor"/>
      </rPr>
      <t>产龙</t>
    </r>
    <r>
      <rPr>
        <sz val="11"/>
        <color theme="1"/>
        <rFont val="ＭＳ Ｐゴシック"/>
        <family val="3"/>
        <charset val="128"/>
        <scheme val="minor"/>
      </rPr>
      <t>舌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酒可</t>
    </r>
    <r>
      <rPr>
        <sz val="11"/>
        <color theme="1"/>
        <rFont val="ＭＳ Ｐゴシック"/>
        <family val="3"/>
        <charset val="134"/>
        <scheme val="minor"/>
      </rPr>
      <t>变资</t>
    </r>
    <r>
      <rPr>
        <sz val="11"/>
        <color theme="1"/>
        <rFont val="ＭＳ Ｐゴシック"/>
        <family val="3"/>
        <charset val="128"/>
        <scheme val="minor"/>
      </rPr>
      <t>本股份有限公司</t>
    </r>
  </si>
  <si>
    <r>
      <t>1924-2024 中山大学世</t>
    </r>
    <r>
      <rPr>
        <sz val="11"/>
        <color theme="1"/>
        <rFont val="ＭＳ Ｐゴシック"/>
        <family val="3"/>
        <charset val="134"/>
        <scheme val="minor"/>
      </rPr>
      <t>纪华诞</t>
    </r>
    <r>
      <rPr>
        <sz val="11"/>
        <color theme="1"/>
        <rFont val="ＭＳ Ｐゴシック"/>
        <family val="3"/>
        <charset val="128"/>
        <scheme val="minor"/>
      </rPr>
      <t xml:space="preserve"> 100TH ANNIVERSARY SUN YAT-SEN UNIVERSITY</t>
    </r>
  </si>
  <si>
    <t>中山大学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</si>
  <si>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</t>
    </r>
  </si>
  <si>
    <t>臻品川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</si>
  <si>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</si>
  <si>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青稞酒; 黄酒;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</si>
  <si>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良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高粱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</si>
  <si>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国秀峰酒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</si>
  <si>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露酒</t>
    </r>
  </si>
  <si>
    <r>
      <t>獭</t>
    </r>
    <r>
      <rPr>
        <sz val="11"/>
        <color theme="1"/>
        <rFont val="ＭＳ Ｐゴシック"/>
        <family val="3"/>
        <charset val="128"/>
        <scheme val="minor"/>
      </rPr>
      <t>祭 登</t>
    </r>
    <r>
      <rPr>
        <sz val="11"/>
        <color theme="1"/>
        <rFont val="ＭＳ Ｐゴシック"/>
        <family val="3"/>
        <charset val="134"/>
        <scheme val="minor"/>
      </rPr>
      <t>龙门</t>
    </r>
  </si>
  <si>
    <t>旭酒造株式会社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</si>
  <si>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</si>
  <si>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石宇子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</si>
  <si>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石宇子商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</si>
  <si>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</si>
  <si>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桔子尾翼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</si>
  <si>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苁丛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</si>
  <si>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薄荷酒;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苦味酒; 葡萄酒; 苹果酒; 果酒（含酒精）; 茴芹酒（利口酒）;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</si>
  <si>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云翠</t>
    </r>
    <r>
      <rPr>
        <sz val="11"/>
        <color theme="1"/>
        <rFont val="ＭＳ Ｐゴシック"/>
        <family val="3"/>
        <charset val="134"/>
        <scheme val="minor"/>
      </rPr>
      <t>轩</t>
    </r>
  </si>
  <si>
    <t>上海仁安安健康管理有限公司</t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</si>
  <si>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</si>
  <si>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超比那多</t>
    </r>
  </si>
  <si>
    <r>
      <t>比那多（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州吴中）超市有限公司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</si>
  <si>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</si>
  <si>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士忌梦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</si>
  <si>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州敬梦酒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</si>
  <si>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</si>
  <si>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人吉晟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</si>
  <si>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</si>
  <si>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威士忌; 黄酒; 果酒; 高粱酒; 葡萄酒;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</si>
  <si>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印粮品</t>
    </r>
  </si>
  <si>
    <t>李克全</t>
  </si>
  <si>
    <r>
      <t>高粱酒; 白酒; 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</si>
  <si>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人吉翊</t>
    </r>
  </si>
  <si>
    <r>
      <t xml:space="preserve">葡萄酒; 果酒; 白干酒（中国白酒）; 威士忌; 高粱酒;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</si>
  <si>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福园春</t>
  </si>
  <si>
    <r>
      <t>湖南省大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溪生物科技有限公司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</si>
  <si>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</si>
  <si>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福沅春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</si>
  <si>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</si>
  <si>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花知道</t>
  </si>
  <si>
    <r>
      <t>云南玖香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花生物科技股份有限公司</t>
    </r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</si>
  <si>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</si>
  <si>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来利山</t>
  </si>
  <si>
    <r>
      <t>杨</t>
    </r>
    <r>
      <rPr>
        <sz val="11"/>
        <color theme="1"/>
        <rFont val="ＭＳ Ｐゴシック"/>
        <family val="3"/>
        <charset val="128"/>
        <scheme val="minor"/>
      </rPr>
      <t>秋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</si>
  <si>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青稞酒;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</si>
  <si>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叶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</si>
  <si>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果酒（含酒精）; 开胃酒; 利口酒; 米酒; 白酒</t>
    </r>
  </si>
  <si>
    <t>华伟</t>
  </si>
  <si>
    <r>
      <t>罗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</si>
  <si>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天然汽酒; 白干酒（中国白酒）; 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朗姆潘趣酒;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</si>
  <si>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露酒; 白酒; 白干酒（中国白酒）; 朗姆潘趣酒;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天然汽酒</t>
    </r>
  </si>
  <si>
    <t>圣溪</t>
  </si>
  <si>
    <r>
      <t>徐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</si>
  <si>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</si>
  <si>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太白一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美酒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</si>
  <si>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西省太白酒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</si>
  <si>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蜂蜜酒; 葡萄酒; 白酒</t>
    </r>
  </si>
  <si>
    <r>
      <t>天津天宝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</si>
  <si>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</t>
    </r>
  </si>
  <si>
    <t>LEE KUM KEE</t>
  </si>
  <si>
    <r>
      <t>李</t>
    </r>
    <r>
      <rPr>
        <sz val="11"/>
        <color theme="1"/>
        <rFont val="ＭＳ Ｐゴシック"/>
        <family val="3"/>
        <charset val="134"/>
        <scheme val="minor"/>
      </rPr>
      <t>锦记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</si>
  <si>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汽酒; 葡萄酒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</si>
  <si>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西美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</si>
  <si>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清酒; 白酒;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</si>
  <si>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送君</t>
  </si>
  <si>
    <t>于雷</t>
  </si>
  <si>
    <r>
      <t>食用酒精;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威士忌</t>
    </r>
  </si>
  <si>
    <t>GUICCIARDINI</t>
  </si>
  <si>
    <r>
      <t>北京格林沃德信息科技服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</si>
  <si>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</si>
  <si>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酒</t>
  </si>
  <si>
    <r>
      <t>徐州九石文化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</si>
  <si>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果酒; 食用酒精; 黄酒;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</si>
  <si>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柔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</si>
  <si>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常熟市梅李</t>
    </r>
    <r>
      <rPr>
        <sz val="11"/>
        <color theme="1"/>
        <rFont val="ＭＳ Ｐゴシック"/>
        <family val="3"/>
        <charset val="134"/>
        <scheme val="minor"/>
      </rPr>
      <t>镇枫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绵杂货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</si>
  <si>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</si>
  <si>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BORGA</t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</si>
  <si>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</t>
    </r>
  </si>
  <si>
    <t>吉昌酒坊</t>
  </si>
  <si>
    <r>
      <t>天幕（香港）国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</si>
  <si>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葡萄酒</t>
    </r>
  </si>
  <si>
    <t>李智******************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</si>
  <si>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梅酒; 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</si>
  <si>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吉昌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</si>
  <si>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清酒（日本米酒）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</si>
  <si>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</si>
  <si>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白酒; 烈酒; 威士忌;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</t>
    </r>
  </si>
  <si>
    <r>
      <t xml:space="preserve">烈酒;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威士忌;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</t>
    </r>
  </si>
  <si>
    <t>樽士忌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</si>
  <si>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分子信息有限公司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</si>
  <si>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</si>
  <si>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多派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</si>
  <si>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多派工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</si>
  <si>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白酒; 高粱酒; 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</si>
  <si>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将遇良才</t>
  </si>
  <si>
    <r>
      <t>陈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</si>
  <si>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 xml:space="preserve">威士忌; 开胃酒;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</si>
  <si>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稻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</si>
  <si>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</si>
  <si>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高祖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天宝窖</t>
    </r>
  </si>
  <si>
    <t>刘加波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</si>
  <si>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果酒（含酒精）; 葡萄酒;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</si>
  <si>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粮匠主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</si>
  <si>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伟华</t>
    </r>
  </si>
  <si>
    <r>
      <t xml:space="preserve">黄酒; 烈酒; 朗姆酒;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</si>
  <si>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天宝窖</t>
    </r>
  </si>
  <si>
    <r>
      <t xml:space="preserve">果酒（含酒精）; 米酒; 黄酒;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</si>
  <si>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窖上皇</t>
  </si>
  <si>
    <r>
      <t>深圳市小耳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</si>
  <si>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 xml:space="preserve">高粱酒; 麦芽威士忌;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</si>
  <si>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方粮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</si>
  <si>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宁努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哈赤酒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</si>
  <si>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开胃酒</t>
    </r>
  </si>
  <si>
    <t>父貌</t>
  </si>
  <si>
    <r>
      <t>张</t>
    </r>
    <r>
      <rPr>
        <sz val="11"/>
        <color theme="1"/>
        <rFont val="ＭＳ Ｐゴシック"/>
        <family val="3"/>
        <charset val="128"/>
        <scheme val="minor"/>
      </rPr>
      <t>雪平</t>
    </r>
  </si>
  <si>
    <r>
      <t>米酒;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苹果酒; 葡萄酒</t>
    </r>
  </si>
  <si>
    <r>
      <t xml:space="preserve">GREEN LANTERN 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灯</t>
    </r>
    <r>
      <rPr>
        <sz val="11"/>
        <color theme="1"/>
        <rFont val="ＭＳ Ｐゴシック"/>
        <family val="3"/>
        <charset val="134"/>
        <scheme val="minor"/>
      </rPr>
      <t>笼</t>
    </r>
  </si>
  <si>
    <r>
      <t>北京意无意餐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</si>
  <si>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食用酒精; 清酒; 黄酒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</si>
  <si>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家姐弟</t>
    </r>
  </si>
  <si>
    <r>
      <t>河南省宇源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</si>
  <si>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黄酒; 葡萄酒; 利口酒; 苦味酒;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</si>
  <si>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SAVE S MORESAVE S MORE 省利哆</t>
  </si>
  <si>
    <r>
      <t>省利哆（厦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</si>
  <si>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开胃酒</t>
    </r>
  </si>
  <si>
    <r>
      <t>香草堂</t>
    </r>
    <r>
      <rPr>
        <sz val="11"/>
        <color theme="1"/>
        <rFont val="ＭＳ Ｐゴシック"/>
        <family val="3"/>
        <charset val="134"/>
        <scheme val="minor"/>
      </rPr>
      <t>农场</t>
    </r>
  </si>
  <si>
    <t>北京草根堂文化旅游有限公司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</si>
  <si>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</si>
  <si>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皇沟馥香文旅</t>
  </si>
  <si>
    <r>
      <t>河南皇沟酒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</si>
  <si>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利口酒; 果酒（含酒精）;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</si>
  <si>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水碧天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</si>
  <si>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沈阳子瑞商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</si>
  <si>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</t>
  </si>
  <si>
    <t>皇沟馥香精品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</si>
  <si>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</si>
  <si>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皇沟馥香珍品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</si>
  <si>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</si>
  <si>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皇沟馥香酒文化庄园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</si>
  <si>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</si>
  <si>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彼此</t>
  </si>
  <si>
    <t>朋礼加</t>
  </si>
  <si>
    <r>
      <t xml:space="preserve">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果酒（含酒精）; 烈酒;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</si>
  <si>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福建省三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通信有限公司</t>
    </r>
  </si>
  <si>
    <r>
      <t>葡萄酒; 清酒; 米酒; 黄酒;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</si>
  <si>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馥香小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</si>
  <si>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</t>
    </r>
  </si>
  <si>
    <r>
      <t>首之善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</si>
  <si>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北京首都酒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</si>
  <si>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米酒; 葡萄酒; 餐后酒（利口酒和烈酒）</t>
    </r>
  </si>
  <si>
    <t>同仙洲</t>
  </si>
  <si>
    <r>
      <t>李金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</si>
  <si>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</si>
  <si>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PASSADOURO</t>
  </si>
  <si>
    <r>
      <t>火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庄园葡萄酒股份有限公司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</si>
  <si>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</si>
  <si>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农贡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</si>
  <si>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温州云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</si>
  <si>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果酒; 烈酒;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</si>
  <si>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侯振芳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</si>
  <si>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葡萄酒; 果酒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</si>
  <si>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和台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</si>
  <si>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</si>
  <si>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苹果酒;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</si>
  <si>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磐盛壹品 磐盛1品</t>
  </si>
  <si>
    <r>
      <t>广州市己坤文化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</si>
  <si>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</si>
  <si>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</si>
  <si>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</si>
  <si>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烈酒</t>
    </r>
  </si>
  <si>
    <t>雄豹酒</t>
  </si>
  <si>
    <r>
      <t>洪福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</si>
  <si>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</si>
  <si>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明亮</t>
    </r>
    <r>
      <rPr>
        <sz val="11"/>
        <color theme="1"/>
        <rFont val="ＭＳ Ｐゴシック"/>
        <family val="3"/>
        <charset val="134"/>
        <scheme val="minor"/>
      </rPr>
      <t>晓烧</t>
    </r>
  </si>
  <si>
    <r>
      <t>辛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</si>
  <si>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 xml:space="preserve">果酒;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刺五加酒; 五加皮酒（中国混合烈酒）;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</t>
    </r>
  </si>
  <si>
    <r>
      <t>上海峰泰晟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</si>
  <si>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</si>
  <si>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HU. XUE. YAN. QING. YU. TANG</t>
  </si>
  <si>
    <r>
      <t>张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</si>
  <si>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米酒; 葡萄酒; 利口酒;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黄酒; 伏特加酒; 威士忌</t>
    </r>
  </si>
  <si>
    <r>
      <t>政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</si>
  <si>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微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</si>
  <si>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开胃酒; 葡萄酒; 白酒; 米酒; 食用酒精</t>
    </r>
  </si>
  <si>
    <t>吴卓林</t>
  </si>
  <si>
    <r>
      <t>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高粱酒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</si>
  <si>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滋家（广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</si>
  <si>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食用酒精; 烈酒; 果酒（含酒精）;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白酒</t>
    </r>
  </si>
  <si>
    <t>柴台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</si>
  <si>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州柴台酒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</si>
  <si>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果酒; 葡萄酒;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</si>
  <si>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南堂酒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</si>
  <si>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杭州星推网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</si>
  <si>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朗姆酒;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</si>
  <si>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品悦.开心</t>
  </si>
  <si>
    <r>
      <t>黄新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</si>
  <si>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</si>
  <si>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乳瓷</t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</si>
  <si>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</si>
  <si>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果酒; 露酒; 黄酒; 青稞酒;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</si>
  <si>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</si>
  <si>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葫芦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市明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</si>
  <si>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烈性干酒;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高粱酒; 白酒</t>
    </r>
  </si>
  <si>
    <r>
      <t>一和</t>
    </r>
    <r>
      <rPr>
        <sz val="11"/>
        <color theme="1"/>
        <rFont val="ＭＳ Ｐゴシック"/>
        <family val="3"/>
        <charset val="134"/>
        <scheme val="minor"/>
      </rPr>
      <t>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</si>
  <si>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化市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城区山禾商行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</si>
  <si>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</si>
  <si>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大河安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</si>
  <si>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斯特酒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</si>
  <si>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</si>
  <si>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膳楂玉泉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</si>
  <si>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东乡贤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</si>
  <si>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</si>
  <si>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忆龙</t>
    </r>
    <r>
      <rPr>
        <sz val="11"/>
        <color theme="1"/>
        <rFont val="ＭＳ Ｐゴシック"/>
        <family val="3"/>
        <charset val="128"/>
        <scheme val="minor"/>
      </rPr>
      <t>城</t>
    </r>
  </si>
  <si>
    <t>李吉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</si>
  <si>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</si>
  <si>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游民部落</t>
  </si>
  <si>
    <r>
      <t>我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都要健康管理（上海）有限公司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</si>
  <si>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果酒（含酒精）;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</si>
  <si>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格利姆 GORIMORE</t>
  </si>
  <si>
    <r>
      <t>张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</si>
  <si>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黄酒; 白酒; 开胃酒; 葡萄酒</t>
    </r>
  </si>
  <si>
    <r>
      <t>伊力王英雄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</si>
  <si>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t>文学</t>
  </si>
  <si>
    <r>
      <t>白酒;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</si>
  <si>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</si>
  <si>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流</t>
    </r>
    <r>
      <rPr>
        <sz val="11"/>
        <color theme="1"/>
        <rFont val="ＭＳ Ｐゴシック"/>
        <family val="3"/>
        <charset val="134"/>
        <scheme val="minor"/>
      </rPr>
      <t>动创艺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</si>
  <si>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威士忌; 米酒; 青稞酒; 黄酒; 葡萄酒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</si>
  <si>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</si>
  <si>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>吉林福裕和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</si>
  <si>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</si>
  <si>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海氏海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</si>
  <si>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生物工程有限公司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</si>
  <si>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开胃酒; 汽酒</t>
    </r>
  </si>
  <si>
    <r>
      <t>厚工味道 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</si>
  <si>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厚工坊酒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</si>
  <si>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米酒; 食用酒精;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</si>
  <si>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春野</t>
  </si>
  <si>
    <r>
      <t>谭</t>
    </r>
    <r>
      <rPr>
        <sz val="11"/>
        <color theme="1"/>
        <rFont val="ＭＳ Ｐゴシック"/>
        <family val="3"/>
        <charset val="128"/>
        <scheme val="minor"/>
      </rPr>
      <t>渊</t>
    </r>
  </si>
  <si>
    <r>
      <t>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</si>
  <si>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厚寅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</si>
  <si>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州厚寅酒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</si>
  <si>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蒸煮提取物（利口酒和烈酒）; 果酒; 白酒;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露酒</t>
    </r>
  </si>
  <si>
    <r>
      <t>繁花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叔</t>
    </r>
  </si>
  <si>
    <r>
      <t>泽东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</si>
  <si>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>开胃酒;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</si>
  <si>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麻雀也能</t>
  </si>
  <si>
    <r>
      <t>上海有山文化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</si>
  <si>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开胃酒;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</si>
  <si>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申君台</t>
    </r>
  </si>
  <si>
    <r>
      <t>上海恩照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</si>
  <si>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</t>
    </r>
  </si>
  <si>
    <r>
      <t>南山童</t>
    </r>
    <r>
      <rPr>
        <sz val="11"/>
        <color theme="1"/>
        <rFont val="ＭＳ Ｐゴシック"/>
        <family val="3"/>
        <charset val="134"/>
        <scheme val="minor"/>
      </rPr>
      <t>鹰</t>
    </r>
  </si>
  <si>
    <t>杭州新南山人家酒店有限公司</t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</si>
  <si>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</si>
  <si>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古士忌</t>
  </si>
  <si>
    <r>
      <t>安徽三曹酒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</si>
  <si>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利口酒; 果酒（含酒精）; 威士忌; 伏特加酒; 露酒; 白酒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</si>
  <si>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乐缘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</si>
  <si>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</si>
  <si>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威士忌; 伏特加酒;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</si>
  <si>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西楚霸王</t>
  </si>
  <si>
    <r>
      <t>夏前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</si>
  <si>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青梅酒; 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烈酒;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</si>
  <si>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BOAIHUAISHENTANG</t>
  </si>
  <si>
    <r>
      <t>博</t>
    </r>
    <r>
      <rPr>
        <sz val="11"/>
        <color theme="1"/>
        <rFont val="ＭＳ Ｐゴシック"/>
        <family val="3"/>
        <charset val="134"/>
        <scheme val="minor"/>
      </rPr>
      <t>爱县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参堂种植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</si>
  <si>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</si>
  <si>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羚鹿献寿</t>
  </si>
  <si>
    <r>
      <t>赵</t>
    </r>
    <r>
      <rPr>
        <sz val="11"/>
        <color theme="1"/>
        <rFont val="ＭＳ Ｐゴシック"/>
        <family val="3"/>
        <charset val="128"/>
        <scheme val="minor"/>
      </rPr>
      <t>瑞庭******************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</si>
  <si>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伏特加酒;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</si>
  <si>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沛</t>
    </r>
    <r>
      <rPr>
        <sz val="11"/>
        <color theme="1"/>
        <rFont val="ＭＳ Ｐゴシック"/>
        <family val="3"/>
        <charset val="134"/>
        <scheme val="minor"/>
      </rPr>
      <t>县电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</si>
  <si>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白酒;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</si>
  <si>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果酒; 白葡萄酒</t>
    </r>
  </si>
  <si>
    <t>HEITUDI</t>
  </si>
  <si>
    <r>
      <t>北京尚品世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</si>
  <si>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白干酒（中国白酒）; 果酒; 清酒;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</si>
  <si>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吉家浮子</t>
  </si>
  <si>
    <r>
      <t>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</si>
  <si>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</si>
  <si>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养益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</si>
  <si>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宁君享泰达天然食品有限公司</t>
    </r>
  </si>
  <si>
    <r>
      <t>利口酒; 清酒（日本米酒）;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</t>
    </r>
  </si>
  <si>
    <t>商儒行学</t>
  </si>
  <si>
    <r>
      <t>太原渊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</si>
  <si>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白酒; 青稞酒; 米酒;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</si>
  <si>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羌</t>
    </r>
  </si>
  <si>
    <r>
      <t>阿拉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市融盛国有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</si>
  <si>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白酒</t>
    </r>
  </si>
  <si>
    <r>
      <t>思邈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</si>
  <si>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河北思邈健康文化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</si>
  <si>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</si>
  <si>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果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</si>
  <si>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>温宿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</si>
  <si>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白酒</t>
    </r>
  </si>
  <si>
    <r>
      <t>蓉城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官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</si>
  <si>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正群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</si>
  <si>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</si>
  <si>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房梦</t>
    </r>
    <r>
      <rPr>
        <sz val="11"/>
        <color theme="1"/>
        <rFont val="ＭＳ Ｐゴシック"/>
        <family val="3"/>
        <charset val="134"/>
        <scheme val="minor"/>
      </rPr>
      <t>记</t>
    </r>
  </si>
  <si>
    <t>刘小珊</t>
  </si>
  <si>
    <r>
      <t>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</si>
  <si>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村恒昌</t>
    </r>
  </si>
  <si>
    <t>廖恒昌</t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</si>
  <si>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青稞酒</t>
    </r>
  </si>
  <si>
    <r>
      <t>春阳</t>
    </r>
    <r>
      <rPr>
        <sz val="11"/>
        <color theme="1"/>
        <rFont val="ＭＳ Ｐゴシック"/>
        <family val="3"/>
        <charset val="134"/>
        <scheme val="minor"/>
      </rPr>
      <t>岗贡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</si>
  <si>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州春阳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</si>
  <si>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</t>
    </r>
  </si>
  <si>
    <t>善地天佑</t>
  </si>
  <si>
    <r>
      <t>康定市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畜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</si>
  <si>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米酒;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</si>
  <si>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FIBBER MCGEE</t>
  </si>
  <si>
    <r>
      <t>富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</si>
  <si>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</si>
  <si>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</t>
    </r>
  </si>
  <si>
    <t>王尚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</si>
  <si>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威士忌</t>
    </r>
  </si>
  <si>
    <t>CHIH CH'ING HO</t>
  </si>
  <si>
    <r>
      <t>安徽致清和酒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</si>
  <si>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白酒;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</si>
  <si>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禾上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</si>
  <si>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新疆康瑞欣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</si>
  <si>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烈酒; 黄酒</t>
    </r>
  </si>
  <si>
    <r>
      <t>和美同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</si>
  <si>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州冠之国酒文化有限公司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</si>
  <si>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</si>
  <si>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弗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大羊 OAIE MARE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</si>
  <si>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</si>
  <si>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</si>
  <si>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枝叶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</si>
  <si>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北京枝叶科技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</si>
  <si>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清酒（日本米酒）;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</si>
  <si>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亍西人</t>
  </si>
  <si>
    <t>蒙玉彬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</si>
  <si>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清酒（日本米酒）;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</si>
  <si>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绥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</si>
  <si>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</si>
  <si>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白干酒（中国白酒）; 果酒</t>
    </r>
  </si>
  <si>
    <t>小丑猪</t>
  </si>
  <si>
    <r>
      <t>北京中酒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</si>
  <si>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餐后酒（利口酒和烈酒）</t>
    </r>
  </si>
  <si>
    <t>津酒</t>
  </si>
  <si>
    <r>
      <t>天津津酒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</si>
  <si>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</si>
  <si>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二勒子</t>
  </si>
  <si>
    <r>
      <t>林</t>
    </r>
    <r>
      <rPr>
        <sz val="11"/>
        <color theme="1"/>
        <rFont val="ＭＳ Ｐゴシック"/>
        <family val="3"/>
        <charset val="134"/>
        <scheme val="minor"/>
      </rPr>
      <t>锦华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</si>
  <si>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食用酒精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</si>
  <si>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珍品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</si>
  <si>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酒源酒厂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</si>
  <si>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</si>
  <si>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精品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</si>
  <si>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</si>
  <si>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门记忆</t>
    </r>
    <r>
      <rPr>
        <sz val="11"/>
        <color theme="1"/>
        <rFont val="ＭＳ Ｐゴシック"/>
        <family val="3"/>
        <charset val="128"/>
        <scheme val="minor"/>
      </rPr>
      <t>酒</t>
    </r>
  </si>
  <si>
    <t>王德芳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</si>
  <si>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日本梅子酒; 蒸煮提取物（利口酒和烈酒）; 白酒; 高粱酒; 清酒（日本米酒）;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果酒（含酒精）</t>
    </r>
  </si>
  <si>
    <t>百克雅喜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</si>
  <si>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市福九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</si>
  <si>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</si>
  <si>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本定坤越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</si>
  <si>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川流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</si>
  <si>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果酒（含酒精）;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</si>
  <si>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坤山液</t>
  </si>
  <si>
    <r>
      <t>坤山酒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</si>
  <si>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</si>
  <si>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轼</t>
    </r>
    <r>
      <rPr>
        <sz val="11"/>
        <color theme="1"/>
        <rFont val="ＭＳ Ｐゴシック"/>
        <family val="3"/>
        <charset val="128"/>
        <scheme val="minor"/>
      </rPr>
      <t>蜜九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</si>
  <si>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</si>
  <si>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</si>
  <si>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</si>
  <si>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t>KUMEMURA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</si>
  <si>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岩百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</si>
  <si>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苦味酒; 苹果酒; 伏特加酒; 杜松子酒;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朗姆酒; 柑香酒</t>
    </r>
  </si>
  <si>
    <r>
      <t>天湖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</si>
  <si>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涂</t>
    </r>
    <r>
      <rPr>
        <sz val="11"/>
        <color theme="1"/>
        <rFont val="ＭＳ Ｐゴシック"/>
        <family val="3"/>
        <charset val="134"/>
        <scheme val="minor"/>
      </rPr>
      <t>进华</t>
    </r>
  </si>
  <si>
    <r>
      <t>开胃酒;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</si>
  <si>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务贤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</si>
  <si>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</si>
  <si>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黄酒; 食用酒精;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</si>
  <si>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芽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</si>
  <si>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海霞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</si>
  <si>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汽酒; 食用酒精; 米酒; 黄酒</t>
    </r>
  </si>
  <si>
    <t>YLHS</t>
  </si>
  <si>
    <r>
      <t>深圳壹</t>
    </r>
    <r>
      <rPr>
        <sz val="11"/>
        <color theme="1"/>
        <rFont val="ＭＳ Ｐゴシック"/>
        <family val="3"/>
        <charset val="134"/>
        <scheme val="minor"/>
      </rPr>
      <t>榄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</si>
  <si>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</si>
  <si>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津酒 </t>
    </r>
    <r>
      <rPr>
        <sz val="11"/>
        <color theme="1"/>
        <rFont val="ＭＳ Ｐゴシック"/>
        <family val="3"/>
        <charset val="134"/>
        <scheme val="minor"/>
      </rPr>
      <t>阖</t>
    </r>
    <r>
      <rPr>
        <sz val="11"/>
        <color theme="1"/>
        <rFont val="ＭＳ Ｐゴシック"/>
        <family val="3"/>
        <charset val="128"/>
        <scheme val="minor"/>
      </rPr>
      <t>之礼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</si>
  <si>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珍品</t>
    </r>
  </si>
  <si>
    <t>晋酒之道</t>
  </si>
  <si>
    <r>
      <t>赵</t>
    </r>
    <r>
      <rPr>
        <sz val="11"/>
        <color theme="1"/>
        <rFont val="ＭＳ Ｐゴシック"/>
        <family val="3"/>
        <charset val="128"/>
        <scheme val="minor"/>
      </rPr>
      <t>文清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</si>
  <si>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</si>
  <si>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有常居</t>
  </si>
  <si>
    <t>杭州陶宛堂健康科技有限公司</t>
  </si>
  <si>
    <r>
      <t>米酒;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食用酒精</t>
    </r>
  </si>
  <si>
    <r>
      <t>汾阳市汾檀坊酒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</si>
  <si>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黄酒</t>
    </r>
  </si>
  <si>
    <r>
      <t>成裕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 精品</t>
    </r>
  </si>
  <si>
    <t>大同盛世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</si>
  <si>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九兵酒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</si>
  <si>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</si>
  <si>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</si>
  <si>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潞城市</t>
    </r>
    <r>
      <rPr>
        <sz val="11"/>
        <color theme="1"/>
        <rFont val="ＭＳ Ｐゴシック"/>
        <family val="3"/>
        <charset val="134"/>
        <scheme val="minor"/>
      </rPr>
      <t>亚红</t>
    </r>
    <r>
      <rPr>
        <sz val="11"/>
        <color theme="1"/>
        <rFont val="ＭＳ Ｐゴシック"/>
        <family val="3"/>
        <charset val="128"/>
        <scheme val="minor"/>
      </rPr>
      <t>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</si>
  <si>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</si>
  <si>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t>液坤山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</si>
  <si>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米酒</t>
    </r>
  </si>
  <si>
    <r>
      <t>开基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</si>
  <si>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</t>
    </r>
    <r>
      <rPr>
        <sz val="11"/>
        <color theme="1"/>
        <rFont val="ＭＳ Ｐゴシック"/>
        <family val="3"/>
        <charset val="134"/>
        <scheme val="minor"/>
      </rPr>
      <t>毕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</si>
  <si>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果酒;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</si>
  <si>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天麦浪</t>
    </r>
  </si>
  <si>
    <r>
      <t>福州市九尚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</si>
  <si>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</si>
  <si>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ONEOES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</si>
  <si>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儿女孝酒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</si>
  <si>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</si>
  <si>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CHATEAU ORMAND</t>
  </si>
  <si>
    <t>浙江久加久科技股份有限公司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</si>
  <si>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</t>
    </r>
  </si>
  <si>
    <t>JILE</t>
  </si>
  <si>
    <r>
      <t>广州鼎弘穗心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</si>
  <si>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汽酒;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</t>
    </r>
  </si>
  <si>
    <t>蝶渡</t>
  </si>
  <si>
    <r>
      <t>谢</t>
    </r>
    <r>
      <rPr>
        <sz val="11"/>
        <color theme="1"/>
        <rFont val="ＭＳ Ｐゴシック"/>
        <family val="3"/>
        <charset val="128"/>
        <scheme val="minor"/>
      </rPr>
      <t>冲浪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</si>
  <si>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</si>
  <si>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五两</t>
    </r>
    <r>
      <rPr>
        <sz val="11"/>
        <color theme="1"/>
        <rFont val="ＭＳ Ｐゴシック"/>
        <family val="3"/>
        <charset val="134"/>
        <scheme val="minor"/>
      </rPr>
      <t>爷爷</t>
    </r>
  </si>
  <si>
    <t>周丹丹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</si>
  <si>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</si>
  <si>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士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觥</t>
    </r>
    <r>
      <rPr>
        <sz val="11"/>
        <color theme="1"/>
        <rFont val="ＭＳ Ｐゴシック"/>
        <family val="3"/>
        <charset val="134"/>
        <scheme val="minor"/>
      </rPr>
      <t>觞</t>
    </r>
  </si>
  <si>
    <t>周土生</t>
  </si>
  <si>
    <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</si>
  <si>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五两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</si>
  <si>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</si>
  <si>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</si>
  <si>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学平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</si>
  <si>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</si>
  <si>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桶 DRAGON-SNAKE CASK</t>
    </r>
  </si>
  <si>
    <r>
      <t>耀莱两点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尚（北京）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</si>
  <si>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朗姆酒;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</si>
  <si>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大地之北</t>
  </si>
  <si>
    <t>王文涛</t>
  </si>
  <si>
    <r>
      <t>果酒（含酒精）;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</t>
    </r>
  </si>
  <si>
    <t>麻埠</t>
  </si>
  <si>
    <r>
      <t>安徽岳王茶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</si>
  <si>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黄酒; 食用酒精;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</si>
  <si>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堑馀</t>
    </r>
    <r>
      <rPr>
        <sz val="11"/>
        <color theme="1"/>
        <rFont val="ＭＳ Ｐゴシック"/>
        <family val="3"/>
        <charset val="128"/>
        <scheme val="minor"/>
      </rPr>
      <t>甘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</si>
  <si>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昌宁</t>
    </r>
    <r>
      <rPr>
        <sz val="11"/>
        <color theme="1"/>
        <rFont val="ＭＳ Ｐゴシック"/>
        <family val="3"/>
        <charset val="134"/>
        <scheme val="minor"/>
      </rPr>
      <t>县红</t>
    </r>
    <r>
      <rPr>
        <sz val="11"/>
        <color theme="1"/>
        <rFont val="ＭＳ Ｐゴシック"/>
        <family val="3"/>
        <charset val="128"/>
        <scheme val="minor"/>
      </rPr>
      <t>杉科技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</si>
  <si>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葡萄酒; 汽酒; 甘蔗制烈酒;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果酒; 甜酒; 甜果酒</t>
    </r>
  </si>
  <si>
    <t>酒吾曰</t>
  </si>
  <si>
    <r>
      <t>华</t>
    </r>
    <r>
      <rPr>
        <sz val="11"/>
        <color theme="1"/>
        <rFont val="ＭＳ Ｐゴシック"/>
        <family val="3"/>
        <charset val="128"/>
        <scheme val="minor"/>
      </rPr>
      <t>昱盛京天下（北京）酒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</si>
  <si>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薄荷酒;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白酒</t>
    </r>
  </si>
  <si>
    <t>广溢淳</t>
  </si>
  <si>
    <r>
      <t>方光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</si>
  <si>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</si>
  <si>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能一品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</si>
  <si>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跳</t>
    </r>
  </si>
  <si>
    <r>
      <t xml:space="preserve">高粱酒; 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白干酒（中国白酒）</t>
    </r>
  </si>
  <si>
    <t>房雅香</t>
  </si>
  <si>
    <r>
      <t>卢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</si>
  <si>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</si>
  <si>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曲帝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</si>
  <si>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西藏新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都臻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</si>
  <si>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清酒（日本米酒）; 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</si>
  <si>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皇家一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</si>
  <si>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</si>
  <si>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白干酒（中国白酒）; 黄酒</t>
    </r>
  </si>
  <si>
    <t>双利</t>
  </si>
  <si>
    <t>朱浩</t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</si>
  <si>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</si>
  <si>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</si>
  <si>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易之康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</si>
  <si>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</si>
  <si>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京模京范儿</t>
  </si>
  <si>
    <r>
      <t>北京仁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</si>
  <si>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朗姆酒;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</si>
  <si>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茗丰谷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</si>
  <si>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柳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</si>
  <si>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梅酒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</si>
  <si>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曲</t>
    </r>
    <r>
      <rPr>
        <sz val="11"/>
        <color theme="1"/>
        <rFont val="ＭＳ Ｐゴシック"/>
        <family val="3"/>
        <charset val="134"/>
        <scheme val="minor"/>
      </rPr>
      <t>诗问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</si>
  <si>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伏特加酒</t>
    </r>
  </si>
  <si>
    <r>
      <t>淄主</t>
    </r>
    <r>
      <rPr>
        <sz val="11"/>
        <color theme="1"/>
        <rFont val="ＭＳ Ｐゴシック"/>
        <family val="3"/>
        <charset val="134"/>
        <scheme val="minor"/>
      </rPr>
      <t>张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</si>
  <si>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振波*****************X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</si>
  <si>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</si>
  <si>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瑶寨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</si>
  <si>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伍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</si>
  <si>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葡萄酒; 米酒;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</si>
  <si>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曲灵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</si>
  <si>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清酒（日本米酒）; 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</si>
  <si>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毓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</si>
  <si>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</si>
  <si>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</si>
  <si>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皇冽</t>
  </si>
  <si>
    <r>
      <t>广州五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</si>
  <si>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</si>
  <si>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宝奢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</si>
  <si>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翔醉酒品牌管理有限公司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</si>
  <si>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</si>
  <si>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小阿嬢手作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</si>
  <si>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</si>
  <si>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米酒; 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</si>
  <si>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俏小梅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</si>
  <si>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州市桂品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</si>
  <si>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青梅酒</t>
  </si>
  <si>
    <t>晋香侯</t>
  </si>
  <si>
    <t>吴小平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</si>
  <si>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葡萄酒; 白干酒（中国白酒）;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</si>
  <si>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中砭堂</t>
  </si>
  <si>
    <r>
      <t>鹊</t>
    </r>
    <r>
      <rPr>
        <sz val="11"/>
        <color theme="1"/>
        <rFont val="ＭＳ Ｐゴシック"/>
        <family val="3"/>
        <charset val="128"/>
        <scheme val="minor"/>
      </rPr>
      <t>霏砭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（淄博）健康科技有限公司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</si>
  <si>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</si>
  <si>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取窖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</si>
  <si>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胤</t>
    </r>
    <r>
      <rPr>
        <sz val="11"/>
        <color theme="1"/>
        <rFont val="ＭＳ Ｐゴシック"/>
        <family val="3"/>
        <charset val="134"/>
        <scheme val="minor"/>
      </rPr>
      <t>镭</t>
    </r>
  </si>
  <si>
    <r>
      <t xml:space="preserve">果酒;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</si>
  <si>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品味大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晏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</si>
  <si>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</si>
  <si>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开胃酒; 白酒</t>
    </r>
  </si>
  <si>
    <t>桂小梅</t>
  </si>
  <si>
    <t>谷德兔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</si>
  <si>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欣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</si>
  <si>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伏特加酒; 含酒精的气泡水;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</si>
  <si>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菠菠莓莓</t>
  </si>
  <si>
    <t>李和林</t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</si>
  <si>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蜂蜜酒</t>
    </r>
  </si>
  <si>
    <t>芝已</t>
  </si>
  <si>
    <r>
      <t>南京众邦酒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</si>
  <si>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</si>
  <si>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清花</t>
    </r>
    <r>
      <rPr>
        <sz val="11"/>
        <color theme="1"/>
        <rFont val="ＭＳ Ｐゴシック"/>
        <family val="3"/>
        <charset val="134"/>
        <scheme val="minor"/>
      </rPr>
      <t>冯</t>
    </r>
  </si>
  <si>
    <t>山西青花魂酒厂股份有限公司</t>
  </si>
  <si>
    <r>
      <t xml:space="preserve">蒸煮提取物（利口酒和烈酒）;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开胃酒</t>
    </r>
  </si>
  <si>
    <r>
      <t>贶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</si>
  <si>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本有限公司</t>
    </r>
  </si>
  <si>
    <r>
      <t>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黄酒</t>
    </r>
  </si>
  <si>
    <r>
      <t>寄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</si>
  <si>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州世樽台酒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</si>
  <si>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</si>
  <si>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尕</t>
    </r>
    <r>
      <rPr>
        <sz val="11"/>
        <color theme="1"/>
        <rFont val="ＭＳ Ｐゴシック"/>
        <family val="3"/>
        <charset val="134"/>
        <scheme val="minor"/>
      </rPr>
      <t>倴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</si>
  <si>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</si>
  <si>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</si>
  <si>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</si>
  <si>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市泰源酒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</si>
  <si>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蒸煮提取物（利口酒和烈酒）; 白酒; 白干酒（中国白酒）; 黄酒</t>
    </r>
  </si>
  <si>
    <r>
      <t>魔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</si>
  <si>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三河市恒信同和商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</si>
  <si>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</si>
  <si>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吉泉</t>
    </r>
    <r>
      <rPr>
        <sz val="11"/>
        <color theme="1"/>
        <rFont val="ＭＳ Ｐゴシック"/>
        <family val="3"/>
        <charset val="134"/>
        <scheme val="minor"/>
      </rPr>
      <t>诲马贡</t>
    </r>
  </si>
  <si>
    <r>
      <t>湛江市坡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区万宝酒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</si>
  <si>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</si>
  <si>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北山河</t>
    </r>
    <r>
      <rPr>
        <sz val="11"/>
        <color theme="1"/>
        <rFont val="ＭＳ Ｐゴシック"/>
        <family val="3"/>
        <charset val="134"/>
        <scheme val="minor"/>
      </rPr>
      <t>宾</t>
    </r>
  </si>
  <si>
    <t>徐正永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</si>
  <si>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黄酒; 果酒（含酒精）; 开胃酒;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</si>
  <si>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冬天里的一把火 A FIRE IN WINTER</t>
  </si>
  <si>
    <r>
      <t>深圳市智</t>
    </r>
    <r>
      <rPr>
        <sz val="11"/>
        <color theme="1"/>
        <rFont val="ＭＳ Ｐゴシック"/>
        <family val="3"/>
        <charset val="134"/>
        <scheme val="minor"/>
      </rPr>
      <t>艺润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</si>
  <si>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开胃酒;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</si>
  <si>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</si>
  <si>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芳萍</t>
    </r>
  </si>
  <si>
    <r>
      <t xml:space="preserve">米酒; 果酒（含酒精）; 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</si>
  <si>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STEFANO VLONE</t>
  </si>
  <si>
    <r>
      <t>南昌</t>
    </r>
    <r>
      <rPr>
        <sz val="11"/>
        <color theme="1"/>
        <rFont val="ＭＳ Ｐゴシック"/>
        <family val="3"/>
        <charset val="134"/>
        <scheme val="minor"/>
      </rPr>
      <t>骅</t>
    </r>
    <r>
      <rPr>
        <sz val="11"/>
        <color theme="1"/>
        <rFont val="ＭＳ Ｐゴシック"/>
        <family val="3"/>
        <charset val="128"/>
        <scheme val="minor"/>
      </rPr>
      <t>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</si>
  <si>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</si>
  <si>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莱蓼</t>
    </r>
  </si>
  <si>
    <t>王姚（******************）</t>
  </si>
  <si>
    <r>
      <t>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</t>
    </r>
  </si>
  <si>
    <t>CABECA DE TOIRO</t>
  </si>
  <si>
    <r>
      <t>诺</t>
    </r>
    <r>
      <rPr>
        <sz val="11"/>
        <color theme="1"/>
        <rFont val="ＭＳ Ｐゴシック"/>
        <family val="3"/>
        <charset val="128"/>
        <scheme val="minor"/>
      </rPr>
      <t>波特工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化生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</si>
  <si>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</si>
  <si>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QUINTA DO BOICAO</t>
  </si>
  <si>
    <r>
      <t>遇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</si>
  <si>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遇</t>
    </r>
    <r>
      <rPr>
        <sz val="11"/>
        <color theme="1"/>
        <rFont val="ＭＳ Ｐゴシック"/>
        <family val="3"/>
        <charset val="134"/>
        <scheme val="minor"/>
      </rPr>
      <t>远环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</si>
  <si>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</si>
  <si>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乌兰</t>
    </r>
    <r>
      <rPr>
        <sz val="11"/>
        <color theme="1"/>
        <rFont val="ＭＳ Ｐゴシック"/>
        <family val="3"/>
        <charset val="128"/>
        <scheme val="minor"/>
      </rPr>
      <t>察布市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林乳制品有限公司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</si>
  <si>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奶油利口酒; 食用酒精;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</si>
  <si>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㵘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</si>
  <si>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</si>
  <si>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</si>
  <si>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利大雅 酒</t>
    </r>
  </si>
  <si>
    <r>
      <t>武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</si>
  <si>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高粱酒;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青稞酒</t>
    </r>
  </si>
  <si>
    <t>GLENDRONACH CASK OF CHARACTER</t>
  </si>
  <si>
    <r>
      <t>班瑞克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</si>
  <si>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</si>
  <si>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遵豪福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</si>
  <si>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州豪天酒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</si>
  <si>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米酒</t>
    </r>
  </si>
  <si>
    <t>DEL PEDREGAL</t>
  </si>
  <si>
    <r>
      <t>佩德雷加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葡萄园股份公司</t>
    </r>
  </si>
  <si>
    <t>葡萄酒; 汽酒</t>
  </si>
  <si>
    <t>RAISE EXPECTATIONS</t>
  </si>
  <si>
    <r>
      <t>烈酒;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</si>
  <si>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毛</t>
    </r>
    <r>
      <rPr>
        <sz val="11"/>
        <color theme="1"/>
        <rFont val="ＭＳ Ｐゴシック"/>
        <family val="3"/>
        <charset val="129"/>
        <scheme val="minor"/>
      </rPr>
      <t>滘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</si>
  <si>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桂静</t>
    </r>
  </si>
  <si>
    <r>
      <t>烈酒; 白酒; 果酒（含酒精）; 黄酒; 葡萄酒;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</si>
  <si>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）昌黎葡萄酒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</si>
  <si>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薄荷酒;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</si>
  <si>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远澜</t>
    </r>
    <r>
      <rPr>
        <sz val="11"/>
        <color theme="1"/>
        <rFont val="ＭＳ Ｐゴシック"/>
        <family val="3"/>
        <charset val="128"/>
        <scheme val="minor"/>
      </rPr>
      <t>印象</t>
    </r>
  </si>
  <si>
    <r>
      <t>佛山市瞻睿健博商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</si>
  <si>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</si>
  <si>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合一岐黄范儿生活</t>
  </si>
  <si>
    <r>
      <t>陈庆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</si>
  <si>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</si>
  <si>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t>暴妃</t>
  </si>
  <si>
    <r>
      <t>灌云暴妃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</si>
  <si>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</si>
  <si>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仨兔仨耳</t>
  </si>
  <si>
    <t>湖南礼灵数字科技有限公司</t>
  </si>
  <si>
    <r>
      <t>开胃酒; 米酒; 黄酒; 果酒（含酒精）; 葡萄酒; 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</si>
  <si>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拔达岭</t>
  </si>
  <si>
    <t>曾天有</t>
  </si>
  <si>
    <r>
      <t xml:space="preserve">苦味酒;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青稞酒</t>
    </r>
  </si>
  <si>
    <t>柏莱洛夫</t>
  </si>
  <si>
    <r>
      <t>柏林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酒有限两合公司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</si>
  <si>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</si>
  <si>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仙女山</t>
  </si>
  <si>
    <r>
      <t>四川八百寿酒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</si>
  <si>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甜酒</t>
    </r>
  </si>
  <si>
    <t>MULINSEN</t>
  </si>
  <si>
    <r>
      <t>木林森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品（山西）有限公司</t>
    </r>
  </si>
  <si>
    <r>
      <t>白酒; 高粱酒; 果酒; 果酒（含酒精）; 黄酒;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</si>
  <si>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勒曼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</si>
  <si>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光荣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</si>
  <si>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</si>
  <si>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爵泓</t>
    </r>
    <r>
      <rPr>
        <sz val="11"/>
        <color theme="1"/>
        <rFont val="ＭＳ Ｐゴシック"/>
        <family val="3"/>
        <charset val="134"/>
        <scheme val="minor"/>
      </rPr>
      <t>凯图</t>
    </r>
  </si>
  <si>
    <r>
      <t>深圳市弘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</si>
  <si>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果酒;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</si>
  <si>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勃达岭</t>
  </si>
  <si>
    <r>
      <t>果酒（含酒精）; 苦味酒; 威士忌; 米酒;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食用酒精;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</si>
  <si>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雨美之星</t>
  </si>
  <si>
    <r>
      <t>姚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</si>
  <si>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白干酒（中国白酒）;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</si>
  <si>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叶儿青</t>
  </si>
  <si>
    <r>
      <t>钱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</si>
  <si>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果酒（含酒精）; 果酒; 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甜果酒; 日本梅子酒;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白酒; 清酒</t>
    </r>
  </si>
  <si>
    <r>
      <t xml:space="preserve">KAIMUSI 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姆斯酒庄</t>
    </r>
  </si>
  <si>
    <t>高天奇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</si>
  <si>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黄酒; 食用酒精;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开胃酒</t>
    </r>
  </si>
  <si>
    <t>老屯江</t>
  </si>
  <si>
    <r>
      <t>李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</si>
  <si>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清酒（日本米酒）;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</si>
  <si>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别</t>
    </r>
    <r>
      <rPr>
        <sz val="11"/>
        <color theme="1"/>
        <rFont val="ＭＳ Ｐゴシック"/>
        <family val="3"/>
        <charset val="128"/>
        <scheme val="minor"/>
      </rPr>
      <t>迭里河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</si>
  <si>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龙马</t>
    </r>
  </si>
  <si>
    <t>崔洪梅</t>
  </si>
  <si>
    <r>
      <t>果酒（含酒精）; 白酒; 葡萄酒; 米酒; 清酒; 威士忌;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</si>
  <si>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ICE BY FRONTERA</t>
  </si>
  <si>
    <r>
      <t>维纳</t>
    </r>
    <r>
      <rPr>
        <sz val="11"/>
        <color theme="1"/>
        <rFont val="ＭＳ Ｐゴシック"/>
        <family val="3"/>
        <charset val="128"/>
        <scheme val="minor"/>
      </rPr>
      <t>康佳阿拖拉公司</t>
    </r>
  </si>
  <si>
    <r>
      <t xml:space="preserve">葡萄酒; 汽酒; 果味葡萄酒;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起泡葡萄酒</t>
    </r>
  </si>
  <si>
    <t>解迷津</t>
  </si>
  <si>
    <r>
      <t>李美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</si>
  <si>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青稞酒;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米酒</t>
    </r>
  </si>
  <si>
    <t>柰知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</si>
  <si>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</si>
  <si>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</si>
  <si>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惠泉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</si>
  <si>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翠娥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</si>
  <si>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蒸煮提取物（利口酒和烈酒）; 米酒; 白干酒（中国白酒）; 食用酒精</t>
    </r>
  </si>
  <si>
    <t>彭祖八百寿</t>
  </si>
  <si>
    <t>四川星燚品牌管理有限公司</t>
  </si>
  <si>
    <r>
      <t>华</t>
    </r>
    <r>
      <rPr>
        <sz val="11"/>
        <color theme="1"/>
        <rFont val="ＭＳ Ｐゴシック"/>
        <family val="3"/>
        <charset val="128"/>
        <scheme val="minor"/>
      </rPr>
      <t>酌粮都</t>
    </r>
  </si>
  <si>
    <r>
      <t>李春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</si>
  <si>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白干酒（中国白酒）; 朗姆酒;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</t>
    </r>
  </si>
  <si>
    <t>SE</t>
  </si>
  <si>
    <r>
      <t>广西上林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广洋酒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</si>
  <si>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果酒</t>
    </r>
  </si>
  <si>
    <r>
      <t>徐州市吉雅德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</si>
  <si>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蜂蜜酒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</si>
  <si>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菲妮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 xml:space="preserve"> APHRONIR</t>
    </r>
  </si>
  <si>
    <r>
      <t>缔锦</t>
    </r>
    <r>
      <rPr>
        <sz val="11"/>
        <color theme="1"/>
        <rFont val="ＭＳ Ｐゴシック"/>
        <family val="3"/>
        <charset val="128"/>
        <scheme val="minor"/>
      </rPr>
      <t>科技（宁波）有限公司</t>
    </r>
  </si>
  <si>
    <r>
      <t>果酒（含酒精）; 黄酒;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清酒</t>
    </r>
  </si>
  <si>
    <r>
      <t>茯苑茶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</si>
  <si>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西安茯云山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</si>
  <si>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</si>
  <si>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黄酒; 威士忌;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</si>
  <si>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奔海</t>
  </si>
  <si>
    <r>
      <t>杨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</si>
  <si>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</si>
  <si>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施慕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</si>
  <si>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保定市</t>
    </r>
    <r>
      <rPr>
        <sz val="11"/>
        <color theme="1"/>
        <rFont val="ＭＳ Ｐゴシック"/>
        <family val="3"/>
        <charset val="134"/>
        <scheme val="minor"/>
      </rPr>
      <t>鸿远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</si>
  <si>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餐后酒（利口酒和烈酒）;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</si>
  <si>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冰果今</t>
    </r>
    <r>
      <rPr>
        <sz val="11"/>
        <color theme="1"/>
        <rFont val="ＭＳ Ｐゴシック"/>
        <family val="3"/>
        <charset val="134"/>
        <scheme val="minor"/>
      </rPr>
      <t>时</t>
    </r>
  </si>
  <si>
    <t>周朋波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</si>
  <si>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朗姆酒; 果酒（含酒精）; 食用酒精</t>
    </r>
  </si>
  <si>
    <t>三悟泉</t>
  </si>
  <si>
    <t>高天宝</t>
  </si>
  <si>
    <r>
      <t>黄酒; 食用酒精;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蒸煮提取物（利口酒和烈酒）; 果酒（含酒精）</t>
    </r>
  </si>
  <si>
    <t>TA02</t>
  </si>
  <si>
    <r>
      <t>刘</t>
    </r>
    <r>
      <rPr>
        <sz val="11"/>
        <color theme="1"/>
        <rFont val="ＭＳ Ｐゴシック"/>
        <family val="3"/>
        <charset val="134"/>
        <scheme val="minor"/>
      </rPr>
      <t>远发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</si>
  <si>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</si>
  <si>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乎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</si>
  <si>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黄王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</si>
  <si>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蒸煮提取物（利口酒和烈酒）; 米酒; 白干酒（中国白酒）;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</t>
    </r>
  </si>
  <si>
    <t>天极雅</t>
  </si>
  <si>
    <r>
      <t>江阴市荣嘉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</si>
  <si>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</si>
  <si>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t>一桌人德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</si>
  <si>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乾宇商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</si>
  <si>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</si>
  <si>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枝春酒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</si>
  <si>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</si>
  <si>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哀牢山</t>
  </si>
  <si>
    <t>李学平</t>
  </si>
  <si>
    <r>
      <t>果酒;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五加皮酒（中国混合烈酒）; 高粱酒</t>
    </r>
  </si>
  <si>
    <t>金粱天下</t>
  </si>
  <si>
    <r>
      <t>张</t>
    </r>
    <r>
      <rPr>
        <sz val="11"/>
        <color theme="1"/>
        <rFont val="ＭＳ Ｐゴシック"/>
        <family val="3"/>
        <charset val="128"/>
        <scheme val="minor"/>
      </rPr>
      <t>璐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</si>
  <si>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</si>
  <si>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凰盛</t>
  </si>
  <si>
    <r>
      <t>杜良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</si>
  <si>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果酒; 黄酒; 白酒; 米酒; 露酒;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</si>
  <si>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旱峡</t>
  </si>
  <si>
    <r>
      <t>王振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</si>
  <si>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</si>
  <si>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斟如愿 酒</t>
  </si>
  <si>
    <r>
      <t>职</t>
    </r>
    <r>
      <rPr>
        <sz val="11"/>
        <color theme="1"/>
        <rFont val="ＭＳ Ｐゴシック"/>
        <family val="3"/>
        <charset val="128"/>
        <scheme val="minor"/>
      </rPr>
      <t>安健好品源（广州）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</si>
  <si>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米酒</t>
    </r>
  </si>
  <si>
    <r>
      <t>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即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</si>
  <si>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区皓盈百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</si>
  <si>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薄荷酒;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</si>
  <si>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访</t>
    </r>
    <r>
      <rPr>
        <sz val="11"/>
        <color theme="1"/>
        <rFont val="ＭＳ Ｐゴシック"/>
        <family val="3"/>
        <charset val="128"/>
        <scheme val="minor"/>
      </rPr>
      <t>聚台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</si>
  <si>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弟茂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</si>
  <si>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</si>
  <si>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奖侬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</si>
  <si>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</si>
  <si>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烈酒; 蜂蜜酒;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</si>
  <si>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浀</t>
    </r>
    <r>
      <rPr>
        <sz val="11"/>
        <color theme="1"/>
        <rFont val="ＭＳ Ｐゴシック"/>
        <family val="3"/>
        <charset val="128"/>
        <scheme val="minor"/>
      </rPr>
      <t>水情波</t>
    </r>
  </si>
  <si>
    <r>
      <t>四川花好月</t>
    </r>
    <r>
      <rPr>
        <sz val="11"/>
        <color theme="1"/>
        <rFont val="ＭＳ Ｐゴシック"/>
        <family val="3"/>
        <charset val="134"/>
        <scheme val="minor"/>
      </rPr>
      <t>圆农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</si>
  <si>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</si>
  <si>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HILL EAST</t>
  </si>
  <si>
    <t>烟台海市葡萄酒有限公司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</si>
  <si>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</si>
  <si>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YUMEISHUO</t>
  </si>
  <si>
    <r>
      <t>广州二狗吃喝文化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</si>
  <si>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日本梅子酒; 梨酒;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青梅酒</t>
    </r>
  </si>
  <si>
    <t>HUA XIA MAO JIU</t>
  </si>
  <si>
    <r>
      <t>北京中科盛盈光伏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</si>
  <si>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葡萄酒; 白干酒（中国白酒）; 白酒</t>
  </si>
  <si>
    <r>
      <t>梧桐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筑巢梦工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</si>
  <si>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深圳市深港投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</si>
  <si>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</si>
  <si>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晋上春</t>
  </si>
  <si>
    <t>智宇峰</t>
  </si>
  <si>
    <r>
      <t>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</si>
  <si>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r>
      <t>真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</si>
  <si>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北京瑱喜科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</si>
  <si>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清酒（日本米酒）; 白酒;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</si>
  <si>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秋月</t>
    </r>
  </si>
  <si>
    <r>
      <t>茗氿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（成都）供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</si>
  <si>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</si>
  <si>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乾六坊</t>
  </si>
  <si>
    <r>
      <t>衡水衡聚隆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</si>
  <si>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</si>
  <si>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猕</t>
    </r>
    <r>
      <rPr>
        <sz val="11"/>
        <color theme="1"/>
        <rFont val="ＭＳ Ｐゴシック"/>
        <family val="3"/>
        <charset val="128"/>
        <scheme val="minor"/>
      </rPr>
      <t>果念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</si>
  <si>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市城口</t>
    </r>
    <r>
      <rPr>
        <sz val="11"/>
        <color theme="1"/>
        <rFont val="ＭＳ Ｐゴシック"/>
        <family val="3"/>
        <charset val="134"/>
        <scheme val="minor"/>
      </rPr>
      <t>县领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建筑工程有限公司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</si>
  <si>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</t>
    </r>
  </si>
  <si>
    <t>山予川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</si>
  <si>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锦业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</si>
  <si>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</si>
  <si>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云端探密</t>
  </si>
  <si>
    <r>
      <t>胜</t>
    </r>
    <r>
      <rPr>
        <sz val="11"/>
        <color theme="1"/>
        <rFont val="ＭＳ Ｐゴシック"/>
        <family val="3"/>
        <charset val="128"/>
        <scheme val="minor"/>
      </rPr>
      <t>思惟（北京）品牌管理有限公司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</si>
  <si>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</si>
  <si>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LUCKY MOMMY</t>
  </si>
  <si>
    <r>
      <t>赵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</si>
  <si>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果酒（含酒精）;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</si>
  <si>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t>AOSMITH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</si>
  <si>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尊荣文化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</si>
  <si>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威士忌; 果酒（含酒精）; 葡萄酒</t>
    </r>
  </si>
  <si>
    <r>
      <t>兴铜</t>
    </r>
    <r>
      <rPr>
        <sz val="11"/>
        <color theme="1"/>
        <rFont val="ＭＳ Ｐゴシック"/>
        <family val="3"/>
        <charset val="128"/>
        <scheme val="minor"/>
      </rPr>
      <t>都 BRONZE CITY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</si>
  <si>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土地信息科技有限公司</t>
    </r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</si>
  <si>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米酒; 伏特加酒</t>
    </r>
  </si>
  <si>
    <r>
      <t>点都</t>
    </r>
    <r>
      <rPr>
        <sz val="11"/>
        <color theme="1"/>
        <rFont val="ＭＳ Ｐゴシック"/>
        <family val="3"/>
        <charset val="134"/>
        <scheme val="minor"/>
      </rPr>
      <t>赞</t>
    </r>
  </si>
  <si>
    <t>卓添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</si>
  <si>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果酒; 葡萄酒; 青梅酒; 梅酒;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</si>
  <si>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童子匠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</si>
  <si>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露酒; 果酒; 汽酒; 黄酒; 苦味酒;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</si>
  <si>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瓯越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</si>
  <si>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郑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</si>
  <si>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食用酒精; 白酒; 蒸煮提取物（利口酒和烈酒）; 青稞酒</t>
    </r>
  </si>
  <si>
    <t>汉凤陈</t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</si>
  <si>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天山御</t>
    </r>
    <r>
      <rPr>
        <sz val="11"/>
        <color theme="1"/>
        <rFont val="ＭＳ Ｐゴシック"/>
        <family val="3"/>
        <charset val="134"/>
        <scheme val="minor"/>
      </rPr>
      <t>贡绿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</si>
  <si>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</si>
  <si>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偶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</si>
  <si>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（广州）化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</si>
  <si>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</si>
  <si>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元渠酒庄</t>
  </si>
  <si>
    <r>
      <t>四川元渠酒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</si>
  <si>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白酒; 梨酒;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</si>
  <si>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香美人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</si>
  <si>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西秦岭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</si>
  <si>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开胃酒; 汽酒;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薄荷酒</t>
    </r>
  </si>
  <si>
    <r>
      <t>岷江</t>
    </r>
    <r>
      <rPr>
        <sz val="11"/>
        <color theme="1"/>
        <rFont val="ＭＳ Ｐゴシック"/>
        <family val="3"/>
        <charset val="134"/>
        <scheme val="minor"/>
      </rPr>
      <t>赋</t>
    </r>
  </si>
  <si>
    <t>王天者朝</t>
  </si>
  <si>
    <t>何小娟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</si>
  <si>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黄酒; 米酒; 白酒</t>
    </r>
  </si>
  <si>
    <t>水的方向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</si>
  <si>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</si>
  <si>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葡萄酒; 果酒（含酒精）; 米酒;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</si>
  <si>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勚</t>
    </r>
    <r>
      <rPr>
        <sz val="11"/>
        <color theme="1"/>
        <rFont val="ＭＳ Ｐゴシック"/>
        <family val="3"/>
        <charset val="128"/>
        <scheme val="minor"/>
      </rPr>
      <t>巴手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</si>
  <si>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黄酒; 食用酒精</t>
    </r>
  </si>
  <si>
    <t>CENTURY LOUI</t>
  </si>
  <si>
    <r>
      <t>深圳市路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</si>
  <si>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黄酒; 朗姆酒</t>
    </r>
  </si>
  <si>
    <r>
      <t>果酒（含酒精）;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</si>
  <si>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百莫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</si>
  <si>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爆品（上海）网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</si>
  <si>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威士忌; 朗姆酒;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</si>
  <si>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志</t>
  </si>
  <si>
    <r>
      <t>深圳市盛禾达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</si>
  <si>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</si>
  <si>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11号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</si>
  <si>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州圣窖酒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</si>
  <si>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</si>
  <si>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呐饮</t>
    </r>
    <r>
      <rPr>
        <sz val="11"/>
        <color theme="1"/>
        <rFont val="ＭＳ Ｐゴシック"/>
        <family val="3"/>
        <charset val="128"/>
        <scheme val="minor"/>
      </rPr>
      <t>莱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</si>
  <si>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上金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两岸村股份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</si>
  <si>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</si>
  <si>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恬藏</t>
  </si>
  <si>
    <r>
      <t>高</t>
    </r>
    <r>
      <rPr>
        <sz val="11"/>
        <color theme="1"/>
        <rFont val="ＭＳ Ｐゴシック"/>
        <family val="3"/>
        <charset val="134"/>
        <scheme val="minor"/>
      </rPr>
      <t>垒</t>
    </r>
  </si>
  <si>
    <t>果酒; 开胃酒; 汽酒; 清酒; 黄酒; 白酒; 米酒; 葡萄酒; 食用酒精; 甜酒</t>
  </si>
  <si>
    <t>夫妻美</t>
  </si>
  <si>
    <r>
      <t>信阳市中品酒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</si>
  <si>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烈酒; 葡萄酒</t>
    </r>
  </si>
  <si>
    <r>
      <t>爱玛</t>
    </r>
    <r>
      <rPr>
        <sz val="11"/>
        <color theme="1"/>
        <rFont val="ＭＳ Ｐゴシック"/>
        <family val="3"/>
        <charset val="128"/>
        <scheme val="minor"/>
      </rPr>
      <t>氏世佳</t>
    </r>
  </si>
  <si>
    <t>李伶******************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</si>
  <si>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</si>
  <si>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飸</t>
    </r>
    <r>
      <rPr>
        <sz val="11"/>
        <color theme="1"/>
        <rFont val="ＭＳ Ｐゴシック"/>
        <family val="3"/>
        <charset val="128"/>
        <scheme val="minor"/>
      </rPr>
      <t>然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</si>
  <si>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</si>
  <si>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</si>
  <si>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僰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</t>
    </r>
  </si>
  <si>
    <t>弎犇淄</t>
  </si>
  <si>
    <t>喆江</t>
  </si>
  <si>
    <t>京翠瓷粮</t>
  </si>
  <si>
    <r>
      <t>北京学阳天成工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品店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</si>
  <si>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</si>
  <si>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驻华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</si>
  <si>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州中酒国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</si>
  <si>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</si>
  <si>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敬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</si>
  <si>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高粱酒; 果酒; 白酒; 薄荷酒; 白干酒（中国白酒）;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</si>
  <si>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品真</t>
    </r>
  </si>
  <si>
    <r>
      <t>南阳品真酒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</si>
  <si>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黄酒; 米酒; 开胃酒;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</si>
  <si>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象九筵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</si>
  <si>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玉如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</si>
  <si>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米酒; 食用酒精;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</si>
  <si>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中复</t>
    </r>
    <r>
      <rPr>
        <sz val="11"/>
        <color theme="1"/>
        <rFont val="ＭＳ Ｐゴシック"/>
        <family val="3"/>
        <charset val="134"/>
        <scheme val="minor"/>
      </rPr>
      <t>标样</t>
    </r>
  </si>
  <si>
    <r>
      <t>四川省川酒集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浆销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</si>
  <si>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薄荷酒; 米酒; 高粱酒</t>
    </r>
  </si>
  <si>
    <r>
      <t>周天</t>
    </r>
    <r>
      <rPr>
        <sz val="11"/>
        <color theme="1"/>
        <rFont val="ＭＳ Ｐゴシック"/>
        <family val="3"/>
        <charset val="134"/>
        <scheme val="minor"/>
      </rPr>
      <t>铉</t>
    </r>
    <r>
      <rPr>
        <sz val="11"/>
        <color theme="1"/>
        <rFont val="ＭＳ Ｐゴシック"/>
        <family val="3"/>
        <charset val="128"/>
        <scheme val="minor"/>
      </rPr>
      <t>草</t>
    </r>
  </si>
  <si>
    <r>
      <t>云南昭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</si>
  <si>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食用酒精;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</si>
  <si>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西海岸金沙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</si>
  <si>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栈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</si>
  <si>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清酒; 食用酒精; 葡萄酒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</si>
  <si>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届</t>
    </r>
  </si>
  <si>
    <t>郭小妮</t>
  </si>
  <si>
    <t>葡萄酒; 食用酒精; 黄酒; 开胃酒; 米酒; 汽酒; 清酒; 甜酒; 白酒; 果酒</t>
  </si>
  <si>
    <t>酒公米有源</t>
  </si>
  <si>
    <t>米有源</t>
  </si>
  <si>
    <r>
      <t>威士忌;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</si>
  <si>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一品三湖</t>
  </si>
  <si>
    <r>
      <t>靖宇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保安供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</si>
  <si>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</si>
  <si>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双向</t>
  </si>
  <si>
    <r>
      <t>王治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</si>
  <si>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白酒; 伏特加酒; 威士忌; 黄酒;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</si>
  <si>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三多堂曹三喜</t>
  </si>
  <si>
    <r>
      <t>山西大盛魁酒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</si>
  <si>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汽酒; 葡萄酒</t>
    </r>
  </si>
  <si>
    <r>
      <t>好九三</t>
    </r>
    <r>
      <rPr>
        <sz val="11"/>
        <color theme="1"/>
        <rFont val="ＭＳ Ｐゴシック"/>
        <family val="3"/>
        <charset val="134"/>
        <scheme val="minor"/>
      </rPr>
      <t>头驴</t>
    </r>
  </si>
  <si>
    <r>
      <t>青海好九文化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</si>
  <si>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高粱酒; 甜酒;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食用酒精; 烈酒; 米酒; 葡萄酒</t>
    </r>
  </si>
  <si>
    <t>梧桐熊</t>
  </si>
  <si>
    <t>霍耀明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</si>
  <si>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威士忌</t>
    </r>
  </si>
  <si>
    <t>甘江明珠</t>
  </si>
  <si>
    <r>
      <t>叶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馨安商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酒店（个人独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</si>
  <si>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</si>
  <si>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福气</t>
    </r>
    <r>
      <rPr>
        <sz val="11"/>
        <color theme="1"/>
        <rFont val="ＭＳ Ｐゴシック"/>
        <family val="3"/>
        <charset val="134"/>
        <scheme val="minor"/>
      </rPr>
      <t>妈妈</t>
    </r>
  </si>
  <si>
    <t>冓台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</si>
  <si>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</si>
  <si>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佳丰</t>
    </r>
  </si>
  <si>
    <t>广州匠道食品有限公司</t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</si>
  <si>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果酒（含酒精）; 开胃酒; 清酒（日本米酒）; 汽酒; 米酒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</si>
  <si>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隋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</si>
  <si>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珍珠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</si>
  <si>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</si>
  <si>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海悦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</si>
  <si>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发刚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</si>
  <si>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白酒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</si>
  <si>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氛</t>
    </r>
  </si>
  <si>
    <r>
      <t>安徽古井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</si>
  <si>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白酒;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</si>
  <si>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小洪哥</t>
  </si>
  <si>
    <r>
      <t>南昌市政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</si>
  <si>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</si>
  <si>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今稻村</t>
  </si>
  <si>
    <r>
      <t>黄</t>
    </r>
    <r>
      <rPr>
        <sz val="11"/>
        <color theme="1"/>
        <rFont val="ＭＳ Ｐゴシック"/>
        <family val="3"/>
        <charset val="134"/>
        <scheme val="minor"/>
      </rPr>
      <t>龙龙</t>
    </r>
  </si>
  <si>
    <t>开胃酒; 果酒; 汽酒; 清酒; 黄酒; 白酒; 米酒; 葡萄酒; 食用酒精; 甜酒</t>
  </si>
  <si>
    <r>
      <t>多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茶坊</t>
    </r>
  </si>
  <si>
    <r>
      <t>杭州建德苑派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工作室（个体工商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</si>
  <si>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</si>
  <si>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麓姣蔢</t>
  </si>
  <si>
    <r>
      <t>佛山市粤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</si>
  <si>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蒸煮提取物（利口酒和烈酒）; 清酒（日本米酒）</t>
    </r>
  </si>
  <si>
    <r>
      <t>沛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泉 PEILITY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</si>
  <si>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门鸿润</t>
    </r>
    <r>
      <rPr>
        <sz val="11"/>
        <color theme="1"/>
        <rFont val="ＭＳ Ｐゴシック"/>
        <family val="3"/>
        <charset val="128"/>
        <scheme val="minor"/>
      </rPr>
      <t>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</si>
  <si>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蜂蜜酒;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</si>
  <si>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本</t>
    </r>
  </si>
  <si>
    <r>
      <t>晶迪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湖北有限公司</t>
    </r>
  </si>
  <si>
    <r>
      <t>白酒; 果酒（含酒精）;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威士忌; 朗姆酒;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</si>
  <si>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木柯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</si>
  <si>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浙江珂茉网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</si>
  <si>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</si>
  <si>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矿</t>
    </r>
  </si>
  <si>
    <r>
      <t>喜久(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宁)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</si>
  <si>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</si>
  <si>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高家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</si>
  <si>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亚军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</si>
  <si>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</si>
  <si>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州数智文化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</si>
  <si>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</si>
  <si>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</si>
  <si>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河北巨鑫酒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</si>
  <si>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清酒; 白酒</t>
    </r>
  </si>
  <si>
    <r>
      <t>加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之花庄园</t>
    </r>
  </si>
  <si>
    <r>
      <t>海南金瑞盛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能源有限公司</t>
    </r>
  </si>
  <si>
    <r>
      <t xml:space="preserve">葡萄酒;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</si>
  <si>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莎</t>
    </r>
  </si>
  <si>
    <t>栾力莉</t>
  </si>
  <si>
    <r>
      <t>果酒;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米酒</t>
    </r>
  </si>
  <si>
    <r>
      <t>镇顶</t>
    </r>
    <r>
      <rPr>
        <sz val="11"/>
        <color theme="1"/>
        <rFont val="ＭＳ Ｐゴシック"/>
        <family val="3"/>
        <charset val="128"/>
        <scheme val="minor"/>
      </rPr>
      <t>口粮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</si>
  <si>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</si>
  <si>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米酒;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朗姆酒</t>
    </r>
  </si>
  <si>
    <t>老樵夫酒坊</t>
  </si>
  <si>
    <t>廖小云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</si>
  <si>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青稞酒; 清酒（日本米酒）</t>
    </r>
  </si>
  <si>
    <r>
      <t>玉品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</si>
  <si>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</si>
  <si>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 xml:space="preserve">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</si>
  <si>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</si>
  <si>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</si>
  <si>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</si>
  <si>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乾皇炸念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</si>
  <si>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尚高地文化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</si>
  <si>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清酒（日本米酒）</t>
    </r>
  </si>
  <si>
    <r>
      <t>致美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豫之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</si>
  <si>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</si>
  <si>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黄酒;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</si>
  <si>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慈</t>
    </r>
    <r>
      <rPr>
        <sz val="11"/>
        <color theme="1"/>
        <rFont val="ＭＳ Ｐゴシック"/>
        <family val="3"/>
        <charset val="134"/>
        <scheme val="minor"/>
      </rPr>
      <t>鸥</t>
    </r>
  </si>
  <si>
    <r>
      <t>李双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</si>
  <si>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</si>
  <si>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百庄名品</t>
  </si>
  <si>
    <r>
      <t>圣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源泉</t>
    </r>
  </si>
  <si>
    <t>林秋池</t>
  </si>
  <si>
    <r>
      <t>黄酒; 白酒; 青稞酒; 葡萄酒;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</si>
  <si>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</si>
  <si>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</si>
  <si>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苹果酒; 葡萄酒; 果酒（含酒精）; 青稞酒;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</si>
  <si>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往往决然</t>
  </si>
  <si>
    <t>河池市金城江区往往米酒坊</t>
  </si>
  <si>
    <r>
      <t>米酒; 果酒（含酒精）; 餐后酒（利口酒和烈酒）; 葡萄酒; 伏特加酒;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蜂蜜酒</t>
    </r>
  </si>
  <si>
    <t>萄悦</t>
  </si>
  <si>
    <r>
      <t>柏菲露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</si>
  <si>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温州百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</si>
  <si>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蒸煮提取物（利口酒和烈酒）;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果酒（含酒精）; 混合威士忌酒;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</si>
  <si>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峰都春</t>
  </si>
  <si>
    <r>
      <t>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</si>
  <si>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</si>
  <si>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r>
      <t>初好福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</si>
  <si>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程人力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</si>
  <si>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餐后酒（利口酒和烈酒）; 葡萄酒; 蜂蜜酒; 白酒</t>
    </r>
  </si>
  <si>
    <t>A BOUT GUAN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</si>
  <si>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琳海生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</si>
  <si>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</si>
  <si>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t>本利基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</si>
  <si>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阳明悟道酒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</si>
  <si>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</si>
  <si>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事</t>
    </r>
  </si>
  <si>
    <t>烟台瑶池庄园葡萄酒有限公司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</si>
  <si>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朗姆酒; 伏特加酒;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苹果酒</t>
    </r>
  </si>
  <si>
    <r>
      <t>布莱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</si>
  <si>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福州同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</si>
  <si>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</si>
  <si>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乐远</t>
    </r>
    <r>
      <rPr>
        <sz val="11"/>
        <color theme="1"/>
        <rFont val="ＭＳ Ｐゴシック"/>
        <family val="3"/>
        <charset val="128"/>
        <scheme val="minor"/>
      </rPr>
      <t>房地</t>
    </r>
    <r>
      <rPr>
        <sz val="11"/>
        <color theme="1"/>
        <rFont val="ＭＳ Ｐゴシック"/>
        <family val="3"/>
        <charset val="134"/>
        <scheme val="minor"/>
      </rPr>
      <t>产经纪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</si>
  <si>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葡萄酒; 白酒; 朗姆酒;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</si>
  <si>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</si>
  <si>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酣厚酒水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</si>
  <si>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开胃酒; 葡萄酒; 梨酒; 清酒（日本米酒）; 米酒</t>
    </r>
  </si>
  <si>
    <t>勿固</t>
  </si>
  <si>
    <t>潘俊</t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</si>
  <si>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食用酒精; 米酒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</si>
  <si>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</si>
  <si>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</si>
  <si>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黄酒; 米酒</t>
    </r>
  </si>
  <si>
    <t>京惜</t>
  </si>
  <si>
    <r>
      <t>唐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</si>
  <si>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白酒; 米酒; 黄酒; 清酒; 露酒;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</si>
  <si>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神茱</t>
  </si>
  <si>
    <r>
      <t>广西神茱医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</si>
  <si>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露酒; 果酒（含酒精）</t>
    </r>
  </si>
  <si>
    <r>
      <t>熊猫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采酒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</si>
  <si>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贝猎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</si>
  <si>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开胃酒;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</si>
  <si>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壕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</si>
  <si>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赢辉实业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</si>
  <si>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白酒; 茴香酒（利口酒）;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</si>
  <si>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直王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</si>
  <si>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州真工酒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</si>
  <si>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威士忌; 果酒; 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</si>
  <si>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誉米堂</t>
  </si>
  <si>
    <r>
      <t>吕</t>
    </r>
    <r>
      <rPr>
        <sz val="11"/>
        <color theme="1"/>
        <rFont val="ＭＳ Ｐゴシック"/>
        <family val="3"/>
        <charset val="128"/>
        <scheme val="minor"/>
      </rPr>
      <t>月嫦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</si>
  <si>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汽酒; 清酒（日本米酒）; 果酒（含酒精）</t>
    </r>
  </si>
  <si>
    <t>擒牛</t>
  </si>
  <si>
    <r>
      <t>温州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农贸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</si>
  <si>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黄酒; 白酒;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</si>
  <si>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麦威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祺</t>
    </r>
  </si>
  <si>
    <r>
      <t>上海元霈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</si>
  <si>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</si>
  <si>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潮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膳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</si>
  <si>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饶</t>
    </r>
    <r>
      <rPr>
        <sz val="11"/>
        <color theme="1"/>
        <rFont val="ＭＳ Ｐゴシック"/>
        <family val="3"/>
        <charset val="128"/>
        <scheme val="minor"/>
      </rPr>
      <t>市牛膳坊餐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</si>
  <si>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</si>
  <si>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MOOEKISS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</si>
  <si>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威士忌; 伏特加酒; 黄酒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</si>
  <si>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喜之道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</si>
  <si>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</si>
  <si>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甜酒; 白酒; 高粱酒;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</si>
  <si>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黎庶泉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</si>
  <si>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</si>
  <si>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苹果酒; 朗姆酒;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</si>
  <si>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芬皇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</si>
  <si>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家口美高美广告有限公司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</si>
  <si>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</si>
  <si>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吞知道</t>
  </si>
  <si>
    <t>雷升波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</si>
  <si>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米酒; 白酒; 清酒;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</si>
  <si>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（珠海）体育文化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</si>
  <si>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味思原</t>
    </r>
  </si>
  <si>
    <t>味思原徐州食品有限公司</t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</si>
  <si>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</si>
  <si>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迷</t>
    </r>
    <r>
      <rPr>
        <sz val="11"/>
        <color theme="1"/>
        <rFont val="ＭＳ Ｐゴシック"/>
        <family val="3"/>
        <charset val="134"/>
        <scheme val="minor"/>
      </rPr>
      <t>丽陈</t>
    </r>
  </si>
  <si>
    <r>
      <t>浙江雁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山越青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</si>
  <si>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烈酒; 高粱酒; 汽酒</t>
    </r>
  </si>
  <si>
    <t>崝谷</t>
  </si>
  <si>
    <t>郭磊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</si>
  <si>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</si>
  <si>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爱约</t>
    </r>
    <r>
      <rPr>
        <sz val="11"/>
        <color theme="1"/>
        <rFont val="ＭＳ Ｐゴシック"/>
        <family val="3"/>
        <charset val="128"/>
        <scheme val="minor"/>
      </rPr>
      <t>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</si>
  <si>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</si>
  <si>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</si>
  <si>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团圆</t>
    </r>
  </si>
  <si>
    <t>黄志恩</t>
  </si>
  <si>
    <r>
      <t>白酒; 黄酒; 食用酒精; 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</si>
  <si>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达拉特旗蒙禾嘉</t>
    </r>
    <r>
      <rPr>
        <sz val="11"/>
        <color theme="1"/>
        <rFont val="ＭＳ Ｐゴシック"/>
        <family val="3"/>
        <charset val="134"/>
        <scheme val="minor"/>
      </rPr>
      <t>润农</t>
    </r>
    <r>
      <rPr>
        <sz val="11"/>
        <color theme="1"/>
        <rFont val="ＭＳ Ｐゴシック"/>
        <family val="3"/>
        <charset val="128"/>
        <scheme val="minor"/>
      </rPr>
      <t>牧科技有限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</si>
  <si>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</si>
  <si>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森</t>
    </r>
    <r>
      <rPr>
        <sz val="11"/>
        <color theme="1"/>
        <rFont val="ＭＳ Ｐゴシック"/>
        <family val="3"/>
        <charset val="134"/>
        <scheme val="minor"/>
      </rPr>
      <t>态</t>
    </r>
  </si>
  <si>
    <r>
      <t>周密</t>
    </r>
    <r>
      <rPr>
        <sz val="11"/>
        <color theme="1"/>
        <rFont val="ＭＳ Ｐゴシック"/>
        <family val="3"/>
        <charset val="134"/>
        <scheme val="minor"/>
      </rPr>
      <t>凤</t>
    </r>
  </si>
  <si>
    <t>范温克</t>
  </si>
  <si>
    <r>
      <t>王玉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</si>
  <si>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威士忌; 米酒;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</si>
  <si>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纪</t>
    </r>
  </si>
  <si>
    <t>何小雪</t>
  </si>
  <si>
    <r>
      <t>威士忌; 开胃酒; 果酒（含酒精）; 清酒（日本米酒）;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</si>
  <si>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哈冰灯</t>
  </si>
  <si>
    <r>
      <t>靳秀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</si>
  <si>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烈酒; 果酒（含酒精）; 开胃酒; 黄酒; 米酒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</si>
  <si>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笼鲜</t>
    </r>
  </si>
  <si>
    <r>
      <t>福建包</t>
    </r>
    <r>
      <rPr>
        <sz val="11"/>
        <color theme="1"/>
        <rFont val="ＭＳ Ｐゴシック"/>
        <family val="3"/>
        <charset val="134"/>
        <scheme val="minor"/>
      </rPr>
      <t>笼</t>
    </r>
    <r>
      <rPr>
        <sz val="11"/>
        <color theme="1"/>
        <rFont val="ＭＳ Ｐゴシック"/>
        <family val="3"/>
        <charset val="128"/>
        <scheme val="minor"/>
      </rPr>
      <t>仙食品科技有限公司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</si>
  <si>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</si>
  <si>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·柔雅大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</si>
  <si>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</si>
  <si>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</t>
    </r>
  </si>
  <si>
    <t>台泉名酒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</si>
  <si>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</si>
  <si>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威士忌; 伏特加酒; 朗姆酒; 烈酒; 果酒（含酒精）; 利口酒; 开胃酒; 白葡萄酒; 高粱酒; 白酒</t>
  </si>
  <si>
    <r>
      <t>雪</t>
    </r>
    <r>
      <rPr>
        <sz val="11"/>
        <color theme="1"/>
        <rFont val="ＭＳ Ｐゴシック"/>
        <family val="3"/>
        <charset val="134"/>
        <scheme val="minor"/>
      </rPr>
      <t>罗兰</t>
    </r>
    <r>
      <rPr>
        <sz val="11"/>
        <color theme="1"/>
        <rFont val="ＭＳ Ｐゴシック"/>
        <family val="3"/>
        <charset val="128"/>
        <scheme val="minor"/>
      </rPr>
      <t>奥黛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迪奥女神</t>
    </r>
  </si>
  <si>
    <t>唐杏春</t>
  </si>
  <si>
    <r>
      <t xml:space="preserve">葡萄酒; 利口酒; 汽酒; 起泡白葡萄酒;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</si>
  <si>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姑 酒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</si>
  <si>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铺义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</si>
  <si>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露酒; 高粱酒; 刺五加酒; 白酒</t>
    </r>
  </si>
  <si>
    <t>AUSPAC</t>
  </si>
  <si>
    <r>
      <t>澳斯达克（上海）国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</si>
  <si>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酸酒（低等葡萄酒）</t>
    </r>
  </si>
  <si>
    <r>
      <t>青耕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</si>
  <si>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青耕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未来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（利津）有限公司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</si>
  <si>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</si>
  <si>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盼君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</si>
  <si>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</si>
  <si>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</si>
  <si>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丰味村</t>
  </si>
  <si>
    <t>安徽丰富食品科技有限公司</t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</si>
  <si>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</t>
    </r>
  </si>
  <si>
    <r>
      <t>上海牧空文化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</si>
  <si>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白酒; 葡萄酒; 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</si>
  <si>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</si>
  <si>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吉林省丰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</si>
  <si>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蜂蜜酒; 梨酒; 开胃酒;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</si>
  <si>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怒那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</si>
  <si>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朝浩</t>
    </r>
  </si>
  <si>
    <r>
      <t>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米酒; 黄酒; 果酒（含酒精）; 青稞酒; 清酒</t>
    </r>
  </si>
  <si>
    <r>
      <t>龟态</t>
    </r>
    <r>
      <rPr>
        <sz val="11"/>
        <color theme="1"/>
        <rFont val="ＭＳ Ｐゴシック"/>
        <family val="3"/>
        <charset val="128"/>
        <scheme val="minor"/>
      </rPr>
      <t>堂</t>
    </r>
  </si>
  <si>
    <t>阳春市拓展天然生物有限公司</t>
  </si>
  <si>
    <r>
      <t>白酒; 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葡萄酒</t>
    </r>
  </si>
  <si>
    <t>台泉美酒</t>
  </si>
  <si>
    <t>伏特加酒; 威士忌; 朗姆酒; 烈酒; 果酒（含酒精）; 利口酒; 开胃酒; 白葡萄酒; 高粱酒; 白酒</t>
  </si>
  <si>
    <t>墨小番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</si>
  <si>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瀚之茹园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</si>
  <si>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</si>
  <si>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简丽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</si>
  <si>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致恒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</si>
  <si>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</si>
  <si>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霍默</t>
  </si>
  <si>
    <r>
      <t>赵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</si>
  <si>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</si>
  <si>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中岳</t>
  </si>
  <si>
    <r>
      <t>罗</t>
    </r>
    <r>
      <rPr>
        <sz val="11"/>
        <color theme="1"/>
        <rFont val="ＭＳ Ｐゴシック"/>
        <family val="3"/>
        <charset val="128"/>
        <scheme val="minor"/>
      </rPr>
      <t>燕梅</t>
    </r>
  </si>
  <si>
    <r>
      <t xml:space="preserve">果酒（含酒精）; 葡萄酒;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高粱酒; 清酒（日本米酒）</t>
    </r>
  </si>
  <si>
    <t>旺家醉君酒</t>
  </si>
  <si>
    <t>李燕萍</t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</si>
  <si>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薄荷酒;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威士忌; 伏特加酒; 苹果酒</t>
    </r>
  </si>
  <si>
    <t>托峰</t>
  </si>
  <si>
    <t>王逸夫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</si>
  <si>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</si>
  <si>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鑫世典</t>
  </si>
  <si>
    <r>
      <t>蓓特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</si>
  <si>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开胃酒</t>
    </r>
  </si>
  <si>
    <r>
      <t>主客</t>
    </r>
    <r>
      <rPr>
        <sz val="11"/>
        <color theme="1"/>
        <rFont val="ＭＳ Ｐゴシック"/>
        <family val="3"/>
        <charset val="134"/>
        <scheme val="minor"/>
      </rPr>
      <t>缘</t>
    </r>
  </si>
  <si>
    <t>唐兆臣</t>
  </si>
  <si>
    <r>
      <t xml:space="preserve">葡萄酒; 黄酒; 梨酒; 清酒（日本米酒）; 果酒;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</si>
  <si>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浩庄园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樽坊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</si>
  <si>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</si>
  <si>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 xml:space="preserve">果酒（含酒精）; 苦味酒;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</si>
  <si>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全</t>
    </r>
    <r>
      <rPr>
        <sz val="11"/>
        <color theme="1"/>
        <rFont val="ＭＳ Ｐゴシック"/>
        <family val="3"/>
        <charset val="134"/>
        <scheme val="minor"/>
      </rPr>
      <t>龙</t>
    </r>
  </si>
  <si>
    <t>佛山市德美健科技有限公司</t>
  </si>
  <si>
    <r>
      <t>食用酒精; 清酒（日本米酒）; 果酒（含酒精）; 青稞酒;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</si>
  <si>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王宴</t>
    </r>
  </si>
  <si>
    <t>王文松</t>
  </si>
  <si>
    <r>
      <t>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</si>
  <si>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南校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</si>
  <si>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</si>
  <si>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</si>
  <si>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房小泉</t>
  </si>
  <si>
    <r>
      <t>湖北荣毅酒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</si>
  <si>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</si>
  <si>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拣</t>
    </r>
    <r>
      <rPr>
        <sz val="11"/>
        <color theme="1"/>
        <rFont val="ＭＳ Ｐゴシック"/>
        <family val="3"/>
        <charset val="128"/>
        <scheme val="minor"/>
      </rPr>
      <t>三十</t>
    </r>
  </si>
  <si>
    <r>
      <t>四川玖之源国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</si>
  <si>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青稞酒;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</si>
  <si>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怪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狐戈</t>
    </r>
  </si>
  <si>
    <r>
      <t>河北店秘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</si>
  <si>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蒸煮提取物（利口酒和烈酒）;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</si>
  <si>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淮新</t>
  </si>
  <si>
    <r>
      <t>固始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新春生物科技有限公司</t>
    </r>
  </si>
  <si>
    <t>萍富商</t>
  </si>
  <si>
    <r>
      <t>萍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市萍商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</si>
  <si>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</si>
  <si>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中雅煮酒人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</si>
  <si>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名谷酒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</si>
  <si>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清酒（日本米酒）;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</si>
  <si>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墙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</si>
  <si>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</si>
  <si>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葡萄酒; 伏特加酒; 梅酒; 白干酒（中国白酒）; 青稞酒; 高粱酒; 茴香酒; 黄酒</t>
    </r>
  </si>
  <si>
    <r>
      <t>津姆</t>
    </r>
    <r>
      <rPr>
        <sz val="11"/>
        <color theme="1"/>
        <rFont val="ＭＳ Ｐゴシック"/>
        <family val="3"/>
        <charset val="134"/>
        <scheme val="minor"/>
      </rPr>
      <t>龙</t>
    </r>
  </si>
  <si>
    <t>李金英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</si>
  <si>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</si>
  <si>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卓源中科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</si>
  <si>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横琴卓源中科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</si>
  <si>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伏特加酒; 威士忌;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</si>
  <si>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玉相伴 JADE CONCOMITANCE</t>
  </si>
  <si>
    <r>
      <t>江西聚福堂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</si>
  <si>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</si>
  <si>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CHATEAU TOUR SAINT VINCENT</t>
  </si>
  <si>
    <t>法国城堡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</si>
  <si>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伏特加酒; 酸酒（低等葡萄酒）;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</si>
  <si>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怜春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</si>
  <si>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萌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</si>
  <si>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</si>
  <si>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呼白王</t>
    </r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</si>
  <si>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</si>
  <si>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</si>
  <si>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鹿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</si>
  <si>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州福堂宴酒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</si>
  <si>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苦味酒; 开胃酒; 餐后酒（利口酒和烈酒）; 烈性干酒; 五加皮酒（中国混合烈酒）;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</si>
  <si>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帝沟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</si>
  <si>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湖区水果兄弟文教用品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</si>
  <si>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高粱酒; 烈酒;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</si>
  <si>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谷古木</t>
  </si>
  <si>
    <t>陶素萍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</si>
  <si>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甜果酒;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</si>
  <si>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本草</t>
    </r>
  </si>
  <si>
    <r>
      <t>浙江芳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</si>
  <si>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朗姆酒; 伏特加酒;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露酒; 黄酒</t>
    </r>
  </si>
  <si>
    <t>南湾耕心</t>
  </si>
  <si>
    <r>
      <t>朱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</si>
  <si>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</si>
  <si>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瑟古堡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</si>
  <si>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酸酒（低等葡萄酒）;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</si>
  <si>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CHATEAU LA GRANGE DE BESSAN</t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</si>
  <si>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朗姆酒;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威士忌; 伏特加酒</t>
    </r>
  </si>
  <si>
    <t>CHATEAU LA GRAVETTE LACOMBE</t>
  </si>
  <si>
    <r>
      <t>酸酒（低等葡萄酒）; 威士忌;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朗姆酒;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</si>
  <si>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格拉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特拉科姆庄园</t>
    </r>
  </si>
  <si>
    <r>
      <t>伏特加酒;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</t>
    </r>
  </si>
  <si>
    <r>
      <t>悠</t>
    </r>
    <r>
      <rPr>
        <sz val="11"/>
        <color theme="1"/>
        <rFont val="ＭＳ Ｐゴシック"/>
        <family val="3"/>
        <charset val="129"/>
        <scheme val="minor"/>
      </rPr>
      <t>喵喵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</si>
  <si>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岛华</t>
    </r>
    <r>
      <rPr>
        <sz val="11"/>
        <color theme="1"/>
        <rFont val="ＭＳ Ｐゴシック"/>
        <family val="3"/>
        <charset val="128"/>
        <scheme val="minor"/>
      </rPr>
      <t>圣杰工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</si>
  <si>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</si>
  <si>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家老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</si>
  <si>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</si>
  <si>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黄酒; 食用酒精; 白酒</t>
    </r>
  </si>
  <si>
    <r>
      <t>北京市生士康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</si>
  <si>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</si>
  <si>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生活副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 xml:space="preserve"> HMCOPILOT</t>
    </r>
  </si>
  <si>
    <r>
      <t>家裕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展（天津）有限公司</t>
    </r>
  </si>
  <si>
    <r>
      <t xml:space="preserve">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</si>
  <si>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御窖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</si>
  <si>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区玉萍江商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</si>
  <si>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含奶油利口酒; 麦芽威士忌;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</t>
    </r>
  </si>
  <si>
    <t>CHATEAU HAUT CANETLOUP</t>
  </si>
  <si>
    <r>
      <t>威士忌; 葡萄酒;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</si>
  <si>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CHATEAU TOTAL</t>
  </si>
  <si>
    <r>
      <t>朗姆酒;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酸酒（低等葡萄酒）; 葡萄酒</t>
    </r>
  </si>
  <si>
    <t>JZ 金宗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</si>
  <si>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市金宗白酒厂</t>
    </r>
  </si>
  <si>
    <r>
      <t xml:space="preserve">果酒（含酒精）; 苦味酒; 葡萄酒; 柑香酒;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杜松子酒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</si>
  <si>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</si>
  <si>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徐俊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</si>
  <si>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果酒（含酒精）;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黄酒; 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</si>
  <si>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记</t>
    </r>
    <r>
      <rPr>
        <sz val="11"/>
        <color theme="1"/>
        <rFont val="ＭＳ Ｐゴシック"/>
        <family val="3"/>
        <charset val="128"/>
        <scheme val="minor"/>
      </rPr>
      <t>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</si>
  <si>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镇汉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</si>
  <si>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烈酒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</si>
  <si>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得定制酒</t>
    </r>
  </si>
  <si>
    <t>一亭川</t>
  </si>
  <si>
    <r>
      <t>谢</t>
    </r>
    <r>
      <rPr>
        <sz val="11"/>
        <color theme="1"/>
        <rFont val="ＭＳ Ｐゴシック"/>
        <family val="3"/>
        <charset val="128"/>
        <scheme val="minor"/>
      </rPr>
      <t>立平</t>
    </r>
  </si>
  <si>
    <r>
      <t>葡萄酒; 米酒;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</si>
  <si>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上海璟耀堂健康管理有限公司</t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</si>
  <si>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</si>
  <si>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窖之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</si>
  <si>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白酒; 高粱酒;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日本梅子酒;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含奶油利口酒;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</si>
  <si>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余香老</t>
  </si>
  <si>
    <r>
      <t>淄博君盈网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</si>
  <si>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</si>
  <si>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毋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</si>
  <si>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诗远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</si>
  <si>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汽酒; 白酒; 葡萄酒; 黄酒; 高粱酒; 食用酒精; 果酒（含酒精）</t>
    </r>
  </si>
  <si>
    <t>奥康露城堡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</si>
  <si>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伏特加酒;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威士忌</t>
    </r>
  </si>
  <si>
    <t>柒道水</t>
  </si>
  <si>
    <r>
      <t>柒道水健康科技（厦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</si>
  <si>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</si>
  <si>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伊格世谷得</t>
  </si>
  <si>
    <t>无畏精神有限公司</t>
  </si>
  <si>
    <r>
      <t>杜松子酒; 伏特加酒; 汽酒; 白酒; 烈酒;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</si>
  <si>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大廊邰</t>
  </si>
  <si>
    <t>王宝文</t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</si>
  <si>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</si>
  <si>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岛屿时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</si>
  <si>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广州宇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</si>
  <si>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</si>
  <si>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见签签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</si>
  <si>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</si>
  <si>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开胃酒; 苹果酒;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</si>
  <si>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和礼</t>
    </r>
  </si>
  <si>
    <r>
      <t>河南左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</si>
  <si>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</t>
    </r>
  </si>
  <si>
    <t>THJC</t>
  </si>
  <si>
    <r>
      <t>汉</t>
    </r>
    <r>
      <rPr>
        <sz val="11"/>
        <color theme="1"/>
        <rFont val="ＭＳ Ｐゴシック"/>
        <family val="3"/>
        <charset val="128"/>
        <scheme val="minor"/>
      </rPr>
      <t>中市天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</si>
  <si>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吉祥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</si>
  <si>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州六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</si>
  <si>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薄荷酒; 威士忌; 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</si>
  <si>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北崇</t>
  </si>
  <si>
    <t>北崇黄酒（浙江）有限公司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</si>
  <si>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米酒; 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</si>
  <si>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GUGUMIXIANG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</si>
  <si>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</si>
  <si>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</si>
  <si>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白</t>
    </r>
  </si>
  <si>
    <t>北京自由方式科技有限公司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</si>
  <si>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黄酒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</si>
  <si>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尊礼</t>
    </r>
  </si>
  <si>
    <r>
      <t>梦回圣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</si>
  <si>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水琴有限公司</t>
    </r>
  </si>
  <si>
    <r>
      <t>开胃酒; 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</si>
  <si>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r>
      <t>夷道</t>
    </r>
    <r>
      <rPr>
        <sz val="11"/>
        <color theme="1"/>
        <rFont val="ＭＳ Ｐゴシック"/>
        <family val="3"/>
        <charset val="134"/>
        <scheme val="minor"/>
      </rPr>
      <t>陆逊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</si>
  <si>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宜都</t>
    </r>
    <r>
      <rPr>
        <sz val="11"/>
        <color theme="1"/>
        <rFont val="ＭＳ Ｐゴシック"/>
        <family val="3"/>
        <charset val="134"/>
        <scheme val="minor"/>
      </rPr>
      <t>陆逊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</si>
  <si>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米酒</t>
    </r>
  </si>
  <si>
    <t>名匠宝典</t>
  </si>
  <si>
    <r>
      <t>新疆天山庄园果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</si>
  <si>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白干酒（中国白酒）; 烈酒;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</si>
  <si>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王朝天山</t>
  </si>
  <si>
    <r>
      <t>中法合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王朝葡萄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</si>
  <si>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露酒; 起泡白葡萄酒; 葡萄酒;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白酒; 果酒; 蒸煮提取物（利口酒和烈酒）</t>
    </r>
  </si>
  <si>
    <t>佰水城</t>
  </si>
  <si>
    <t>张红</t>
  </si>
  <si>
    <r>
      <t>清酒（日本米酒）;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葡萄酒; 高粱酒; 黄酒; 白酒</t>
    </r>
  </si>
  <si>
    <t>百水城</t>
  </si>
  <si>
    <r>
      <t>开胃酒; 清酒（日本米酒）;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米酒;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</si>
  <si>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天湖酒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</si>
  <si>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江西省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宇建筑工程有限公司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</si>
  <si>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</si>
  <si>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唯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</si>
  <si>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唯酒庄有限公司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</si>
  <si>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梅酒; 露酒; 米酒</t>
    </r>
  </si>
  <si>
    <t>遇逸</t>
  </si>
  <si>
    <r>
      <t>云里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里（石屏）供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</si>
  <si>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利口酒; 米酒; 汽酒; 高粱酒; 黄酒; 食用酒精; 白酒; 清酒; 青稞酒</t>
  </si>
  <si>
    <t>COMMERCIAL BAY利湾</t>
  </si>
  <si>
    <r>
      <t>慧智国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</si>
  <si>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苹果酒;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</si>
  <si>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CHATEAU SAUDINAN</t>
  </si>
  <si>
    <r>
      <t>酸酒（低等葡萄酒）; 朗姆酒;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</si>
  <si>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圳友</t>
  </si>
  <si>
    <r>
      <t>兴</t>
    </r>
    <r>
      <rPr>
        <sz val="11"/>
        <color theme="1"/>
        <rFont val="ＭＳ Ｐゴシック"/>
        <family val="3"/>
        <charset val="128"/>
        <scheme val="minor"/>
      </rPr>
      <t>隆和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</si>
  <si>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伏特加酒;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</si>
  <si>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㪗台</t>
  </si>
  <si>
    <r>
      <t>华</t>
    </r>
    <r>
      <rPr>
        <sz val="11"/>
        <color theme="1"/>
        <rFont val="ＭＳ Ｐゴシック"/>
        <family val="3"/>
        <charset val="128"/>
        <scheme val="minor"/>
      </rPr>
      <t>唯知雪</t>
    </r>
  </si>
  <si>
    <r>
      <t>公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赤</t>
    </r>
  </si>
  <si>
    <r>
      <t>南昌速富酒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</si>
  <si>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威士忌; 开胃酒;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</si>
  <si>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皇口</t>
  </si>
  <si>
    <r>
      <t>涡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圣皇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</si>
  <si>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白酒; 露酒;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</si>
  <si>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</t>
    </r>
  </si>
  <si>
    <t>HUANGJINBAYUE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</si>
  <si>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黄酒; 白酒; 高粱酒</t>
    </r>
  </si>
  <si>
    <t>董里香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</si>
  <si>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</si>
  <si>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 xml:space="preserve">白酒; 果酒（含酒精）;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</si>
  <si>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极白天香</t>
  </si>
  <si>
    <t>安吉极白白茶有限公司</t>
  </si>
  <si>
    <r>
      <t>高粱酒; 梅酒; 白酒; 米酒; 蒸煮提取物（利口酒和烈酒）;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</si>
  <si>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宝福</t>
    </r>
  </si>
  <si>
    <t>李金成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</si>
  <si>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果酒; 葡萄酒; 黄酒;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</si>
  <si>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</si>
  <si>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卯戌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</si>
  <si>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</si>
  <si>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美添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 xml:space="preserve"> MEITIANWINS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</si>
  <si>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岩市曼云斯特生物科技有限公司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</si>
  <si>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米酒</t>
    </r>
  </si>
  <si>
    <r>
      <t>彬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</si>
  <si>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</si>
  <si>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果酒（含酒精）; 清酒（日本米酒）</t>
    </r>
  </si>
  <si>
    <t>海山冰</t>
  </si>
  <si>
    <r>
      <t>刘</t>
    </r>
    <r>
      <rPr>
        <sz val="11"/>
        <color theme="1"/>
        <rFont val="ＭＳ Ｐゴシック"/>
        <family val="3"/>
        <charset val="134"/>
        <scheme val="minor"/>
      </rPr>
      <t>树义</t>
    </r>
  </si>
  <si>
    <r>
      <t>白酒; 清酒（日本米酒）;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米酒; 果酒（含酒精）</t>
    </r>
  </si>
  <si>
    <t>厚杯香</t>
  </si>
  <si>
    <r>
      <t>龚</t>
    </r>
    <r>
      <rPr>
        <sz val="11"/>
        <color theme="1"/>
        <rFont val="ＭＳ Ｐゴシック"/>
        <family val="3"/>
        <charset val="128"/>
        <scheme val="minor"/>
      </rPr>
      <t>恒昶</t>
    </r>
  </si>
  <si>
    <r>
      <t xml:space="preserve">白酒; 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</si>
  <si>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</si>
  <si>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</si>
  <si>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众酒窖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</si>
  <si>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</si>
  <si>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米酒; 薄荷酒;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</si>
  <si>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尚和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</si>
  <si>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上海古道</t>
    </r>
    <r>
      <rPr>
        <sz val="11"/>
        <color theme="1"/>
        <rFont val="ＭＳ Ｐゴシック"/>
        <family val="3"/>
        <charset val="134"/>
        <scheme val="minor"/>
      </rPr>
      <t>驼铃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</si>
  <si>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</si>
  <si>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卡柏莱荣耀之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</si>
  <si>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法国卡思黛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兄弟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化股份公司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</si>
  <si>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</si>
  <si>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王董事</t>
  </si>
  <si>
    <r>
      <t>杨</t>
    </r>
    <r>
      <rPr>
        <sz val="11"/>
        <color theme="1"/>
        <rFont val="ＭＳ Ｐゴシック"/>
        <family val="3"/>
        <charset val="128"/>
        <scheme val="minor"/>
      </rPr>
      <t>均隆</t>
    </r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</si>
  <si>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苦味酒;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白酒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</si>
  <si>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论鉴</t>
    </r>
  </si>
  <si>
    <r>
      <t>李永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</si>
  <si>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</si>
  <si>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秘匠百草集</t>
  </si>
  <si>
    <r>
      <t>果酒（含酒精）; 开胃酒; 餐后酒（利口酒和烈酒）; 葡萄酒;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</si>
  <si>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r>
      <t>什彭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</si>
  <si>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什邡市三木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</si>
  <si>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九福福道</t>
  </si>
  <si>
    <r>
      <t>河南福道老酒酒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</si>
  <si>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</si>
  <si>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中梦三江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</si>
  <si>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香樟河旅游开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</si>
  <si>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开胃酒; 果酒; 清酒; 黄酒; 米酒;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</si>
  <si>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道沙</t>
  </si>
  <si>
    <r>
      <t>河南福运旺开心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</si>
  <si>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</si>
  <si>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黑宝果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</si>
  <si>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嘉宝果生物科技有限公司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</si>
  <si>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</si>
  <si>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宗君</t>
  </si>
  <si>
    <r>
      <t>周文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</si>
  <si>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</si>
  <si>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王醉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装梦</t>
    </r>
  </si>
  <si>
    <r>
      <t>凡事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</si>
  <si>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</t>
    </r>
  </si>
  <si>
    <r>
      <t>徽小</t>
    </r>
    <r>
      <rPr>
        <sz val="11"/>
        <color theme="1"/>
        <rFont val="ＭＳ Ｐゴシック"/>
        <family val="3"/>
        <charset val="134"/>
        <scheme val="minor"/>
      </rPr>
      <t>乐</t>
    </r>
  </si>
  <si>
    <t>安徽冠林生物科技有限公司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</si>
  <si>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</si>
  <si>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凤龙玺</t>
    </r>
  </si>
  <si>
    <t>比沃</t>
  </si>
  <si>
    <t>肖乾皎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</si>
  <si>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利口酒</t>
    </r>
  </si>
  <si>
    <t>美酴坊</t>
  </si>
  <si>
    <r>
      <t>何灯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</si>
  <si>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</si>
  <si>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客仁</t>
    </r>
  </si>
  <si>
    <r>
      <t>湖南国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文化旅游有限公司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</si>
  <si>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</si>
  <si>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卣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</si>
  <si>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</si>
  <si>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</si>
  <si>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闺</t>
    </r>
    <r>
      <rPr>
        <sz val="11"/>
        <color theme="1"/>
        <rFont val="ＭＳ Ｐゴシック"/>
        <family val="3"/>
        <charset val="128"/>
        <scheme val="minor"/>
      </rPr>
      <t>蜜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</si>
  <si>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建宁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</si>
  <si>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薄荷酒;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</si>
  <si>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赤坳</t>
  </si>
  <si>
    <r>
      <t>深圳市永泰隆酒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</si>
  <si>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</si>
  <si>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丹水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</si>
  <si>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州市四好酒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</si>
  <si>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黄酒;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</si>
  <si>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GEWENO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</si>
  <si>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韦诺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</si>
  <si>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果酒（含酒精）; 葡萄酒; 加烈葡萄酒;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</si>
  <si>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·珠江梦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</si>
  <si>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</t>
    </r>
  </si>
  <si>
    <t>EILAI WEN</t>
  </si>
  <si>
    <r>
      <t>广西穆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</si>
  <si>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</si>
  <si>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SMWHYCQHD</t>
  </si>
  <si>
    <r>
      <t>海南石梅湾海洋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奇海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</si>
  <si>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</si>
  <si>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玛纪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</si>
  <si>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34"/>
        <scheme val="minor"/>
      </rPr>
      <t>玛纪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</si>
  <si>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</si>
  <si>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茶醴宣</t>
  </si>
  <si>
    <t>宣德阳</t>
  </si>
  <si>
    <r>
      <t xml:space="preserve">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黄酒</t>
    </r>
  </si>
  <si>
    <t>比沃幸福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</si>
  <si>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高粱酒; 利口酒</t>
    </r>
  </si>
  <si>
    <r>
      <t>YAN ZHAO 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三千年</t>
    </r>
  </si>
  <si>
    <r>
      <t>河北燕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三千年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</si>
  <si>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米酒; 果酒; 葡萄酒;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</si>
  <si>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</si>
  <si>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合宣（深圳）商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</si>
  <si>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朗姆酒</t>
    </r>
  </si>
  <si>
    <t>程海洲</t>
  </si>
  <si>
    <t>程磊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</si>
  <si>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白干酒（中国白酒）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</si>
  <si>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珠江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</si>
  <si>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食用酒精; 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</si>
  <si>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大明洪帝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</si>
  <si>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上海金</t>
    </r>
    <r>
      <rPr>
        <sz val="11"/>
        <color theme="1"/>
        <rFont val="ＭＳ Ｐゴシック"/>
        <family val="3"/>
        <charset val="134"/>
        <scheme val="minor"/>
      </rPr>
      <t>轩贸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</si>
  <si>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</si>
  <si>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复年</t>
    </r>
  </si>
  <si>
    <r>
      <t>田好(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州)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</si>
  <si>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</si>
  <si>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麦笆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</si>
  <si>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河南朝一种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</si>
  <si>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</si>
  <si>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锦绣</t>
    </r>
  </si>
  <si>
    <t>胡德</t>
  </si>
  <si>
    <r>
      <t>白酒; 米酒; 苹果酒; 果酒（含酒精）;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</si>
  <si>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SIJAQI 思嘉琪</t>
  </si>
  <si>
    <r>
      <t>北京仁天萌商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</si>
  <si>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威士忌; 清酒（日本米酒）; 果酒（含酒精）;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</si>
  <si>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中.大拿</t>
  </si>
  <si>
    <r>
      <t>南香石家庄酒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</si>
  <si>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</si>
  <si>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楼</t>
    </r>
  </si>
  <si>
    <t>高刘涛</t>
  </si>
  <si>
    <r>
      <t xml:space="preserve">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伏特加酒;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</si>
  <si>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董香百草堂</t>
  </si>
  <si>
    <r>
      <t>白酒; 开胃酒;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餐后酒（利口酒和烈酒）; 清酒（日本米酒）; 米酒; 葡萄酒</t>
    </r>
  </si>
  <si>
    <r>
      <t>粤有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</si>
  <si>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海南岭先酒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</si>
  <si>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青梅酒</t>
    </r>
  </si>
  <si>
    <t>奥黛</t>
  </si>
  <si>
    <r>
      <t>御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（宁夏）有限公司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</si>
  <si>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</si>
  <si>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安清</t>
    </r>
  </si>
  <si>
    <r>
      <t>王永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</si>
  <si>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青稞酒</t>
    </r>
  </si>
  <si>
    <t>慕星</t>
  </si>
  <si>
    <t>石江涛</t>
  </si>
  <si>
    <r>
      <t>白酒;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</si>
  <si>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盈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</si>
  <si>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太芬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</si>
  <si>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米酒; 果酒（含酒精）;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</si>
  <si>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让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</si>
  <si>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潭余江区精田科技有限公司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</si>
  <si>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</si>
  <si>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团结</t>
    </r>
    <r>
      <rPr>
        <sz val="11"/>
        <color theme="1"/>
        <rFont val="ＭＳ Ｐゴシック"/>
        <family val="3"/>
        <charset val="128"/>
        <scheme val="minor"/>
      </rPr>
      <t>口福</t>
    </r>
    <r>
      <rPr>
        <sz val="11"/>
        <color theme="1"/>
        <rFont val="ＭＳ Ｐゴシック"/>
        <family val="3"/>
        <charset val="134"/>
        <scheme val="minor"/>
      </rPr>
      <t>嘢</t>
    </r>
  </si>
  <si>
    <r>
      <t>广西笑笑蚕</t>
    </r>
    <r>
      <rPr>
        <sz val="11"/>
        <color theme="1"/>
        <rFont val="ＭＳ Ｐゴシック"/>
        <family val="3"/>
        <charset val="134"/>
        <scheme val="minor"/>
      </rPr>
      <t>丝绸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</si>
  <si>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</si>
  <si>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仲圣康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</si>
  <si>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康源科技有限公司</t>
    </r>
  </si>
  <si>
    <r>
      <t>葡萄酒;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高粱酒</t>
    </r>
  </si>
  <si>
    <r>
      <t>民竹口福</t>
    </r>
    <r>
      <rPr>
        <sz val="11"/>
        <color theme="1"/>
        <rFont val="ＭＳ Ｐゴシック"/>
        <family val="3"/>
        <charset val="134"/>
        <scheme val="minor"/>
      </rPr>
      <t>嘢</t>
    </r>
  </si>
  <si>
    <r>
      <t>果酒（含酒精）; 开胃酒; 葡萄酒;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</si>
  <si>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赖贵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</si>
  <si>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洪俊</t>
    </r>
  </si>
  <si>
    <r>
      <t>珍情共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</si>
  <si>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广西知乎管理咨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</si>
  <si>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</si>
  <si>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r>
      <t>壬家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</si>
  <si>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州五魁首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</si>
  <si>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烈酒; 果酒; 梅酒; 白酒; 利口酒; 米酒; 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</si>
  <si>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青云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</si>
  <si>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</si>
  <si>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</si>
  <si>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薛禾</t>
  </si>
  <si>
    <r>
      <t>冯</t>
    </r>
    <r>
      <rPr>
        <sz val="11"/>
        <color theme="1"/>
        <rFont val="ＭＳ Ｐゴシック"/>
        <family val="3"/>
        <charset val="128"/>
        <scheme val="minor"/>
      </rPr>
      <t>妍</t>
    </r>
  </si>
  <si>
    <r>
      <t>白酒;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</si>
  <si>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二十四恋</t>
  </si>
  <si>
    <r>
      <t>海南一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</si>
  <si>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</si>
  <si>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王丙秉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</si>
  <si>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州王秉乾王家酒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</si>
  <si>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果酒; 梅酒; 白酒; 黄酒; 米酒;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</t>
    </r>
  </si>
  <si>
    <r>
      <t>滇源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</si>
  <si>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</si>
  <si>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烈酒; 高粱酒;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</si>
  <si>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拾状元酒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</si>
  <si>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州奔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</si>
  <si>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高粱酒</t>
    </r>
  </si>
  <si>
    <r>
      <t>星耀</t>
    </r>
    <r>
      <rPr>
        <sz val="11"/>
        <color theme="1"/>
        <rFont val="ＭＳ Ｐゴシック"/>
        <family val="3"/>
        <charset val="134"/>
        <scheme val="minor"/>
      </rPr>
      <t>萧战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</si>
  <si>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登仲******************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</si>
  <si>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葡萄酒; 威士忌; 白酒; 米酒</t>
    </r>
  </si>
  <si>
    <r>
      <t>皇津花扁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</si>
  <si>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汽酒; 清酒; 黄酒; 利口酒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</si>
  <si>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杰口福</t>
    </r>
    <r>
      <rPr>
        <sz val="11"/>
        <color theme="1"/>
        <rFont val="ＭＳ Ｐゴシック"/>
        <family val="3"/>
        <charset val="134"/>
        <scheme val="minor"/>
      </rPr>
      <t>嘢</t>
    </r>
  </si>
  <si>
    <r>
      <t xml:space="preserve">白酒; 黄酒; 果酒（含酒精）; 开胃酒;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</si>
  <si>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纯</t>
    </r>
  </si>
  <si>
    <t>杜增玉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</si>
  <si>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</si>
  <si>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珺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</si>
  <si>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沙熊</t>
    </r>
    <r>
      <rPr>
        <sz val="11"/>
        <color theme="1"/>
        <rFont val="ＭＳ Ｐゴシック"/>
        <family val="3"/>
        <charset val="134"/>
        <scheme val="minor"/>
      </rPr>
      <t>马贸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</si>
  <si>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蜂蜜酒;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</si>
  <si>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YUMISHUO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</si>
  <si>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梅酒; 黄酒; 日式甜米酒;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日本梅子酒; 青梅酒; 甜酒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</si>
  <si>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之源</t>
    </r>
  </si>
  <si>
    <r>
      <t>北京波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水之源生物科技有限公司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</si>
  <si>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</si>
  <si>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负龙</t>
  </si>
  <si>
    <r>
      <t>于俊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</si>
  <si>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</si>
  <si>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书鱼</t>
  </si>
  <si>
    <r>
      <t>四川天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地酒商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</si>
  <si>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</si>
  <si>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t>金裕白玫</t>
  </si>
  <si>
    <r>
      <t>贺</t>
    </r>
    <r>
      <rPr>
        <sz val="11"/>
        <color theme="1"/>
        <rFont val="ＭＳ Ｐゴシック"/>
        <family val="3"/>
        <charset val="128"/>
        <scheme val="minor"/>
      </rPr>
      <t>利娟******************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</si>
  <si>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果酒（含酒精）; 白酒</t>
    </r>
  </si>
  <si>
    <t>玉白竹玫</t>
  </si>
  <si>
    <r>
      <t xml:space="preserve">葡萄酒;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</si>
  <si>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愈言</t>
  </si>
  <si>
    <r>
      <t>基茵美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州)有限公司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</si>
  <si>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薄荷酒;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</si>
  <si>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峨眉品王至尊</t>
  </si>
  <si>
    <r>
      <t>马</t>
    </r>
    <r>
      <rPr>
        <sz val="11"/>
        <color theme="1"/>
        <rFont val="ＭＳ Ｐゴシック"/>
        <family val="3"/>
        <charset val="128"/>
        <scheme val="minor"/>
      </rPr>
      <t>芹建******************</t>
    </r>
  </si>
  <si>
    <r>
      <t>果酒（含酒精）; 黄酒; 食用酒精; 葡萄酒;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</si>
  <si>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贵鳯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</si>
  <si>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放平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</si>
  <si>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</t>
    </r>
  </si>
  <si>
    <r>
      <t>山居鹿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</si>
  <si>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东乐</t>
    </r>
    <r>
      <rPr>
        <sz val="11"/>
        <color theme="1"/>
        <rFont val="ＭＳ Ｐゴシック"/>
        <family val="3"/>
        <charset val="128"/>
        <scheme val="minor"/>
      </rPr>
      <t>居天下云牧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养殖有限公司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</si>
  <si>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白干酒（中国白酒）</t>
    </r>
  </si>
  <si>
    <r>
      <t>祓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</si>
  <si>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慎洋置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</si>
  <si>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葡萄酒; 青稞酒;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</si>
  <si>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五岳令</t>
  </si>
  <si>
    <t>梁五琴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</si>
  <si>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</si>
  <si>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青玉瑰竹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</si>
  <si>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威士忌; 食用酒精; 米酒</t>
    </r>
  </si>
  <si>
    <t>兼三十</t>
  </si>
  <si>
    <t>合肥市榜十信息科技有限公司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</si>
  <si>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葡萄酒; 威士忌</t>
    </r>
  </si>
  <si>
    <t>御敕金窖</t>
  </si>
  <si>
    <t>王浩</t>
  </si>
  <si>
    <r>
      <t>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</si>
  <si>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FUDAN</t>
  </si>
  <si>
    <t>浙江馥旦生物科技有限公司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</si>
  <si>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清酒（日本米酒）</t>
    </r>
  </si>
  <si>
    <t>飞亿</t>
  </si>
  <si>
    <r>
      <t>张</t>
    </r>
    <r>
      <rPr>
        <sz val="11"/>
        <color theme="1"/>
        <rFont val="ＭＳ Ｐゴシック"/>
        <family val="3"/>
        <charset val="128"/>
        <scheme val="minor"/>
      </rPr>
      <t>士祥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</si>
  <si>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</si>
  <si>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金裕瑰竹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</si>
  <si>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食用酒精</t>
    </r>
  </si>
  <si>
    <t>槐林印象</t>
  </si>
  <si>
    <r>
      <t>高云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</si>
  <si>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白酒; 威士忌;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</si>
  <si>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</si>
  <si>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宁德供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</si>
  <si>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食用酒精; 黄酒; 威士忌; 清酒（日本米酒）;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</si>
  <si>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王茉醇</t>
  </si>
  <si>
    <t>刘海梅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</si>
  <si>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黄酒; 葡萄酒; 开胃酒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</si>
  <si>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氏福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</si>
  <si>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晨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</si>
  <si>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威士忌;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白酒; 葡萄酒; 梅酒</t>
    </r>
  </si>
  <si>
    <t>星拱匠</t>
  </si>
  <si>
    <r>
      <t>广州宜秀餐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</si>
  <si>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苹果酒;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</si>
  <si>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MARECHALLGAAT</t>
  </si>
  <si>
    <r>
      <t>珠海科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克供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</si>
  <si>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威士忌; 米酒;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</si>
  <si>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效先匠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</si>
  <si>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效先酒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</si>
  <si>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</si>
  <si>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昭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朗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</si>
  <si>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</si>
  <si>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玉品朗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</si>
  <si>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开胃酒;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</si>
  <si>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青白竹玫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</si>
  <si>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</si>
  <si>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椰遇</t>
  </si>
  <si>
    <r>
      <t>河南老集口餐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</si>
  <si>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</t>
    </r>
  </si>
  <si>
    <t>医</t>
  </si>
  <si>
    <r>
      <t>北京众医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程健康科技有限公司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</si>
  <si>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</si>
  <si>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舒福佳</t>
  </si>
  <si>
    <t>令狐世俊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</si>
  <si>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</t>
    </r>
  </si>
  <si>
    <t>李世家酒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</si>
  <si>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州李世家供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</si>
  <si>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</si>
  <si>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铂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</si>
  <si>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</si>
  <si>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米酒; 食用酒精;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</si>
  <si>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萄萄</t>
    </r>
    <r>
      <rPr>
        <sz val="11"/>
        <color theme="1"/>
        <rFont val="ＭＳ Ｐゴシック"/>
        <family val="3"/>
        <charset val="134"/>
        <scheme val="minor"/>
      </rPr>
      <t>饷</t>
    </r>
  </si>
  <si>
    <r>
      <t>宁夏养生源枸杞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</si>
  <si>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</si>
  <si>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金裕玫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</si>
  <si>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威士忌; 食用酒精</t>
    </r>
  </si>
  <si>
    <t>新养萃</t>
  </si>
  <si>
    <t>戴佳能</t>
  </si>
  <si>
    <t>甜酒; 白酒; 米酒; 开胃酒; 食用酒精; 黄酒; 果酒; 汽酒; 清酒; 葡萄酒</t>
  </si>
  <si>
    <r>
      <t>金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</si>
  <si>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州皇室国酒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</si>
  <si>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</si>
  <si>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坊商</t>
    </r>
    <r>
      <rPr>
        <sz val="11"/>
        <color theme="1"/>
        <rFont val="ＭＳ Ｐゴシック"/>
        <family val="3"/>
        <charset val="134"/>
        <scheme val="minor"/>
      </rPr>
      <t>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</si>
  <si>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</si>
  <si>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葡萄酒;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</si>
  <si>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山趣</t>
    </r>
  </si>
  <si>
    <r>
      <t>岳阳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山趣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</si>
  <si>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</si>
  <si>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</si>
  <si>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白酒</t>
    </r>
  </si>
  <si>
    <r>
      <t>原</t>
    </r>
    <r>
      <rPr>
        <sz val="11"/>
        <color theme="1"/>
        <rFont val="ＭＳ Ｐゴシック"/>
        <family val="3"/>
        <charset val="134"/>
        <scheme val="minor"/>
      </rPr>
      <t>纪</t>
    </r>
  </si>
  <si>
    <t>左朋</t>
  </si>
  <si>
    <t>白酒; 葡萄酒; 汽酒; 清酒; 黄酒; 果酒; 甜酒; 开胃酒; 米酒; 食用酒精</t>
  </si>
  <si>
    <r>
      <t>酌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瓷</t>
    </r>
  </si>
  <si>
    <r>
      <t>藏奇灵医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</si>
  <si>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蒸煮提取物（利口酒和烈酒）; 伏特加酒; 茴香酒;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</si>
  <si>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窑花瓷</t>
  </si>
  <si>
    <r>
      <t>衡水鑫智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信息科技中心（有限合伙）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</si>
  <si>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</si>
  <si>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</si>
  <si>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甜酒;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</si>
  <si>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起去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</si>
  <si>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沙市彩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</si>
  <si>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清酒（日本米酒）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</si>
  <si>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伲诺</t>
    </r>
    <r>
      <rPr>
        <sz val="11"/>
        <color theme="1"/>
        <rFont val="ＭＳ Ｐゴシック"/>
        <family val="3"/>
        <charset val="128"/>
        <scheme val="minor"/>
      </rPr>
      <t>曼</t>
    </r>
  </si>
  <si>
    <r>
      <t>烟台尊尼菲迪酒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</si>
  <si>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朗姆酒; 烈酒</t>
    </r>
  </si>
  <si>
    <t>德供山水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</si>
  <si>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清酒（日本米酒）; 白酒</t>
    </r>
  </si>
  <si>
    <r>
      <t>小食</t>
    </r>
    <r>
      <rPr>
        <sz val="11"/>
        <color theme="1"/>
        <rFont val="ＭＳ Ｐゴシック"/>
        <family val="3"/>
        <charset val="134"/>
        <scheme val="minor"/>
      </rPr>
      <t>岁</t>
    </r>
  </si>
  <si>
    <t>冉奎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</si>
  <si>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果酒（含酒精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</si>
  <si>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缘赢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</si>
  <si>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</si>
  <si>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</si>
  <si>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XIONGMEIQING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</si>
  <si>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</si>
  <si>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声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</si>
  <si>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</si>
  <si>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黄酒; 米酒; 露酒;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</si>
  <si>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仲复元</t>
  </si>
  <si>
    <r>
      <t>张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</si>
  <si>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果酒（含酒精）;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</si>
  <si>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竹五福酒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</si>
  <si>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</si>
  <si>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真之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</si>
  <si>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区晨越江商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</si>
  <si>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开胃酒;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</si>
  <si>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r>
      <t>喀仕名城</t>
    </r>
    <r>
      <rPr>
        <sz val="11"/>
        <color theme="1"/>
        <rFont val="ＭＳ Ｐゴシック"/>
        <family val="3"/>
        <charset val="134"/>
        <scheme val="minor"/>
      </rPr>
      <t>徕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</si>
  <si>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美霞</t>
    </r>
  </si>
  <si>
    <r>
      <t>黄酒; 葡萄酒; 蜂蜜酒; 白酒; 果酒; 米酒; 利口酒;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</si>
  <si>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滹畔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</si>
  <si>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巨禄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</si>
  <si>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</si>
  <si>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礼三品</t>
  </si>
  <si>
    <r>
      <t>新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全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力（北京）科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</si>
  <si>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</si>
  <si>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董大状</t>
  </si>
  <si>
    <r>
      <t>中山市文武百年文化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</si>
  <si>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清酒; 青稞酒; 伏特加酒; 葡萄酒;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</si>
  <si>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十里坡</t>
  </si>
  <si>
    <r>
      <t>美酒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堂有限公司</t>
    </r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</si>
  <si>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白酒; 米酒; 利口酒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</si>
  <si>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事成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</si>
  <si>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铭铠</t>
    </r>
  </si>
  <si>
    <r>
      <t>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白酒</t>
    </r>
  </si>
  <si>
    <r>
      <t>宁夏沃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丰葡萄酒有限公司</t>
    </r>
  </si>
  <si>
    <r>
      <t>开胃酒; 苹果酒;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</si>
  <si>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老六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</si>
  <si>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</si>
  <si>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果酒（含酒精）;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</si>
  <si>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董花瓷</t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</si>
  <si>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</si>
  <si>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九匠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</si>
  <si>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</si>
  <si>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开胃酒; 威士忌; 果酒（含酒精）; 烈酒</t>
    </r>
  </si>
  <si>
    <r>
      <t>真好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德天福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</si>
  <si>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德天福酒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</si>
  <si>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</si>
  <si>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墨云辞</t>
  </si>
  <si>
    <r>
      <t>河北云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</si>
  <si>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</si>
  <si>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萨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</si>
  <si>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喀什荣祥商源商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</si>
  <si>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</si>
  <si>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赊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</si>
  <si>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黄酒</t>
    </r>
  </si>
  <si>
    <r>
      <t>吴窖青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</si>
  <si>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州市吴家酒酒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</si>
  <si>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</si>
  <si>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t>吴窖年份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</si>
  <si>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清酒（日本米酒）; 黄酒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</si>
  <si>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</si>
  <si>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舟山市</t>
    </r>
    <r>
      <rPr>
        <sz val="11"/>
        <color theme="1"/>
        <rFont val="ＭＳ Ｐゴシック"/>
        <family val="3"/>
        <charset val="134"/>
        <scheme val="minor"/>
      </rPr>
      <t>钒</t>
    </r>
    <r>
      <rPr>
        <sz val="11"/>
        <color theme="1"/>
        <rFont val="ＭＳ Ｐゴシック"/>
        <family val="3"/>
        <charset val="128"/>
        <scheme val="minor"/>
      </rPr>
      <t>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</si>
  <si>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</si>
  <si>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浙茂</t>
  </si>
  <si>
    <r>
      <t>常山浙茂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</si>
  <si>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蜂蜜酒;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</si>
  <si>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池复刻</t>
    </r>
  </si>
  <si>
    <r>
      <t>峨眉山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</si>
  <si>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清酒（日本米酒）; 葡萄酒</t>
    </r>
  </si>
  <si>
    <r>
      <t>默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开元盛世</t>
    </r>
  </si>
  <si>
    <r>
      <t>求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</si>
  <si>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</si>
  <si>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卓源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</si>
  <si>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白酒; 葡萄酒</t>
    </r>
  </si>
  <si>
    <t>伊欧芬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</si>
  <si>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益康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</si>
  <si>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</si>
  <si>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倍美婷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</si>
  <si>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</t>
    </r>
  </si>
  <si>
    <t>MEDUSA SUMERAGI</t>
  </si>
  <si>
    <r>
      <t>上海美狄莎思美奇商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</si>
  <si>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</si>
  <si>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</si>
  <si>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州工律信用管理服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</si>
  <si>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青稞酒; 食用酒精;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</si>
  <si>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丰粒</t>
  </si>
  <si>
    <r>
      <t>崔迪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</si>
  <si>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果酒（含酒精）; 蜂蜜酒; 青稞酒; 伏特加酒;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</si>
  <si>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春秋</t>
    </r>
  </si>
  <si>
    <t>卓素婷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</si>
  <si>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</t>
    </r>
  </si>
  <si>
    <r>
      <t>漷</t>
    </r>
    <r>
      <rPr>
        <sz val="11"/>
        <color theme="1"/>
        <rFont val="ＭＳ Ｐゴシック"/>
        <family val="3"/>
        <charset val="128"/>
        <scheme val="minor"/>
      </rPr>
      <t>州九千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</si>
  <si>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北京</t>
    </r>
    <r>
      <rPr>
        <sz val="11"/>
        <color theme="1"/>
        <rFont val="ＭＳ Ｐゴシック"/>
        <family val="3"/>
        <charset val="129"/>
        <scheme val="minor"/>
      </rPr>
      <t>漷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</si>
  <si>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清酒（日本米酒）; 白酒</t>
    </r>
  </si>
  <si>
    <t>御黄袍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</si>
  <si>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</si>
  <si>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蜂蜜酒; 葡萄酒;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</si>
  <si>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t>朕躬</t>
  </si>
  <si>
    <r>
      <t>虚本妙智医学研究（广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</si>
  <si>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蜂蜜酒; 白酒; 青稞酒; 苹果酒; 葡萄酒; 杜松子酒;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</si>
  <si>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池清雅</t>
    </r>
  </si>
  <si>
    <r>
      <t>伏特加酒;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</si>
  <si>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</si>
  <si>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信同利</t>
  </si>
  <si>
    <t>温展庭</t>
  </si>
  <si>
    <r>
      <t>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</si>
  <si>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巧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</si>
  <si>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市立信会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</si>
  <si>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</si>
  <si>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一品皇口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</si>
  <si>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</si>
  <si>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米酒;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</si>
  <si>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ARRIVE MANOR 夏朗特阿利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</si>
  <si>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广州市阿利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</si>
  <si>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清酒;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</si>
  <si>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鲁腾</t>
    </r>
    <r>
      <rPr>
        <sz val="11"/>
        <color theme="1"/>
        <rFont val="ＭＳ Ｐゴシック"/>
        <family val="3"/>
        <charset val="128"/>
        <scheme val="minor"/>
      </rPr>
      <t>百老泉</t>
    </r>
  </si>
  <si>
    <r>
      <t>海翔（山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</si>
  <si>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</si>
  <si>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俞</t>
    </r>
    <r>
      <rPr>
        <sz val="11"/>
        <color theme="1"/>
        <rFont val="ＭＳ Ｐゴシック"/>
        <family val="3"/>
        <charset val="128"/>
        <scheme val="minor"/>
      </rPr>
      <t>家古夷</t>
    </r>
  </si>
  <si>
    <r>
      <t>福州味美嘉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</si>
  <si>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米酒; 黄酒</t>
    </r>
  </si>
  <si>
    <r>
      <t>默</t>
    </r>
    <r>
      <rPr>
        <sz val="11"/>
        <color theme="1"/>
        <rFont val="ＭＳ Ｐゴシック"/>
        <family val="3"/>
        <charset val="134"/>
        <scheme val="minor"/>
      </rPr>
      <t>识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</si>
  <si>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清酒;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</si>
  <si>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桂德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道堂</t>
    </r>
  </si>
  <si>
    <r>
      <t>阜阳市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德方道堂中医</t>
    </r>
    <r>
      <rPr>
        <sz val="11"/>
        <color theme="1"/>
        <rFont val="ＭＳ Ｐゴシック"/>
        <family val="3"/>
        <charset val="134"/>
        <scheme val="minor"/>
      </rPr>
      <t>诊</t>
    </r>
    <r>
      <rPr>
        <sz val="11"/>
        <color theme="1"/>
        <rFont val="ＭＳ Ｐゴシック"/>
        <family val="3"/>
        <charset val="128"/>
        <scheme val="minor"/>
      </rPr>
      <t>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</si>
  <si>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柑香酒;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茴芹酒（利口酒）;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</si>
  <si>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小梅屋雅集</t>
  </si>
  <si>
    <t>普宁市小梅屋食品有限公司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</si>
  <si>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梅酒;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</si>
  <si>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股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</si>
  <si>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</si>
  <si>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安徽省中茂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</si>
  <si>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米酒; 汽酒; 高粱酒; 开胃酒;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</si>
  <si>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r>
      <t>千金</t>
    </r>
    <r>
      <rPr>
        <sz val="11"/>
        <color theme="1"/>
        <rFont val="ＭＳ Ｐゴシック"/>
        <family val="3"/>
        <charset val="134"/>
        <scheme val="minor"/>
      </rPr>
      <t>湭</t>
    </r>
  </si>
  <si>
    <t>蔡荣宗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</si>
  <si>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烈酒; 高粱酒; 米酒; 白酒; 清酒;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</si>
  <si>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旦氏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</si>
  <si>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高粱酒;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</si>
  <si>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海泉手工班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</si>
  <si>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宁海泉酒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</si>
  <si>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果酒</t>
    </r>
  </si>
  <si>
    <t>OVEROTIE·SHEEPSHEAD</t>
  </si>
  <si>
    <r>
      <t>付洋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</si>
  <si>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茴芹酒（利口酒）; 果酒（含酒精）; 青稞酒; 葡萄酒; 利口酒; 伏特加酒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</si>
  <si>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 xml:space="preserve"> 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 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牌礼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</si>
  <si>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</si>
  <si>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烈酒</t>
    </r>
  </si>
  <si>
    <t>EUCADOW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</si>
  <si>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</si>
  <si>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</si>
  <si>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</si>
  <si>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古老酒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</si>
  <si>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</si>
  <si>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欧裕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廷·大羊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</si>
  <si>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 xml:space="preserve">清酒（日本米酒）; 威士忌; 茴芹酒（利口酒）;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利口酒; 开胃酒; 伏特加酒; 青稞酒</t>
    </r>
  </si>
  <si>
    <t>周宇</t>
  </si>
  <si>
    <r>
      <t>江西喜唱文化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</si>
  <si>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混合威士忌酒;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</si>
  <si>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洪州雅女</t>
  </si>
  <si>
    <r>
      <t>丹棱</t>
    </r>
    <r>
      <rPr>
        <sz val="11"/>
        <color theme="1"/>
        <rFont val="ＭＳ Ｐゴシック"/>
        <family val="3"/>
        <charset val="134"/>
        <scheme val="minor"/>
      </rPr>
      <t>县张场</t>
    </r>
    <r>
      <rPr>
        <sz val="11"/>
        <color theme="1"/>
        <rFont val="ＭＳ Ｐゴシック"/>
        <family val="3"/>
        <charset val="128"/>
        <scheme val="minor"/>
      </rPr>
      <t>白酒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</si>
  <si>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伏特加酒; 蒸煮提取物（利口酒和烈酒）; 黄酒; 白酒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</si>
  <si>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奔卡</t>
    </r>
    <r>
      <rPr>
        <sz val="11"/>
        <color theme="1"/>
        <rFont val="ＭＳ Ｐゴシック"/>
        <family val="3"/>
        <charset val="134"/>
        <scheme val="minor"/>
      </rPr>
      <t>赣陈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</si>
  <si>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州禾富布</t>
    </r>
    <r>
      <rPr>
        <sz val="11"/>
        <color theme="1"/>
        <rFont val="ＭＳ Ｐゴシック"/>
        <family val="3"/>
        <charset val="134"/>
        <scheme val="minor"/>
      </rPr>
      <t>诺萨</t>
    </r>
    <r>
      <rPr>
        <sz val="11"/>
        <color theme="1"/>
        <rFont val="ＭＳ Ｐゴシック"/>
        <family val="3"/>
        <charset val="128"/>
        <scheme val="minor"/>
      </rPr>
      <t>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</si>
  <si>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青稞酒; 果酒; 白酒; 汽酒; 利口酒; 葡萄酒</t>
    </r>
  </si>
  <si>
    <t>OVEROTIE·KANGAROO</t>
  </si>
  <si>
    <r>
      <t xml:space="preserve">葡萄酒; 伏特加酒; 利口酒; 威士忌;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开胃酒; 茴芹酒（利口酒）</t>
    </r>
  </si>
  <si>
    <r>
      <t>芙蓉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</si>
  <si>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州壹玖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</si>
  <si>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</si>
  <si>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夺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</si>
  <si>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 xml:space="preserve">葡萄酒; 餐后酒（利口酒和烈酒）;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烈酒; 露酒; 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</si>
  <si>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尚品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</si>
  <si>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果酒;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</si>
  <si>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皇礼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</si>
  <si>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清酒; 黄酒; 米酒; 果酒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</si>
  <si>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天匠</t>
    </r>
  </si>
  <si>
    <r>
      <t>白酒; 清酒;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果酒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</si>
  <si>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</si>
  <si>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容易百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</si>
  <si>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茴芹酒（利口酒）;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</si>
  <si>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t>程醴百草</t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</si>
  <si>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</si>
  <si>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黄酒; 米酒; 威士忌; 蜂蜜酒</t>
    </r>
  </si>
  <si>
    <t>必珍水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</si>
  <si>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盈趣科技股份有限公司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</si>
  <si>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</si>
  <si>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御藏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</si>
  <si>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</si>
  <si>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众粮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</si>
  <si>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</si>
  <si>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食用酒精;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</si>
  <si>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欧裕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廷·袋鼠</t>
    </r>
  </si>
  <si>
    <r>
      <t xml:space="preserve">葡萄酒;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茴芹酒（利口酒）; 青稞酒; 利口酒; 开胃酒; 清酒（日本米酒）; 果酒（含酒精）</t>
    </r>
  </si>
  <si>
    <t>AUSMOON BAY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</si>
  <si>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葡萄酒; 威士忌; 清酒; 白酒;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</si>
  <si>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君上一人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</si>
  <si>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仓颉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</si>
  <si>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食用酒精; 白酒;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开胃酒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</si>
  <si>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</si>
  <si>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白酒; 清酒; 果酒; 白葡萄酒;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</si>
  <si>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乾</t>
    </r>
  </si>
  <si>
    <r>
      <t>王利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</si>
  <si>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开胃酒; 黄酒; 伏特加酒; 葡萄酒; 清酒;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</si>
  <si>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椰昌圣</t>
  </si>
  <si>
    <t>海南椰昌圣科技有限公司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</si>
  <si>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</si>
  <si>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火中仙</t>
  </si>
  <si>
    <t>徐永富</t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</si>
  <si>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蜂蜜酒;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</si>
  <si>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精匠</t>
    </r>
  </si>
  <si>
    <r>
      <t>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</si>
  <si>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汉饺说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</si>
  <si>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氢</t>
    </r>
    <r>
      <rPr>
        <sz val="11"/>
        <color theme="1"/>
        <rFont val="ＭＳ Ｐゴシック"/>
        <family val="3"/>
        <charset val="128"/>
        <scheme val="minor"/>
      </rPr>
      <t>食品牌管理有限公司</t>
    </r>
  </si>
  <si>
    <r>
      <t>果酒（含酒精）; 米酒; 白酒; 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</si>
  <si>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金奔卡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</si>
  <si>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青稞酒; 果酒; 开胃酒; 葡萄酒; 威士忌</t>
    </r>
  </si>
  <si>
    <t>魏玢杏韵</t>
  </si>
  <si>
    <t>魏峰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</si>
  <si>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高粱酒;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苦味酒</t>
    </r>
  </si>
  <si>
    <t>晋祠</t>
  </si>
  <si>
    <r>
      <t>太原酒厂有限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</si>
  <si>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烈酒;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</si>
  <si>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子口</t>
  </si>
  <si>
    <r>
      <t>安徽口子酒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</si>
  <si>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</si>
  <si>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PET WAG!</t>
  </si>
  <si>
    <r>
      <t>南京佛勒都娜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</si>
  <si>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</si>
  <si>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</si>
  <si>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选锦</t>
    </r>
  </si>
  <si>
    <r>
      <t xml:space="preserve">黄酒; 茴香酒; 果酒（含酒精）; 葡萄酒;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</t>
    </r>
  </si>
  <si>
    <t>HAN'S DUMPLING TALES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</si>
  <si>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米酒;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</si>
  <si>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安馥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</si>
  <si>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西太极医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</si>
  <si>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酸酒（低等葡萄酒）;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白酒</t>
    </r>
  </si>
  <si>
    <r>
      <t>淄</t>
    </r>
    <r>
      <rPr>
        <sz val="11"/>
        <color theme="1"/>
        <rFont val="ＭＳ Ｐゴシック"/>
        <family val="3"/>
        <charset val="134"/>
        <scheme val="minor"/>
      </rPr>
      <t>风汉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</si>
  <si>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</si>
  <si>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煮与</t>
  </si>
  <si>
    <r>
      <t>标铭</t>
    </r>
    <r>
      <rPr>
        <sz val="11"/>
        <color theme="1"/>
        <rFont val="ＭＳ Ｐゴシック"/>
        <family val="3"/>
        <charset val="128"/>
        <scheme val="minor"/>
      </rPr>
      <t>（秦皇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</si>
  <si>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清酒（日本米酒）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</si>
  <si>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和匠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</si>
  <si>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清酒; 葡萄酒; 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</si>
  <si>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濮僚</t>
    </r>
    <r>
      <rPr>
        <sz val="11"/>
        <color theme="1"/>
        <rFont val="ＭＳ Ｐゴシック"/>
        <family val="3"/>
        <charset val="134"/>
        <scheme val="minor"/>
      </rPr>
      <t>鲵龙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</si>
  <si>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州濮僚</t>
    </r>
    <r>
      <rPr>
        <sz val="11"/>
        <color theme="1"/>
        <rFont val="ＭＳ Ｐゴシック"/>
        <family val="3"/>
        <charset val="134"/>
        <scheme val="minor"/>
      </rPr>
      <t>鲵龙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</si>
  <si>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开胃酒; 黄酒; 白酒; 葡萄酒</t>
    </r>
  </si>
  <si>
    <t>NONOMART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</si>
  <si>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特宇宙数字科技有限公司</t>
    </r>
  </si>
  <si>
    <r>
      <t xml:space="preserve">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</si>
  <si>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如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</si>
  <si>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千嬉供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</si>
  <si>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烈酒; 伏特加酒; 果酒;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</si>
  <si>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海泉M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</si>
  <si>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</si>
  <si>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海泉臻品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</si>
  <si>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葡萄酒; 米酒; 黄酒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</si>
  <si>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台女王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</si>
  <si>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</si>
  <si>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薄荷酒;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</t>
    </r>
  </si>
  <si>
    <t>米叨叨</t>
  </si>
  <si>
    <t>妙探（深圳）科技有限公司</t>
  </si>
  <si>
    <r>
      <t>果酒; 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烈酒; 白酒; 葡萄酒; 威士忌</t>
    </r>
  </si>
  <si>
    <t>晋傅</t>
  </si>
  <si>
    <t>王俊勇</t>
  </si>
  <si>
    <r>
      <t>食用酒精;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露酒</t>
    </r>
  </si>
  <si>
    <t>疆小静</t>
  </si>
  <si>
    <r>
      <t>陈银</t>
    </r>
    <r>
      <rPr>
        <sz val="11"/>
        <color theme="1"/>
        <rFont val="ＭＳ Ｐゴシック"/>
        <family val="3"/>
        <charset val="128"/>
        <scheme val="minor"/>
      </rPr>
      <t>娣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</si>
  <si>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青稞酒; 果酒（含酒精）; 白酒; 黄酒; 米酒</t>
    </r>
  </si>
  <si>
    <r>
      <t>中喜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</si>
  <si>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爱桥</t>
    </r>
  </si>
  <si>
    <r>
      <t>白酒;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蜂蜜酒; 烈酒; 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</si>
  <si>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金玉豪庭</t>
  </si>
  <si>
    <r>
      <t>君理（上海）国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</si>
  <si>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米酒; 黄酒; 清酒（日本米酒）</t>
    </r>
  </si>
  <si>
    <t>安代田野</t>
  </si>
  <si>
    <r>
      <t>奈曼旗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健新能源科技有限公司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</si>
  <si>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果酒（含酒精）;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</si>
  <si>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景医森</t>
  </si>
  <si>
    <t>邱佳佳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</si>
  <si>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黄酒</t>
    </r>
  </si>
  <si>
    <t>佳麦</t>
  </si>
  <si>
    <t>邹华顺</t>
  </si>
  <si>
    <r>
      <t xml:space="preserve">葡萄酒;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清酒（日本米酒）</t>
    </r>
  </si>
  <si>
    <t>六牛潭</t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</si>
  <si>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森淼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</si>
  <si>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清酒; 烈酒; 茴芹酒（利口酒）; 利口酒;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果酒; 米酒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</si>
  <si>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</si>
  <si>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金霞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</si>
  <si>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米酒;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</si>
  <si>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物能元命</t>
  </si>
  <si>
    <r>
      <t>上海悦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</si>
  <si>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餐后酒（利口酒和烈酒）; 茴芹酒（利口酒）;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</si>
  <si>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</si>
  <si>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公益基金会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</si>
  <si>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</si>
  <si>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零趣</t>
  </si>
  <si>
    <t>福建零趣食品有限公司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</si>
  <si>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</si>
  <si>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</si>
  <si>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涡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县兴</t>
    </r>
    <r>
      <rPr>
        <sz val="11"/>
        <color theme="1"/>
        <rFont val="ＭＳ Ｐゴシック"/>
        <family val="3"/>
        <charset val="128"/>
        <scheme val="minor"/>
      </rPr>
      <t>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</si>
  <si>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蜂蜜酒;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</si>
  <si>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百合与天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</si>
  <si>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堡巴欧国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易河北有限公司</t>
    </r>
  </si>
  <si>
    <r>
      <t>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威士忌;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</si>
  <si>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花朗台</t>
  </si>
  <si>
    <r>
      <t>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</si>
  <si>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</t>
    </r>
  </si>
  <si>
    <t>皇冠山古堡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</si>
  <si>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儒久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</si>
  <si>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</si>
  <si>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江府</t>
    </r>
  </si>
  <si>
    <r>
      <t>魏建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</si>
  <si>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伏特加酒; 清酒;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黄酒</t>
    </r>
  </si>
  <si>
    <t>丁晴</t>
  </si>
  <si>
    <r>
      <t>爱</t>
    </r>
    <r>
      <rPr>
        <sz val="11"/>
        <color theme="1"/>
        <rFont val="ＭＳ Ｐゴシック"/>
        <family val="3"/>
        <charset val="128"/>
        <scheme val="minor"/>
      </rPr>
      <t>不</t>
    </r>
    <r>
      <rPr>
        <sz val="11"/>
        <color theme="1"/>
        <rFont val="ＭＳ Ｐゴシック"/>
        <family val="3"/>
        <charset val="134"/>
        <scheme val="minor"/>
      </rPr>
      <t>释</t>
    </r>
    <r>
      <rPr>
        <sz val="11"/>
        <color theme="1"/>
        <rFont val="ＭＳ Ｐゴシック"/>
        <family val="3"/>
        <charset val="128"/>
        <scheme val="minor"/>
      </rPr>
      <t>手集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(香港)有限公司</t>
    </r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</si>
  <si>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甘蔗制烈酒;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</si>
  <si>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酿杂陈</t>
    </r>
  </si>
  <si>
    <r>
      <t>武宣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二塘</t>
    </r>
    <r>
      <rPr>
        <sz val="11"/>
        <color theme="1"/>
        <rFont val="ＭＳ Ｐゴシック"/>
        <family val="3"/>
        <charset val="134"/>
        <scheme val="minor"/>
      </rPr>
      <t>镇陇</t>
    </r>
    <r>
      <rPr>
        <sz val="11"/>
        <color theme="1"/>
        <rFont val="ＭＳ Ｐゴシック"/>
        <family val="3"/>
        <charset val="128"/>
        <scheme val="minor"/>
      </rPr>
      <t>村少敏商店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</si>
  <si>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果酒（含酒精）; 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</si>
  <si>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藏美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</si>
  <si>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区志琳江商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</si>
  <si>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</si>
  <si>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龙总</t>
    </r>
    <r>
      <rPr>
        <sz val="11"/>
        <color theme="1"/>
        <rFont val="ＭＳ Ｐゴシック"/>
        <family val="3"/>
        <charset val="128"/>
        <scheme val="minor"/>
      </rPr>
      <t>管</t>
    </r>
  </si>
  <si>
    <r>
      <t>张庆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</si>
  <si>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清酒; 开胃酒; 葡萄酒; 蒸煮提取物(利口酒和烈酒);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</si>
  <si>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r>
      <t>载</t>
    </r>
    <r>
      <rPr>
        <sz val="11"/>
        <color theme="1"/>
        <rFont val="ＭＳ Ｐゴシック"/>
        <family val="3"/>
        <charset val="128"/>
        <scheme val="minor"/>
      </rPr>
      <t>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</si>
  <si>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州运和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</si>
  <si>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</si>
  <si>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</si>
  <si>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泉州市洛江区双阳水良吉商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</si>
  <si>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</si>
  <si>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正融天下平凹古坊</t>
  </si>
  <si>
    <t>赵军锋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</si>
  <si>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黄酒; 清酒; 葡萄酒; 果酒; 果酒（含酒精）; 白酒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</si>
  <si>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</si>
  <si>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 xml:space="preserve">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</si>
  <si>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MOSEJA</t>
  </si>
  <si>
    <r>
      <t>马语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</si>
  <si>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朗姆酒; 葡萄酒; 烈酒; 不起泡葡萄酒;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</si>
  <si>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</si>
  <si>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鹏讯</t>
  </si>
  <si>
    <r>
      <t>鹏讯</t>
    </r>
    <r>
      <rPr>
        <sz val="11"/>
        <color theme="1"/>
        <rFont val="ＭＳ Ｐゴシック"/>
        <family val="3"/>
        <charset val="128"/>
        <scheme val="minor"/>
      </rPr>
      <t>数科深圳有限公司</t>
    </r>
  </si>
  <si>
    <r>
      <t xml:space="preserve">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白酒; 米酒; 松叶酒;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</si>
  <si>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申到</t>
  </si>
  <si>
    <r>
      <t>福清市万象美</t>
    </r>
    <r>
      <rPr>
        <sz val="11"/>
        <color theme="1"/>
        <rFont val="ＭＳ Ｐゴシック"/>
        <family val="3"/>
        <charset val="134"/>
        <scheme val="minor"/>
      </rPr>
      <t>缝</t>
    </r>
    <r>
      <rPr>
        <sz val="11"/>
        <color theme="1"/>
        <rFont val="ＭＳ Ｐゴシック"/>
        <family val="3"/>
        <charset val="128"/>
        <scheme val="minor"/>
      </rPr>
      <t>建材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</si>
  <si>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米酒;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</si>
  <si>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姝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</si>
  <si>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可尚德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</si>
  <si>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</si>
  <si>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许艳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</si>
  <si>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青稞酒</t>
    </r>
  </si>
  <si>
    <t>皇家山老藤古堡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</si>
  <si>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米酒; 利口酒</t>
    </r>
  </si>
  <si>
    <r>
      <t>匠的</t>
    </r>
    <r>
      <rPr>
        <sz val="11"/>
        <color theme="1"/>
        <rFont val="ＭＳ Ｐゴシック"/>
        <family val="3"/>
        <charset val="134"/>
        <scheme val="minor"/>
      </rPr>
      <t>顾</t>
    </r>
  </si>
  <si>
    <r>
      <t>温州市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德文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</si>
  <si>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</si>
  <si>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黄河口本来味稻</t>
  </si>
  <si>
    <r>
      <t>东营</t>
    </r>
    <r>
      <rPr>
        <sz val="11"/>
        <color theme="1"/>
        <rFont val="ＭＳ Ｐゴシック"/>
        <family val="3"/>
        <charset val="128"/>
        <scheme val="minor"/>
      </rPr>
      <t>市本来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</si>
  <si>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高粱酒;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</si>
  <si>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简为</t>
    </r>
    <r>
      <rPr>
        <sz val="11"/>
        <color theme="1"/>
        <rFont val="ＭＳ Ｐゴシック"/>
        <family val="3"/>
        <charset val="128"/>
        <scheme val="minor"/>
      </rPr>
      <t>酒非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</si>
  <si>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南凌志众成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</si>
  <si>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苹果酒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</si>
  <si>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</si>
  <si>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黄酒;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清酒（日本米酒）</t>
    </r>
  </si>
  <si>
    <r>
      <t>示</t>
    </r>
    <r>
      <rPr>
        <sz val="11"/>
        <color theme="1"/>
        <rFont val="ＭＳ Ｐゴシック"/>
        <family val="3"/>
        <charset val="134"/>
        <scheme val="minor"/>
      </rPr>
      <t>单</t>
    </r>
  </si>
  <si>
    <t>港塑有限公司</t>
  </si>
  <si>
    <r>
      <t>食用酒精;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</si>
  <si>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皇家山古藤城堡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</si>
  <si>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白酒; 果酒（含酒精）</t>
    </r>
  </si>
  <si>
    <t>FLAG GUAN</t>
  </si>
  <si>
    <r>
      <t>上海智泓广告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</si>
  <si>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</si>
  <si>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骏鸿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</si>
  <si>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小燕</t>
    </r>
  </si>
  <si>
    <r>
      <t>白酒; 清酒;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果酒（含酒精）; 黄酒</t>
    </r>
  </si>
  <si>
    <t>酒云速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</si>
  <si>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州酒宜佳食品科技有限公司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</si>
  <si>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天然汽酒; 黄酒; 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</si>
  <si>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杏福</t>
    </r>
    <r>
      <rPr>
        <sz val="11"/>
        <color theme="1"/>
        <rFont val="ＭＳ Ｐゴシック"/>
        <family val="3"/>
        <charset val="134"/>
        <scheme val="minor"/>
      </rPr>
      <t>飞扬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</si>
  <si>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</si>
  <si>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清酒（日本米酒）;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</si>
  <si>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龙图</t>
    </r>
    <r>
      <rPr>
        <sz val="11"/>
        <color theme="1"/>
        <rFont val="ＭＳ Ｐゴシック"/>
        <family val="3"/>
        <charset val="128"/>
        <scheme val="minor"/>
      </rPr>
      <t>大展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</si>
  <si>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</si>
  <si>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</si>
  <si>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三千</t>
    </r>
    <r>
      <rPr>
        <sz val="11"/>
        <color theme="1"/>
        <rFont val="ＭＳ Ｐゴシック"/>
        <family val="3"/>
        <charset val="134"/>
        <scheme val="minor"/>
      </rPr>
      <t>沥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</si>
  <si>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屋网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</si>
  <si>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含酒精的气泡水;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</si>
  <si>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诚马</t>
    </r>
  </si>
  <si>
    <t>刘春文</t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</si>
  <si>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</si>
  <si>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芳</t>
    </r>
    <r>
      <rPr>
        <sz val="11"/>
        <color theme="1"/>
        <rFont val="ＭＳ Ｐゴシック"/>
        <family val="3"/>
        <charset val="134"/>
        <scheme val="minor"/>
      </rPr>
      <t>华凤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</si>
  <si>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工有限公司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</si>
  <si>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</si>
  <si>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棣花唐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之路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</si>
  <si>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</si>
  <si>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清酒（日本米酒）; 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</si>
  <si>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欧珂沙</t>
  </si>
  <si>
    <r>
      <t>北京索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</si>
  <si>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威士忌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</si>
  <si>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湶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</si>
  <si>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世康医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</si>
  <si>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朗姆酒; 白酒; 果酒; 葡萄酒; 黄酒</t>
    </r>
  </si>
  <si>
    <r>
      <t>天津市武清区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</si>
  <si>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威士忌;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</si>
  <si>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</si>
  <si>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食用酒精;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</si>
  <si>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洛蒂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•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瓦尼和尼古拉斯兄弟的洛蒂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烈酒普通合伙公司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</si>
  <si>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茴香酒（利口酒）; 朗姆酒; 葡萄酒; 杜松子酒; 威末酒; 苦味酒; 餐后酒（利口酒和烈酒）; 加烈葡萄酒; 利口酒;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</si>
  <si>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陈跃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</si>
  <si>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梨酒; 高粱酒; 果酒; 食用酒精;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</si>
  <si>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9"/>
        <scheme val="minor"/>
      </rPr>
      <t>朵朵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</si>
  <si>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云酒（重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</si>
  <si>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</si>
  <si>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骏马</t>
    </r>
  </si>
  <si>
    <r>
      <t>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</si>
  <si>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凰雀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</si>
  <si>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</si>
  <si>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BLOSSOMSYA-SO</t>
  </si>
  <si>
    <r>
      <t xml:space="preserve">含酒精的气泡水;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</si>
  <si>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缝</t>
    </r>
    <r>
      <rPr>
        <sz val="11"/>
        <color theme="1"/>
        <rFont val="ＭＳ Ｐゴシック"/>
        <family val="3"/>
        <charset val="128"/>
        <scheme val="minor"/>
      </rPr>
      <t>娘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</si>
  <si>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德服装有限公司</t>
    </r>
  </si>
  <si>
    <r>
      <t xml:space="preserve">果酒; 高粱酒;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</si>
  <si>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CYBERBEAST</t>
  </si>
  <si>
    <r>
      <t>广州旗捷信息技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</si>
  <si>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黄酒; 米酒; 果酒（含酒精）; 白酒; 葡萄酒</t>
    </r>
  </si>
  <si>
    <r>
      <t>天津荣霞食品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</si>
  <si>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</si>
  <si>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拳王老板娘</t>
  </si>
  <si>
    <r>
      <t>魏梦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</si>
  <si>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清酒;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杜松子酒; 威末酒;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</si>
  <si>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LADDERSEA</t>
  </si>
  <si>
    <t>梯海(北京)文化体育有限公司</t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</si>
  <si>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</si>
  <si>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龟兹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农</t>
    </r>
  </si>
  <si>
    <t>范彦富</t>
  </si>
  <si>
    <r>
      <t xml:space="preserve">蒸煮提取物（利口酒和烈酒）;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</si>
  <si>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娪</t>
  </si>
  <si>
    <r>
      <t>天津市明星培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学校有限公司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</si>
  <si>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刺五加酒;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蜂蜜酒</t>
    </r>
  </si>
  <si>
    <t>HAPPYOLE</t>
  </si>
  <si>
    <r>
      <t>欧雷和欧雷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</si>
  <si>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</si>
  <si>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方格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</si>
  <si>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利平</t>
    </r>
  </si>
  <si>
    <r>
      <t>葡萄酒; 食用酒精;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</si>
  <si>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摩窖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</si>
  <si>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先喜</t>
    </r>
  </si>
  <si>
    <r>
      <t>清酒（日本米酒）; 威士忌; 葡萄酒; 伏特加酒;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黄酒; 果酒</t>
    </r>
  </si>
  <si>
    <r>
      <t>谷云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</si>
  <si>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山李家万松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</si>
  <si>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果酒（含酒精）; 白酒; 葡萄酒; 食用酒精; 黄酒</t>
    </r>
  </si>
  <si>
    <t>BACKROOM BOSS</t>
  </si>
  <si>
    <r>
      <t>幕后大咖（四川）企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</si>
  <si>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杜松子酒;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威末酒;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</t>
    </r>
  </si>
  <si>
    <t>STELLA ROSE</t>
  </si>
  <si>
    <r>
      <t>圣安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尼奥葡萄酒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</si>
  <si>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</si>
  <si>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十瀑峡</t>
  </si>
  <si>
    <t>王猛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</si>
  <si>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利口酒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</si>
  <si>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老板</t>
    </r>
  </si>
  <si>
    <r>
      <t>二月天酒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（徐州）有限公司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</si>
  <si>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</si>
  <si>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康永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</si>
  <si>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和智瑞健康管理秦皇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</si>
  <si>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蜂蜜酒;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</si>
  <si>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淞煌</t>
  </si>
  <si>
    <r>
      <t>吴</t>
    </r>
    <r>
      <rPr>
        <sz val="11"/>
        <color theme="1"/>
        <rFont val="ＭＳ Ｐゴシック"/>
        <family val="3"/>
        <charset val="134"/>
        <scheme val="minor"/>
      </rPr>
      <t>书华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</si>
  <si>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甜酒; 白酒; 果酒; 米酒; 葡萄酒; 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</si>
  <si>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北尚淄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</si>
  <si>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</si>
  <si>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力特老</t>
  </si>
  <si>
    <t>杜果青</t>
  </si>
  <si>
    <r>
      <t>白酒; 果酒（含酒精）; 清酒（日本米酒）; 米酒; 烈酒; 威士忌;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</si>
  <si>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渊明悠然</t>
  </si>
  <si>
    <t>邹伟</t>
  </si>
  <si>
    <r>
      <t xml:space="preserve">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伏特加酒;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</si>
  <si>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VOLERIOR</t>
  </si>
  <si>
    <r>
      <t>马</t>
    </r>
    <r>
      <rPr>
        <sz val="11"/>
        <color theme="1"/>
        <rFont val="ＭＳ Ｐゴシック"/>
        <family val="3"/>
        <charset val="128"/>
        <scheme val="minor"/>
      </rPr>
      <t>祖生物科技（福建）有限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</si>
  <si>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烈酒;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露酒</t>
    </r>
  </si>
  <si>
    <t>荔博</t>
  </si>
  <si>
    <r>
      <t>公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</si>
  <si>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清酒（日本米酒）; 白酒;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</si>
  <si>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洋熊滴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</si>
  <si>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执</t>
    </r>
    <r>
      <rPr>
        <sz val="11"/>
        <color theme="1"/>
        <rFont val="ＭＳ Ｐゴシック"/>
        <family val="3"/>
        <charset val="128"/>
        <scheme val="minor"/>
      </rPr>
      <t>子信息有限公司</t>
    </r>
  </si>
  <si>
    <r>
      <t>米酒;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</si>
  <si>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陌生花</t>
  </si>
  <si>
    <t>悦米德食品科技（北京）有限公司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</si>
  <si>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利口酒; 混合威士忌酒</t>
    </r>
  </si>
  <si>
    <t>草基</t>
  </si>
  <si>
    <r>
      <t>中国草基食品集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</si>
  <si>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松叶酒;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</si>
  <si>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新二曲</t>
    </r>
  </si>
  <si>
    <t>赵飞龙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</si>
  <si>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</si>
  <si>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宿迁市隔岸香酒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</si>
  <si>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五加皮酒（中国混合烈酒）; 食用酒精;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</si>
  <si>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FHOENAC 富尼克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</si>
  <si>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</si>
  <si>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伏特加酒; 果酒（含酒精）;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</si>
  <si>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YASI ERDE</t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</si>
  <si>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天宏百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</si>
  <si>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苹果酒;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</si>
  <si>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快物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</si>
  <si>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州中煜科技有限公司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</si>
  <si>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开胃酒; 米酒; 高粱酒; 葡萄酒; 果酒（含酒精）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</si>
  <si>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汇</t>
    </r>
  </si>
  <si>
    <t>王海永</t>
  </si>
  <si>
    <r>
      <t>葡萄酒; 白酒; 高粱酒;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五加皮酒（中国混合烈酒）; 葡萄汽酒</t>
    </r>
  </si>
  <si>
    <t>毛花台香无双</t>
  </si>
  <si>
    <r>
      <t xml:space="preserve">威士忌; 露酒;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</si>
  <si>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楚名台</t>
  </si>
  <si>
    <r>
      <t>杨</t>
    </r>
    <r>
      <rPr>
        <sz val="11"/>
        <color theme="1"/>
        <rFont val="ＭＳ Ｐゴシック"/>
        <family val="3"/>
        <charset val="128"/>
        <scheme val="minor"/>
      </rPr>
      <t>建根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</si>
  <si>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</si>
  <si>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奇才和鬼才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</si>
  <si>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东泼</t>
    </r>
    <r>
      <rPr>
        <sz val="11"/>
        <color theme="1"/>
        <rFont val="ＭＳ Ｐゴシック"/>
        <family val="3"/>
        <charset val="128"/>
        <scheme val="minor"/>
      </rPr>
      <t>醴白酒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</si>
  <si>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</si>
  <si>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承典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</si>
  <si>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</si>
  <si>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葡萄酒; 黄酒; 白酒; 清酒（日本米酒）;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青稞酒</t>
    </r>
  </si>
  <si>
    <r>
      <t>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斯洛奇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</si>
  <si>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易（烟台）有限公司</t>
    </r>
  </si>
  <si>
    <r>
      <t>利口酒; 葡萄酒; 麦芽威士忌;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</si>
  <si>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夏踪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</si>
  <si>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利口酒; 朗姆酒</t>
    </r>
  </si>
  <si>
    <r>
      <t>纹样</t>
    </r>
    <r>
      <rPr>
        <sz val="11"/>
        <color theme="1"/>
        <rFont val="ＭＳ Ｐゴシック"/>
        <family val="3"/>
        <charset val="128"/>
        <scheme val="minor"/>
      </rPr>
      <t>青籣</t>
    </r>
  </si>
  <si>
    <r>
      <t>山西杏花清香印象酒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</si>
  <si>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葡萄酒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</si>
  <si>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味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</si>
  <si>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兵企互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</si>
  <si>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 xml:space="preserve">开胃酒;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白酒; 薄荷酒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</si>
  <si>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</si>
  <si>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果酒（含酒精）</t>
    </r>
  </si>
  <si>
    <t>整詀</t>
  </si>
  <si>
    <r>
      <t>伊犁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野生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</si>
  <si>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烈酒; 汽酒; 苹果酒; 果酒;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</si>
  <si>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t>LOUIS NEO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</si>
  <si>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朗姆酒; 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伏特加酒</t>
    </r>
  </si>
  <si>
    <t>舒集</t>
  </si>
  <si>
    <r>
      <t>利口酒; 威士忌;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</si>
  <si>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</si>
  <si>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白干酒（中国白酒）; 高粱酒;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果酒（含酒精）; 清酒（日本米酒）; 露酒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</si>
  <si>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斟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</si>
  <si>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朝均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</si>
  <si>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</si>
  <si>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VCHA</t>
  </si>
  <si>
    <r>
      <t>杰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品文化交流有限公司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</si>
  <si>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利口酒; 伏特加酒; 烈酒</t>
    </r>
  </si>
  <si>
    <t>左采</t>
  </si>
  <si>
    <t>河南左采食品科技有限公司</t>
  </si>
  <si>
    <r>
      <t>葡萄酒;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伏特加酒; 食用酒精; 果酒（含酒精）; 米酒; 苹果酒</t>
    </r>
  </si>
  <si>
    <r>
      <t>氿</t>
    </r>
    <r>
      <rPr>
        <sz val="11"/>
        <color theme="1"/>
        <rFont val="ＭＳ Ｐゴシック"/>
        <family val="3"/>
        <charset val="129"/>
        <scheme val="minor"/>
      </rPr>
      <t>珘</t>
    </r>
    <r>
      <rPr>
        <sz val="11"/>
        <color theme="1"/>
        <rFont val="ＭＳ Ｐゴシック"/>
        <family val="3"/>
        <charset val="128"/>
        <scheme val="minor"/>
      </rPr>
      <t>和天下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</si>
  <si>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州盛世茅樽酒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</si>
  <si>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餐后酒（利口酒和烈酒）; 米酒; 白酒;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</si>
  <si>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莱克斯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</si>
  <si>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丰瑞谷物有限公司</t>
    </r>
  </si>
  <si>
    <r>
      <t>果酒;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阿蒙蒂拉多白葡萄酒;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</si>
  <si>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醒</t>
    </r>
  </si>
  <si>
    <r>
      <t>云南昌泰茶文化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</si>
  <si>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</si>
  <si>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沙芬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</si>
  <si>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口味王酒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</si>
  <si>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黄酒; 汽酒; 威士忌; 米酒</t>
    </r>
  </si>
  <si>
    <t>美阿美</t>
  </si>
  <si>
    <r>
      <t>沈阳君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</si>
  <si>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伏特加酒;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</si>
  <si>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囗三友</t>
  </si>
  <si>
    <r>
      <t>成都誉昇合商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</si>
  <si>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薄荷酒</t>
    </r>
  </si>
  <si>
    <t>情同煮</t>
  </si>
  <si>
    <t>王瑛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</si>
  <si>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</t>
    </r>
  </si>
  <si>
    <r>
      <t>枕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</si>
  <si>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召德酒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</si>
  <si>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露酒;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</si>
  <si>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正源德</t>
  </si>
  <si>
    <r>
      <t>北京百利百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</si>
  <si>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白酒; 果酒;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</si>
  <si>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GIRO</t>
  </si>
  <si>
    <r>
      <t>洛蒂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瓦尼和尼古拉斯兄弟的洛蒂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烈酒普通合伙公司</t>
    </r>
  </si>
  <si>
    <r>
      <t>苦味酒; 威末酒; 朗姆酒; 茴香酒（利口酒）; 烈酒; 餐后酒（利口酒和烈酒）;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</si>
  <si>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斟好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</si>
  <si>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</si>
  <si>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一魂</t>
    </r>
  </si>
  <si>
    <t>福州肆野科技有限公司</t>
  </si>
  <si>
    <r>
      <t>葡萄酒; 高粱酒;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</si>
  <si>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吉源</t>
    </r>
  </si>
  <si>
    <r>
      <t>南通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</si>
  <si>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果酒（含酒精）</t>
    </r>
  </si>
  <si>
    <r>
      <t>武壹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</si>
  <si>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福建正元大道康养集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</si>
  <si>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威士忌</t>
    </r>
  </si>
  <si>
    <t>食于道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</si>
  <si>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西大</t>
    </r>
    <r>
      <rPr>
        <sz val="11"/>
        <color theme="1"/>
        <rFont val="ＭＳ Ｐゴシック"/>
        <family val="3"/>
        <charset val="134"/>
        <scheme val="minor"/>
      </rPr>
      <t>泽农业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</si>
  <si>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烈酒; 开胃酒; 白酒; 黄酒; 果酒; 米酒; 清酒; 葡萄酒</t>
    </r>
  </si>
  <si>
    <r>
      <t>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地球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</si>
  <si>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品付******************</t>
    </r>
  </si>
  <si>
    <r>
      <t xml:space="preserve">青稞酒;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威士忌; 利口酒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</si>
  <si>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斟快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</si>
  <si>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葡萄酒;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</si>
  <si>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</si>
  <si>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深圳前海金雕投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</si>
  <si>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果酒（含酒精）;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</si>
  <si>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尚庸</t>
  </si>
  <si>
    <r>
      <t>井</t>
    </r>
    <r>
      <rPr>
        <sz val="11"/>
        <color theme="1"/>
        <rFont val="ＭＳ Ｐゴシック"/>
        <family val="3"/>
        <charset val="134"/>
        <scheme val="minor"/>
      </rPr>
      <t>冈</t>
    </r>
    <r>
      <rPr>
        <sz val="11"/>
        <color theme="1"/>
        <rFont val="ＭＳ Ｐゴシック"/>
        <family val="3"/>
        <charset val="128"/>
        <scheme val="minor"/>
      </rPr>
      <t>山景湖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</si>
  <si>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白酒; 葡萄酒; 烈酒; 苹果酒; 薄荷酒; 青稞酒; 汽酒; 利口酒</t>
    </r>
  </si>
  <si>
    <t>香野甘泉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</si>
  <si>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醉梦粮原酒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</si>
  <si>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</si>
  <si>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臻云台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</si>
  <si>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镇伟</t>
    </r>
  </si>
  <si>
    <r>
      <t xml:space="preserve">葡萄酒;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黄酒; 餐后酒（利口酒和烈酒）</t>
    </r>
  </si>
  <si>
    <r>
      <t>菜老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</si>
  <si>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云南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菜良品网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</si>
  <si>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</t>
    </r>
  </si>
  <si>
    <t>延静里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</si>
  <si>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苹果酒; 混合威士忌酒;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</si>
  <si>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深圳市新百科技有限公司</t>
  </si>
  <si>
    <r>
      <t>葡萄酒; 清酒（日本米酒）;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</si>
  <si>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COMPOSTO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</si>
  <si>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苦味酒; 开胃酒; 餐后酒（利口酒和烈酒）; 杜松子酒; 威末酒; 加烈葡萄酒;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</si>
  <si>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甬民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</si>
  <si>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宁波有民商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</si>
  <si>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</si>
  <si>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t>橘院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</si>
  <si>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</si>
  <si>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</si>
  <si>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孔家紫</t>
  </si>
  <si>
    <r>
      <t>孔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</si>
  <si>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黄酒; 米酒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</si>
  <si>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涌二曲</t>
    </r>
  </si>
  <si>
    <r>
      <t>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</si>
  <si>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柔雅</t>
    </r>
  </si>
  <si>
    <r>
      <t xml:space="preserve">利口酒;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</t>
    </r>
  </si>
  <si>
    <t>山色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</si>
  <si>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季酒酒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</si>
  <si>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日式甜米酒; 清酒; 混合威士忌酒;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露酒; 青梅酒;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</si>
  <si>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老大</t>
    </r>
  </si>
  <si>
    <r>
      <t>贺风</t>
    </r>
    <r>
      <rPr>
        <sz val="11"/>
        <color theme="1"/>
        <rFont val="ＭＳ Ｐゴシック"/>
        <family val="3"/>
        <charset val="128"/>
        <scheme val="minor"/>
      </rPr>
      <t>火</t>
    </r>
  </si>
  <si>
    <t>葡萄酒; 利口酒; 黄酒; 白酒; 米酒; 果酒（含酒精）; 烈酒; 清酒; 高粱酒; 果酒</t>
  </si>
  <si>
    <r>
      <t>祥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财</t>
    </r>
  </si>
  <si>
    <t>李健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</si>
  <si>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</si>
  <si>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夏玉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</si>
  <si>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河南国弘酒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</si>
  <si>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米酒; 蒸煮提取物（利口酒和烈酒）;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利口酒</t>
    </r>
  </si>
  <si>
    <t>老萌</t>
  </si>
  <si>
    <r>
      <t>吉林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</si>
  <si>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</si>
  <si>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泗方逐梦</t>
  </si>
  <si>
    <r>
      <t>泗洪泗方酒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</si>
  <si>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葡萄酒; 高粱酒; 黄酒; 苦味酒;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白酒</t>
    </r>
  </si>
  <si>
    <t>洪覆</t>
  </si>
  <si>
    <r>
      <t>泉州海西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</si>
  <si>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白酒; 开胃酒; 佐餐酒;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</si>
  <si>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苌烁</t>
  </si>
  <si>
    <t>魏运燎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</si>
  <si>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</si>
  <si>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畅烁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</si>
  <si>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</si>
  <si>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匠用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</si>
  <si>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苹果酒; 青稞酒; 黄酒</t>
    </r>
  </si>
  <si>
    <t>RUCI</t>
  </si>
  <si>
    <r>
      <t>亚历</t>
    </r>
    <r>
      <rPr>
        <sz val="11"/>
        <color theme="1"/>
        <rFont val="ＭＳ Ｐゴシック"/>
        <family val="3"/>
        <charset val="128"/>
        <scheme val="minor"/>
      </rPr>
      <t>山大·孔蒂</t>
    </r>
  </si>
  <si>
    <r>
      <t>果酒（含酒精）; 葡萄酒; 日本梅子酒; 利口酒;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</si>
  <si>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AMUNI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</si>
  <si>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日本梅子酒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</si>
  <si>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</si>
  <si>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开胃酒;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</si>
  <si>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元籣</t>
    </r>
    <r>
      <rPr>
        <sz val="11"/>
        <color theme="1"/>
        <rFont val="ＭＳ Ｐゴシック"/>
        <family val="3"/>
        <charset val="134"/>
        <scheme val="minor"/>
      </rPr>
      <t>纹样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</si>
  <si>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葡萄酒; 白酒; 黄酒; 清酒;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</si>
  <si>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深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吉冰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</si>
  <si>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意尊</t>
    </r>
  </si>
  <si>
    <r>
      <t>白酒; 清酒; 高粱酒;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</si>
  <si>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SRILAU</t>
  </si>
  <si>
    <t>深圳市天仕嘉伯科技有限公司</t>
  </si>
  <si>
    <r>
      <t xml:space="preserve">白酒; 开胃酒;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</si>
  <si>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州原台</t>
  </si>
  <si>
    <t>沈航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</si>
  <si>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</si>
  <si>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四川川酒股份有限公司</t>
  </si>
  <si>
    <r>
      <t>威士忌; 果酒（含酒精）;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白酒</t>
    </r>
  </si>
  <si>
    <t>儋酒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</si>
  <si>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泸帅</t>
    </r>
    <r>
      <rPr>
        <sz val="11"/>
        <color theme="1"/>
        <rFont val="ＭＳ Ｐゴシック"/>
        <family val="3"/>
        <charset val="128"/>
        <scheme val="minor"/>
      </rPr>
      <t>老窖酒厂有限公司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</si>
  <si>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</t>
    </r>
  </si>
  <si>
    <t>真力量</t>
  </si>
  <si>
    <r>
      <t>百德酒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</si>
  <si>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</si>
  <si>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t>洞家千</t>
  </si>
  <si>
    <r>
      <t>赵</t>
    </r>
    <r>
      <rPr>
        <sz val="11"/>
        <color theme="1"/>
        <rFont val="ＭＳ Ｐゴシック"/>
        <family val="3"/>
        <charset val="128"/>
        <scheme val="minor"/>
      </rPr>
      <t>建萍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</si>
  <si>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</si>
  <si>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兴烧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</si>
  <si>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</si>
  <si>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</si>
  <si>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人仁</t>
    </r>
  </si>
  <si>
    <r>
      <t>侯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</si>
  <si>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伏特加酒; 米酒;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</si>
  <si>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企信通名酒</t>
  </si>
  <si>
    <r>
      <t>济</t>
    </r>
    <r>
      <rPr>
        <sz val="11"/>
        <color theme="1"/>
        <rFont val="ＭＳ Ｐゴシック"/>
        <family val="3"/>
        <charset val="128"/>
        <scheme val="minor"/>
      </rPr>
      <t>宁企信通信息科技有限公司</t>
    </r>
  </si>
  <si>
    <r>
      <t xml:space="preserve">米酒; 白干酒（中国白酒）; 果酒（含酒精）;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</t>
    </r>
  </si>
  <si>
    <t>汪裕泰</t>
  </si>
  <si>
    <r>
      <t>职</t>
    </r>
    <r>
      <rPr>
        <sz val="11"/>
        <color theme="1"/>
        <rFont val="ＭＳ Ｐゴシック"/>
        <family val="3"/>
        <charset val="128"/>
        <scheme val="minor"/>
      </rPr>
      <t>易升（深圳）教育科技有限公司</t>
    </r>
  </si>
  <si>
    <r>
      <t>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</si>
  <si>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以珩庄园·麓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</si>
  <si>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</si>
  <si>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米酒; 葡萄酒; 伏特加酒;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</si>
  <si>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歌酒</t>
    </r>
  </si>
  <si>
    <r>
      <t>北京且思酒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</si>
  <si>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咖啡利口酒; 苹果酒;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奶油利口酒;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</si>
  <si>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焦式本草</t>
  </si>
  <si>
    <r>
      <t>日照紫旭庄园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</si>
  <si>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露酒; 果酒; 黄酒; 白酒;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</si>
  <si>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WUTHERING HILL</t>
  </si>
  <si>
    <r>
      <t>深圳普</t>
    </r>
    <r>
      <rPr>
        <sz val="11"/>
        <color theme="1"/>
        <rFont val="ＭＳ Ｐゴシック"/>
        <family val="3"/>
        <charset val="134"/>
        <scheme val="minor"/>
      </rPr>
      <t>华标</t>
    </r>
    <r>
      <rPr>
        <sz val="11"/>
        <color theme="1"/>
        <rFont val="ＭＳ Ｐゴシック"/>
        <family val="3"/>
        <charset val="128"/>
        <scheme val="minor"/>
      </rPr>
      <t>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</si>
  <si>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利口酒</t>
    </r>
  </si>
  <si>
    <r>
      <t>汨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</si>
  <si>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湖南大湘</t>
    </r>
    <r>
      <rPr>
        <sz val="11"/>
        <color theme="1"/>
        <rFont val="ＭＳ Ｐゴシック"/>
        <family val="3"/>
        <charset val="134"/>
        <scheme val="minor"/>
      </rPr>
      <t>联贸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</si>
  <si>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</si>
  <si>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如炬</t>
  </si>
  <si>
    <r>
      <t>淮安市清河区共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天下商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</si>
  <si>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米酒;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</si>
  <si>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懂</t>
    </r>
  </si>
  <si>
    <r>
      <t xml:space="preserve">黄酒; 果酒（含酒精）;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</si>
  <si>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窖酒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</si>
  <si>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</si>
  <si>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牟坊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</si>
  <si>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</si>
  <si>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>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</si>
  <si>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</si>
  <si>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福建省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</si>
  <si>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果酒;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青稞酒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</si>
  <si>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票LOONG STAMP</t>
    </r>
  </si>
  <si>
    <r>
      <t>上海徼妙企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</si>
  <si>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蒸煮提取物（利口酒和烈酒）;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清酒;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</si>
  <si>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永小</t>
    </r>
    <r>
      <rPr>
        <sz val="11"/>
        <color theme="1"/>
        <rFont val="ＭＳ Ｐゴシック"/>
        <family val="3"/>
        <charset val="134"/>
        <scheme val="minor"/>
      </rPr>
      <t>哒</t>
    </r>
  </si>
  <si>
    <r>
      <t>酒溢供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管理（上海）有限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</si>
  <si>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</si>
  <si>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如天下</t>
  </si>
  <si>
    <r>
      <t>山西三加六酒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</si>
  <si>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清酒（日本米酒）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</si>
  <si>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</si>
  <si>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燕雪</t>
    </r>
  </si>
  <si>
    <r>
      <t>露酒; 果酒; 高粱酒; 葡萄酒;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</si>
  <si>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菲莎</t>
    </r>
  </si>
  <si>
    <t>胡正川</t>
  </si>
  <si>
    <r>
      <t xml:space="preserve">果酒（含酒精）; 黄酒; 白酒; 茴芹酒（利口酒）;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葡萄酒; 杜松子酒; 食用酒精; 薄荷酒</t>
    </r>
  </si>
  <si>
    <r>
      <t>实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</si>
  <si>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</si>
  <si>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苹果酒; 葡萄酒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</si>
  <si>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氏家酒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</si>
  <si>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蔺县蔺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</si>
  <si>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高粱酒; 米酒; 食用酒精; 果酒; 白干酒（中国白酒）; 青稞酒</t>
    </r>
  </si>
  <si>
    <t>畲逍遥</t>
  </si>
  <si>
    <t>雷佑宸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</si>
  <si>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</si>
  <si>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泄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</si>
  <si>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</si>
  <si>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人侯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</si>
  <si>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白酒; 黄酒; 伏特加酒</t>
    </r>
  </si>
  <si>
    <t>翼臣号</t>
  </si>
  <si>
    <r>
      <t>陈</t>
    </r>
    <r>
      <rPr>
        <sz val="11"/>
        <color theme="1"/>
        <rFont val="ＭＳ Ｐゴシック"/>
        <family val="3"/>
        <charset val="128"/>
        <scheme val="minor"/>
      </rPr>
      <t>契善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</si>
  <si>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</si>
  <si>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醉之世界</t>
  </si>
  <si>
    <r>
      <t>江西省快</t>
    </r>
    <r>
      <rPr>
        <sz val="11"/>
        <color theme="1"/>
        <rFont val="ＭＳ Ｐゴシック"/>
        <family val="3"/>
        <charset val="134"/>
        <scheme val="minor"/>
      </rPr>
      <t>检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</si>
  <si>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蜂蜜酒;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</si>
  <si>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丽兹</t>
    </r>
    <r>
      <rPr>
        <sz val="11"/>
        <color theme="1"/>
        <rFont val="ＭＳ Ｐゴシック"/>
        <family val="3"/>
        <charset val="128"/>
        <scheme val="minor"/>
      </rPr>
      <t>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伊斯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</si>
  <si>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（北京）投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</si>
  <si>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酸酒（低等葡萄酒）;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</si>
  <si>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BFFL 3</t>
  </si>
  <si>
    <r>
      <t>常熟市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</si>
  <si>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果酒（含酒精）; 白酒; 葡萄酒; 黄酒;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</si>
  <si>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北杭丰</t>
  </si>
  <si>
    <r>
      <t>孙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</si>
  <si>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开胃酒; 果酒（含酒精）</t>
    </r>
  </si>
  <si>
    <t>茶亦醺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</si>
  <si>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奶油利口酒; 咖啡利口酒;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开胃酒;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</si>
  <si>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千年仙露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</si>
  <si>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祝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照明科技有限公司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</si>
  <si>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</si>
  <si>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江之恋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</si>
  <si>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</si>
  <si>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</si>
  <si>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MELAMONTE</t>
  </si>
  <si>
    <r>
      <t>广州世代燥物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</si>
  <si>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麦芽威士忌</t>
    </r>
  </si>
  <si>
    <r>
      <t>川年</t>
    </r>
    <r>
      <rPr>
        <sz val="11"/>
        <color theme="1"/>
        <rFont val="ＭＳ Ｐゴシック"/>
        <family val="3"/>
        <charset val="134"/>
        <scheme val="minor"/>
      </rPr>
      <t>华</t>
    </r>
  </si>
  <si>
    <t>向秀容******************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</si>
  <si>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葡萄酒; 白酒;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伏特加酒; 食用酒精</t>
    </r>
  </si>
  <si>
    <r>
      <t>红樱</t>
    </r>
    <r>
      <rPr>
        <sz val="11"/>
        <color theme="1"/>
        <rFont val="ＭＳ Ｐゴシック"/>
        <family val="3"/>
        <charset val="128"/>
        <scheme val="minor"/>
      </rPr>
      <t>斜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</si>
  <si>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县鲁</t>
    </r>
    <r>
      <rPr>
        <sz val="11"/>
        <color theme="1"/>
        <rFont val="ＭＳ Ｐゴシック"/>
        <family val="3"/>
        <charset val="128"/>
        <scheme val="minor"/>
      </rPr>
      <t>泰阳光影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</si>
  <si>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</si>
  <si>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阗</t>
    </r>
    <r>
      <rPr>
        <sz val="11"/>
        <color theme="1"/>
        <rFont val="ＭＳ Ｐゴシック"/>
        <family val="3"/>
        <charset val="128"/>
        <scheme val="minor"/>
      </rPr>
      <t>德堂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</si>
  <si>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阗</t>
    </r>
    <r>
      <rPr>
        <sz val="11"/>
        <color theme="1"/>
        <rFont val="ＭＳ Ｐゴシック"/>
        <family val="3"/>
        <charset val="128"/>
        <scheme val="minor"/>
      </rPr>
      <t>德堂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</si>
  <si>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白葡萄酒;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</si>
  <si>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GRAN BEATHAN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</si>
  <si>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酒知道国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</si>
  <si>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葡萄酒; 利口酒;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</si>
  <si>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宋地利</t>
  </si>
  <si>
    <r>
      <t>苏</t>
    </r>
    <r>
      <rPr>
        <sz val="11"/>
        <color theme="1"/>
        <rFont val="ＭＳ Ｐゴシック"/>
        <family val="3"/>
        <charset val="128"/>
        <scheme val="minor"/>
      </rPr>
      <t>延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</si>
  <si>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 xml:space="preserve">白酒;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葡萄酒</t>
    </r>
  </si>
  <si>
    <t>同孚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</si>
  <si>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白酒; 烈酒;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</si>
  <si>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龙马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</si>
  <si>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恒昌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</si>
  <si>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</si>
  <si>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旭</t>
    </r>
    <r>
      <rPr>
        <sz val="11"/>
        <color theme="1"/>
        <rFont val="ＭＳ Ｐゴシック"/>
        <family val="3"/>
        <charset val="134"/>
        <scheme val="minor"/>
      </rPr>
      <t>阖</t>
    </r>
    <r>
      <rPr>
        <sz val="11"/>
        <color theme="1"/>
        <rFont val="ＭＳ Ｐゴシック"/>
        <family val="3"/>
        <charset val="128"/>
        <scheme val="minor"/>
      </rPr>
      <t>禧</t>
    </r>
  </si>
  <si>
    <t>伍少波</t>
  </si>
  <si>
    <r>
      <t>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</si>
  <si>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庄族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</si>
  <si>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</si>
  <si>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威士忌; 伏特加酒; 葡萄酒</t>
    </r>
  </si>
  <si>
    <t>粤黔韵味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</si>
  <si>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</si>
  <si>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黄酒; 白酒; 酸酒（低等葡萄酒）; 米酒; 葡萄酒; 果酒（含酒精）; 苦味酒; 餐后酒（利口酒和烈酒）</t>
    </r>
  </si>
  <si>
    <t>旌熊猫</t>
  </si>
  <si>
    <t>金科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</si>
  <si>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</si>
  <si>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YGCW</t>
  </si>
  <si>
    <r>
      <t>宁夏小圃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</si>
  <si>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果酒（含酒精）; 苹果酒;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</si>
  <si>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攻</t>
    </r>
  </si>
  <si>
    <t>刘永乾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</si>
  <si>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</si>
  <si>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迎春行走天下</t>
  </si>
  <si>
    <r>
      <t>河北迎春酒集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</si>
  <si>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黄酒; 烈酒; 青稞酒;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</si>
  <si>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PLOVER COVE GOLF CLUB</t>
  </si>
  <si>
    <r>
      <t>船湾高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夫球会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</si>
  <si>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</si>
  <si>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灥淼厵</t>
    </r>
    <r>
      <rPr>
        <sz val="11"/>
        <color theme="1"/>
        <rFont val="ＭＳ Ｐゴシック"/>
        <family val="3"/>
        <charset val="129"/>
        <scheme val="minor"/>
      </rPr>
      <t>馫</t>
    </r>
  </si>
  <si>
    <r>
      <t>宜昌青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</si>
  <si>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白酒</t>
    </r>
  </si>
  <si>
    <t>以珩庄园·祺禧</t>
  </si>
  <si>
    <r>
      <t>伏特加酒; 白酒; 葡萄酒; 威士忌;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</si>
  <si>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赴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</si>
  <si>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果酒（含酒精）</t>
    </r>
  </si>
  <si>
    <t>嘉九洲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</si>
  <si>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</si>
  <si>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元素·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</si>
  <si>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上海德芝星商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中心（普通合伙）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</si>
  <si>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</si>
  <si>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海口志洋国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</si>
  <si>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</si>
  <si>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伍立康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</si>
  <si>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秦科技有限公司</t>
    </r>
  </si>
  <si>
    <r>
      <t xml:space="preserve">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</si>
  <si>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皮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</si>
  <si>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</si>
  <si>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葡萄酒; 黄酒;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</si>
  <si>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临庐</t>
  </si>
  <si>
    <r>
      <t>北京童年小山文化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</si>
  <si>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梅酒; 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黄酒; 白酒;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</si>
  <si>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方之酒·雀月台</t>
    </r>
  </si>
  <si>
    <r>
      <t>广州高夫酒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</si>
  <si>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蒸煮提取物（利口酒和烈酒）;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</si>
  <si>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潘有度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</si>
  <si>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</t>
    </r>
  </si>
  <si>
    <t>双厨</t>
  </si>
  <si>
    <t>广州双厨食品有限公司</t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</si>
  <si>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</si>
  <si>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同元之宝</t>
  </si>
  <si>
    <r>
      <t>白山市参养道酒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</si>
  <si>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</si>
  <si>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GRANROSE</t>
  </si>
  <si>
    <r>
      <t>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葡萄酒</t>
    </r>
  </si>
  <si>
    <r>
      <t>懒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窝</t>
    </r>
  </si>
  <si>
    <t>山西宝清化工有限公司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</si>
  <si>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水果汽酒; 茴芹酒（利口酒）; 威士忌; 朗姆酒</t>
    </r>
  </si>
  <si>
    <t>汐湘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</si>
  <si>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</t>
    </r>
  </si>
  <si>
    <t>湘皓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</si>
  <si>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米酒; 白酒</t>
    </r>
  </si>
  <si>
    <t>乾文</t>
  </si>
  <si>
    <r>
      <t>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</si>
  <si>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白酒; 高粱酒; 黄酒; 葡萄酒;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</si>
  <si>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四海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</si>
  <si>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万花</t>
    </r>
  </si>
  <si>
    <r>
      <t xml:space="preserve">利口酒; 蜂蜜酒; 米酒; 高粱酒; 白酒; 清酒;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</si>
  <si>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</si>
  <si>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</si>
  <si>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武状元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</si>
  <si>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</si>
  <si>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</si>
  <si>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之匠</t>
    </r>
  </si>
  <si>
    <r>
      <t>贝顿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</si>
  <si>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</si>
  <si>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POWERSTEER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</si>
  <si>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力工程有限公司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</si>
  <si>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</si>
  <si>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京涔</t>
  </si>
  <si>
    <r>
      <t>汾阳市西林杏园生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</si>
  <si>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刺五加酒;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</t>
    </r>
  </si>
  <si>
    <r>
      <t>醉寨云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袋鼠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</si>
  <si>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醉寨云</t>
    </r>
    <r>
      <rPr>
        <sz val="11"/>
        <color theme="1"/>
        <rFont val="ＭＳ Ｐゴシック"/>
        <family val="3"/>
        <charset val="134"/>
        <scheme val="minor"/>
      </rPr>
      <t>间贸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</si>
  <si>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白葡萄酒;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阿蒙蒂拉多白葡萄酒; 白酒</t>
    </r>
  </si>
  <si>
    <t>湘涛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</si>
  <si>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米酒; 黄酒; 葡萄酒</t>
    </r>
  </si>
  <si>
    <t>佐宙</t>
  </si>
  <si>
    <t>姚孟能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</si>
  <si>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葡萄酒</t>
    </r>
  </si>
  <si>
    <r>
      <t xml:space="preserve">MZ BAO SAN 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本仙</t>
    </r>
  </si>
  <si>
    <t>贺锐</t>
  </si>
  <si>
    <r>
      <t>果酒（含酒精）; 葡萄酒;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</si>
  <si>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MISS VEGE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</si>
  <si>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莲晓</t>
    </r>
    <r>
      <rPr>
        <sz val="11"/>
        <color theme="1"/>
        <rFont val="ＭＳ Ｐゴシック"/>
        <family val="3"/>
        <charset val="128"/>
        <scheme val="minor"/>
      </rPr>
      <t>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</si>
  <si>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甜果酒;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</si>
  <si>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万素素</t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</si>
  <si>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甜果酒; 白酒</t>
    </r>
  </si>
  <si>
    <r>
      <t>涞</t>
    </r>
    <r>
      <rPr>
        <sz val="11"/>
        <color theme="1"/>
        <rFont val="ＭＳ Ｐゴシック"/>
        <family val="3"/>
        <charset val="128"/>
        <scheme val="minor"/>
      </rPr>
      <t>阳浴美康小管家 LAIYANGYUMEIKANG BUTLER</t>
    </r>
  </si>
  <si>
    <t>刘志勤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</si>
  <si>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米酒;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</si>
  <si>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川良兀</t>
  </si>
  <si>
    <r>
      <t>孙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</si>
  <si>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食用酒精; 开胃酒; 白酒; 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</si>
  <si>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橙云</t>
    </r>
    <r>
      <rPr>
        <sz val="11"/>
        <color theme="1"/>
        <rFont val="ＭＳ Ｐゴシック"/>
        <family val="3"/>
        <charset val="134"/>
        <scheme val="minor"/>
      </rPr>
      <t>脐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</si>
  <si>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州立志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</si>
  <si>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</si>
  <si>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t>天心正岩</t>
  </si>
  <si>
    <t>武夷山市天心正岩茶叶有限公司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</si>
  <si>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朗姆酒;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</si>
  <si>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</si>
  <si>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</si>
  <si>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</si>
  <si>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星芸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</si>
  <si>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</si>
  <si>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今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</si>
  <si>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安波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</si>
  <si>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</si>
  <si>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生雅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</si>
  <si>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成都蓉易采信息科技有限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</si>
  <si>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清酒; 青稞酒; 白酒</t>
    </r>
  </si>
  <si>
    <t>旨酒众山</t>
  </si>
  <si>
    <r>
      <t xml:space="preserve">高粱酒;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青稞酒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</si>
  <si>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星光</t>
    </r>
  </si>
  <si>
    <r>
      <t>深圳半藏天地文化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</si>
  <si>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白酒</t>
    </r>
  </si>
  <si>
    <r>
      <t>开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盛世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</si>
  <si>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照林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</si>
  <si>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伏特加酒</t>
    </r>
  </si>
  <si>
    <t>妃花令</t>
  </si>
  <si>
    <r>
      <t>林樊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</si>
  <si>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果酒; 威士忌; 蒸煮提取物（利口酒和烈酒）; 黄酒; 白酒; 米酒;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蜂蜜酒</t>
    </r>
  </si>
  <si>
    <t>吾喏侠</t>
  </si>
  <si>
    <r>
      <t>福鼎市随园康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</si>
  <si>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</si>
  <si>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龙飞</t>
    </r>
    <r>
      <rPr>
        <sz val="11"/>
        <color theme="1"/>
        <rFont val="ＭＳ Ｐゴシック"/>
        <family val="3"/>
        <charset val="128"/>
        <scheme val="minor"/>
      </rPr>
      <t>羊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</si>
  <si>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龙飞</t>
    </r>
    <r>
      <rPr>
        <sz val="11"/>
        <color theme="1"/>
        <rFont val="ＭＳ Ｐゴシック"/>
        <family val="3"/>
        <charset val="128"/>
        <scheme val="minor"/>
      </rPr>
      <t>羊机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</si>
  <si>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</si>
  <si>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衍介</t>
  </si>
  <si>
    <t>四川京喜品牌管理有限公司</t>
  </si>
  <si>
    <r>
      <t xml:space="preserve">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烈酒; 清酒; 葡萄酒; 白酒; 果酒; 高粱酒</t>
    </r>
  </si>
  <si>
    <t>FLOARE DE DOR</t>
  </si>
  <si>
    <r>
      <t>天津豪伊国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</si>
  <si>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露酒; 威士忌;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</si>
  <si>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天涯不勒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</si>
  <si>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威士忌;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果酒（含酒精）; 白酒; 清酒</t>
    </r>
  </si>
  <si>
    <r>
      <t>樽</t>
    </r>
    <r>
      <rPr>
        <sz val="11"/>
        <color theme="1"/>
        <rFont val="ＭＳ Ｐゴシック"/>
        <family val="3"/>
        <charset val="134"/>
        <scheme val="minor"/>
      </rPr>
      <t>坛庆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</si>
  <si>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</si>
  <si>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塘沽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泰达</t>
    </r>
  </si>
  <si>
    <r>
      <t>宁津泰达酒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</si>
  <si>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</t>
    </r>
  </si>
  <si>
    <t>君品御沙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</si>
  <si>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州聆河酒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</si>
  <si>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</si>
  <si>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铸</t>
    </r>
  </si>
  <si>
    <r>
      <t>铸酱</t>
    </r>
    <r>
      <rPr>
        <sz val="11"/>
        <color theme="1"/>
        <rFont val="ＭＳ Ｐゴシック"/>
        <family val="3"/>
        <charset val="128"/>
        <scheme val="minor"/>
      </rPr>
      <t>坊(山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)控股股份有限公司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</si>
  <si>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</si>
  <si>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鳯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秦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</si>
  <si>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西美邦五羊建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</si>
  <si>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苹果酒; 开胃酒; 黄酒; 餐后酒（利口酒和烈酒）;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</si>
  <si>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康元甲</t>
  </si>
  <si>
    <r>
      <t>深圳市震杰国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</si>
  <si>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</si>
  <si>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鑫㵘天</t>
  </si>
  <si>
    <t>陈帅锋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</si>
  <si>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烈酒; 白酒; 蒸煮提取物（利口酒和烈酒）; 甜酒; 开胃酒;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</si>
  <si>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汶</t>
    </r>
    <r>
      <rPr>
        <sz val="11"/>
        <color theme="1"/>
        <rFont val="ＭＳ Ｐゴシック"/>
        <family val="3"/>
        <charset val="134"/>
        <scheme val="minor"/>
      </rPr>
      <t>兴鲁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</si>
  <si>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汶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</si>
  <si>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</si>
  <si>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涌舟台</t>
  </si>
  <si>
    <r>
      <t>张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</si>
  <si>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黄酒; 高粱酒; 白酒; 果酒（含酒精）;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</si>
  <si>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治</t>
    </r>
    <r>
      <rPr>
        <sz val="11"/>
        <color theme="1"/>
        <rFont val="ＭＳ Ｐゴシック"/>
        <family val="3"/>
        <charset val="134"/>
        <scheme val="minor"/>
      </rPr>
      <t>锟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</si>
  <si>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</si>
  <si>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葡萄酒;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朗姆酒</t>
    </r>
  </si>
  <si>
    <t>皖淮梁小七</t>
  </si>
  <si>
    <r>
      <t>梁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</si>
  <si>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</t>
    </r>
  </si>
  <si>
    <t>穗酩仙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</si>
  <si>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</si>
  <si>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幻帝</t>
  </si>
  <si>
    <r>
      <t>廷好(海南)投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</si>
  <si>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清酒（日本米酒）; 米酒; 白酒; 开胃酒</t>
    </r>
  </si>
  <si>
    <r>
      <t>钩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</si>
  <si>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</si>
  <si>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</si>
  <si>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御鬯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</si>
  <si>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先勇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</si>
  <si>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</si>
  <si>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焰焰焰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</si>
  <si>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</si>
  <si>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食用酒精; 果酒（含酒精）; 清酒</t>
    </r>
  </si>
  <si>
    <t>谷堆后</t>
  </si>
  <si>
    <r>
      <t>河南盛付通网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</si>
  <si>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食用酒精; 高粱酒; 威士忌; 黄酒; 清酒; 米酒;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</si>
  <si>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小筑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</si>
  <si>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葡萄酒</t>
    </r>
  </si>
  <si>
    <r>
      <t>青花帝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</si>
  <si>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小花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</si>
  <si>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</si>
  <si>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展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</si>
  <si>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市瑞科新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</si>
  <si>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薄荷酒; 果酒; 白酒</t>
    </r>
  </si>
  <si>
    <t>翔墨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</si>
  <si>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岛润</t>
    </r>
    <r>
      <rPr>
        <sz val="11"/>
        <color theme="1"/>
        <rFont val="ＭＳ Ｐゴシック"/>
        <family val="3"/>
        <charset val="128"/>
        <scheme val="minor"/>
      </rPr>
      <t>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</si>
  <si>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黄酒; 干型苹果酒;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</si>
  <si>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精刺源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</si>
  <si>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市晶</t>
    </r>
    <r>
      <rPr>
        <sz val="11"/>
        <color theme="1"/>
        <rFont val="ＭＳ Ｐゴシック"/>
        <family val="3"/>
        <charset val="134"/>
        <scheme val="minor"/>
      </rPr>
      <t>颜针织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</si>
  <si>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</si>
  <si>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CHISHUIHE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</si>
  <si>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</si>
  <si>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</si>
  <si>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朔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管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</si>
  <si>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</si>
  <si>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高粱酒; 葡萄酒; 果酒（含酒精）</t>
    </r>
  </si>
  <si>
    <t>秋萌</t>
  </si>
  <si>
    <r>
      <t>陈</t>
    </r>
    <r>
      <rPr>
        <sz val="11"/>
        <color theme="1"/>
        <rFont val="ＭＳ Ｐゴシック"/>
        <family val="3"/>
        <charset val="128"/>
        <scheme val="minor"/>
      </rPr>
      <t>炳章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</si>
  <si>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黄酒; 白酒</t>
    </r>
  </si>
  <si>
    <t>威光酒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</si>
  <si>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旺成生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</si>
  <si>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梨酒; 汽酒; 开胃酒;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</si>
  <si>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鄫</t>
    </r>
    <r>
      <rPr>
        <sz val="11"/>
        <color theme="1"/>
        <rFont val="ＭＳ Ｐゴシック"/>
        <family val="3"/>
        <charset val="128"/>
        <scheme val="minor"/>
      </rPr>
      <t>酒</t>
    </r>
  </si>
  <si>
    <t>董光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</si>
  <si>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青稞酒; 白干酒（中国白酒）</t>
    </r>
  </si>
  <si>
    <r>
      <t>西津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</si>
  <si>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江西津工坊文化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</si>
  <si>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</si>
  <si>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御沙</t>
    </r>
  </si>
  <si>
    <r>
      <t xml:space="preserve">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</si>
  <si>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佬柑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</si>
  <si>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西和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新德种养殖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</si>
  <si>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黄酒; 白酒; 果酒（含酒精）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</si>
  <si>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福匠</t>
    </r>
  </si>
  <si>
    <t>湖南启泰生物科技有限公司</t>
  </si>
  <si>
    <r>
      <t xml:space="preserve">烈酒; 甜酒; 清酒; 高粱酒; 开胃酒;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</si>
  <si>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仕仙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</si>
  <si>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汽酒; 威士忌;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</si>
  <si>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蒙小鹿</t>
  </si>
  <si>
    <r>
      <t>内蒙古弼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温影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</si>
  <si>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白酒; 果酒（含酒精）</t>
  </si>
  <si>
    <t>奢陵台</t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</si>
  <si>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</si>
  <si>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青花隆盛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</si>
  <si>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</t>
    </r>
  </si>
  <si>
    <t>嘉男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</si>
  <si>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果酒（含酒精）; 葡萄酒; 米酒; 高粱酒</t>
    </r>
  </si>
  <si>
    <r>
      <t>天地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</si>
  <si>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 xml:space="preserve">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</si>
  <si>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尚品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</si>
  <si>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</si>
  <si>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云水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</si>
  <si>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化市天之泉水厂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</si>
  <si>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黄酒; 威士忌; 葡萄酒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</si>
  <si>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尊品</t>
    </r>
  </si>
  <si>
    <r>
      <t>米酒; 高粱酒; 甜酒; 白酒;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</si>
  <si>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致</t>
    </r>
  </si>
  <si>
    <r>
      <t>白酒;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</si>
  <si>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古越皇廷</t>
  </si>
  <si>
    <r>
      <t>宿迁市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色元素酒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</si>
  <si>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薄荷酒; 黄酒; 汽酒; 烈酒; 白酒; 利口酒; 果酒; 露酒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</si>
  <si>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要</t>
    </r>
  </si>
  <si>
    <t>尹玉燕</t>
  </si>
  <si>
    <r>
      <t>清酒;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</si>
  <si>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忆乡莲</t>
  </si>
  <si>
    <r>
      <t>洪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</si>
  <si>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白干酒（中国白酒）; 清酒（日本米酒）; 果酒;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茴香酒（利口酒）</t>
    </r>
  </si>
  <si>
    <t>曲旧庄</t>
  </si>
  <si>
    <r>
      <t xml:space="preserve">高粱酒;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</si>
  <si>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恩湘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</si>
  <si>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</si>
  <si>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蛮兄</t>
  </si>
  <si>
    <t>祁振阳</t>
  </si>
  <si>
    <r>
      <t xml:space="preserve">威士忌;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米酒;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</si>
  <si>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皇甄蜀道山</t>
  </si>
  <si>
    <r>
      <t>四川好酒喔企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</si>
  <si>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茴香酒（利口酒）;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</si>
  <si>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汀留仙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</si>
  <si>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高粱酒;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</si>
  <si>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今品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</si>
  <si>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高粱酒;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甜酒; 米酒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</si>
  <si>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鳯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</si>
  <si>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 xml:space="preserve">米酒;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</si>
  <si>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瞰君</t>
  </si>
  <si>
    <r>
      <t>威士忌;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</t>
    </r>
  </si>
  <si>
    <t>彭府人家</t>
  </si>
  <si>
    <t>彭玉霞</t>
  </si>
  <si>
    <r>
      <t xml:space="preserve">露酒; 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</si>
  <si>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柏台</t>
    </r>
  </si>
  <si>
    <r>
      <t>开柏(北京)集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</si>
  <si>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黄酒; 果酒; 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</t>
    </r>
  </si>
  <si>
    <t>星球使者</t>
  </si>
  <si>
    <r>
      <t>北京国璞文化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</si>
  <si>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</si>
  <si>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t>酣愈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</si>
  <si>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威士忌;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</si>
  <si>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源家龑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</si>
  <si>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</si>
  <si>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薄荷酒; 米酒</t>
    </r>
  </si>
  <si>
    <r>
      <t>田氏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族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</si>
  <si>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比高珠宝股份有限公司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</si>
  <si>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</si>
  <si>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遵品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</si>
  <si>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</si>
  <si>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天运万吉</t>
  </si>
  <si>
    <t>基石(昆山)品牌管理有限公司</t>
  </si>
  <si>
    <r>
      <t xml:space="preserve">清酒; 米酒;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</si>
  <si>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小茗森汽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</si>
  <si>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岛齐</t>
    </r>
    <r>
      <rPr>
        <sz val="11"/>
        <color theme="1"/>
        <rFont val="ＭＳ Ｐゴシック"/>
        <family val="3"/>
        <charset val="128"/>
        <scheme val="minor"/>
      </rPr>
      <t>煌</t>
    </r>
    <r>
      <rPr>
        <sz val="11"/>
        <color theme="1"/>
        <rFont val="ＭＳ Ｐゴシック"/>
        <family val="3"/>
        <charset val="134"/>
        <scheme val="minor"/>
      </rPr>
      <t>轻树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</si>
  <si>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甘蔗制烈酒;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</si>
  <si>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礼粮族</t>
  </si>
  <si>
    <r>
      <t>温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</si>
  <si>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果酒（含酒精）; 葡萄酒; 威士忌; 清酒（日本米酒）;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</si>
  <si>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明</t>
    </r>
  </si>
  <si>
    <t>北京数馨信息科技有限公司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</si>
  <si>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</si>
  <si>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</si>
  <si>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烈酒; 白酒; 高粱酒; 开胃酒; 清酒;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</si>
  <si>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鳯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宾汉</t>
    </r>
  </si>
  <si>
    <r>
      <t>米酒;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</si>
  <si>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梓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</si>
  <si>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</si>
  <si>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</si>
  <si>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希享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</si>
  <si>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祎维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</si>
  <si>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</t>
    </r>
  </si>
  <si>
    <r>
      <t>粮官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</si>
  <si>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河南旭杉网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</si>
  <si>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薄荷酒; 葡萄酒; 露酒; 果酒（含酒精）; 青稞酒; 黄酒; 白酒</t>
    </r>
  </si>
  <si>
    <r>
      <t>醉衢</t>
    </r>
    <r>
      <rPr>
        <sz val="11"/>
        <color theme="1"/>
        <rFont val="ＭＳ Ｐゴシック"/>
        <family val="3"/>
        <charset val="134"/>
        <scheme val="minor"/>
      </rPr>
      <t>贡</t>
    </r>
  </si>
  <si>
    <t>代宗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</si>
  <si>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</si>
  <si>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儒城福地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</si>
  <si>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</si>
  <si>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府河里</t>
  </si>
  <si>
    <r>
      <t>陈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炜</t>
    </r>
  </si>
  <si>
    <r>
      <t>烈酒; 青梅酒; 米酒; 天然汽酒;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黄酒; 葡萄酒</t>
    </r>
  </si>
  <si>
    <t>唐吃宋酒</t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</si>
  <si>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</si>
  <si>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典藏</t>
    </r>
  </si>
  <si>
    <r>
      <t xml:space="preserve">白酒; 果酒; 清酒;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烈酒</t>
    </r>
  </si>
  <si>
    <t>火康美羽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</si>
  <si>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嫂有害生物防治技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</si>
  <si>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茴芹酒（利口酒）</t>
    </r>
  </si>
  <si>
    <t>甲永丰</t>
  </si>
  <si>
    <r>
      <t>北京盟富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</si>
  <si>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高粱酒; 白酒;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</si>
  <si>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帝王袋鼠</t>
  </si>
  <si>
    <t>魏加才</t>
  </si>
  <si>
    <r>
      <t>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威士忌</t>
    </r>
  </si>
  <si>
    <t>MAMIRYN</t>
  </si>
  <si>
    <t>安康先生威士忌有限公司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</si>
  <si>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伏特加酒; 餐后酒（利口酒和烈酒）; 葡萄酒; 朗姆酒;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</si>
  <si>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若心草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堂</t>
    </r>
  </si>
  <si>
    <t>刘珍******************</t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</si>
  <si>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</si>
  <si>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火山永合</t>
  </si>
  <si>
    <t>徐江</t>
  </si>
  <si>
    <r>
      <t xml:space="preserve">白酒; 刺五加酒;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</si>
  <si>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中特谷</t>
  </si>
  <si>
    <r>
      <t>尹大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</si>
  <si>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</si>
  <si>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ERPOSI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</si>
  <si>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苏爱铂</t>
    </r>
    <r>
      <rPr>
        <sz val="11"/>
        <color theme="1"/>
        <rFont val="ＭＳ Ｐゴシック"/>
        <family val="3"/>
        <charset val="128"/>
        <scheme val="minor"/>
      </rPr>
      <t>斯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</si>
  <si>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</si>
  <si>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宝恪</t>
  </si>
  <si>
    <t>杭州宝恪食品科技有限公司</t>
  </si>
  <si>
    <r>
      <t>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</si>
  <si>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嘴坐</t>
    </r>
    <r>
      <rPr>
        <sz val="11"/>
        <color theme="1"/>
        <rFont val="ＭＳ Ｐゴシック"/>
        <family val="3"/>
        <charset val="134"/>
        <scheme val="minor"/>
      </rPr>
      <t>标</t>
    </r>
  </si>
  <si>
    <t>周磊</t>
  </si>
  <si>
    <r>
      <t xml:space="preserve">高粱酒; 米酒;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</si>
  <si>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汾酒</t>
    </r>
    <r>
      <rPr>
        <sz val="11"/>
        <color theme="1"/>
        <rFont val="ＭＳ Ｐゴシック"/>
        <family val="3"/>
        <charset val="134"/>
        <scheme val="minor"/>
      </rPr>
      <t>诗问</t>
    </r>
  </si>
  <si>
    <t>山西杏花村汾酒厂股份有限公司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</si>
  <si>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</si>
  <si>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海棠悦色</t>
  </si>
  <si>
    <r>
      <t>吴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</si>
  <si>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</si>
  <si>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葵</t>
    </r>
  </si>
  <si>
    <r>
      <t>乔锐贸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</si>
  <si>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食用酒精; 葡萄酒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</si>
  <si>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</si>
  <si>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东军顺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</si>
  <si>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</si>
  <si>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汾酒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</si>
  <si>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</si>
  <si>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汾酒</t>
    </r>
    <r>
      <rPr>
        <sz val="11"/>
        <color theme="1"/>
        <rFont val="ＭＳ Ｐゴシック"/>
        <family val="3"/>
        <charset val="134"/>
        <scheme val="minor"/>
      </rPr>
      <t>华图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</si>
  <si>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</si>
  <si>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湄云川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</si>
  <si>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</si>
  <si>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岫康</t>
    </r>
  </si>
  <si>
    <r>
      <t>枣</t>
    </r>
    <r>
      <rPr>
        <sz val="11"/>
        <color theme="1"/>
        <rFont val="ＭＳ Ｐゴシック"/>
        <family val="3"/>
        <charset val="128"/>
        <scheme val="minor"/>
      </rPr>
      <t>庄市吉康生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</si>
  <si>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</si>
  <si>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采茗珍酒</t>
  </si>
  <si>
    <r>
      <t>延安市雅恒工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</si>
  <si>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</si>
  <si>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负</t>
    </r>
    <r>
      <rPr>
        <sz val="11"/>
        <color theme="1"/>
        <rFont val="ＭＳ Ｐゴシック"/>
        <family val="3"/>
        <charset val="128"/>
        <scheme val="minor"/>
      </rPr>
      <t>命者</t>
    </r>
  </si>
  <si>
    <r>
      <t>葡萄酒;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杜松子酒; 蜂蜜酒; 清酒（日本米酒）; 青稞酒; 白酒</t>
    </r>
  </si>
  <si>
    <t>APRILIA</t>
  </si>
  <si>
    <t>董志慧</t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</si>
  <si>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苦味酒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</si>
  <si>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单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</si>
  <si>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单单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</si>
  <si>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</si>
  <si>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唯嘉斯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</si>
  <si>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荣丰国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</si>
  <si>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清酒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</si>
  <si>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小窑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</si>
  <si>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</t>
    </r>
  </si>
  <si>
    <r>
      <t>造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</si>
  <si>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汉舆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</si>
  <si>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</si>
  <si>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</si>
  <si>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海洋</t>
    </r>
  </si>
  <si>
    <r>
      <t xml:space="preserve">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</si>
  <si>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</si>
  <si>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荟农场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</si>
  <si>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清酒（日本米酒）; 黄酒;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</si>
  <si>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尚美扶元堂</t>
  </si>
  <si>
    <r>
      <t>广州尚美扶元生命科技集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</si>
  <si>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黄酒;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</si>
  <si>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</si>
  <si>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台州市恒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眼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</si>
  <si>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</si>
  <si>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玫侍</t>
  </si>
  <si>
    <r>
      <t>山西尊国魂酒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</si>
  <si>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</si>
  <si>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一桐春坊</t>
  </si>
  <si>
    <r>
      <t>西安一桐春坊商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</si>
  <si>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</si>
  <si>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尖尖筷</t>
  </si>
  <si>
    <r>
      <t>娄底市群益下湾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</si>
  <si>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蜂蜜酒;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</si>
  <si>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唯我尊</t>
    </r>
    <r>
      <rPr>
        <sz val="11"/>
        <color theme="1"/>
        <rFont val="ＭＳ Ｐゴシック"/>
        <family val="3"/>
        <charset val="134"/>
        <scheme val="minor"/>
      </rPr>
      <t>显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</si>
  <si>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蜂蜜酒;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</si>
  <si>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奢古今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</si>
  <si>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</si>
  <si>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露酒; 米酒; 利口酒; 白酒;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</si>
  <si>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古宴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</si>
  <si>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芝罘区冬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景日用百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</si>
  <si>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露酒; 餐后酒（利口酒和烈酒）;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</si>
  <si>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御酩梁</t>
  </si>
  <si>
    <r>
      <t>杭州</t>
    </r>
    <r>
      <rPr>
        <sz val="11"/>
        <color theme="1"/>
        <rFont val="ＭＳ Ｐゴシック"/>
        <family val="3"/>
        <charset val="129"/>
        <scheme val="minor"/>
      </rPr>
      <t>洁俞</t>
    </r>
    <r>
      <rPr>
        <sz val="11"/>
        <color theme="1"/>
        <rFont val="ＭＳ Ｐゴシック"/>
        <family val="3"/>
        <charset val="128"/>
        <scheme val="minor"/>
      </rPr>
      <t>姿文化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</si>
  <si>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葡萄酒; 伏特加酒; 威士忌; 朗姆酒;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</si>
  <si>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</si>
  <si>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>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索食品集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</si>
  <si>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</si>
  <si>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御酒吟</t>
  </si>
  <si>
    <r>
      <t>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</si>
  <si>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威士忌; 黄酒;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</si>
  <si>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令策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</si>
  <si>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</si>
  <si>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惹阿妹</t>
  </si>
  <si>
    <r>
      <t>湘西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村科技有限公司</t>
    </r>
  </si>
  <si>
    <r>
      <t>威士忌; 白酒; 烈酒;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</si>
  <si>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金三十里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梁 JINSANSHILIHONGLIAGN</t>
    </r>
  </si>
  <si>
    <r>
      <t>高密市三十里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</si>
  <si>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青稞酒;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</si>
  <si>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汾酒世樽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</si>
  <si>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</si>
  <si>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VERSOS DE VALTUILLE</t>
  </si>
  <si>
    <t>中山市恒升物流有限公司</t>
  </si>
  <si>
    <r>
      <t xml:space="preserve">果酒（含酒精）; 甜果酒;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开胃酒;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苦味酒; 汽酒</t>
    </r>
  </si>
  <si>
    <r>
      <t>醉笑</t>
    </r>
    <r>
      <rPr>
        <sz val="11"/>
        <color theme="1"/>
        <rFont val="ＭＳ Ｐゴシック"/>
        <family val="3"/>
        <charset val="134"/>
        <scheme val="minor"/>
      </rPr>
      <t>还乡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</si>
  <si>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金瑞晨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</si>
  <si>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葡萄酒; 白干酒（中国白酒）; 开胃酒</t>
    </r>
  </si>
  <si>
    <r>
      <t>南朝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</si>
  <si>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葡萄酒</t>
    </r>
  </si>
  <si>
    <r>
      <t>汾酒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</si>
  <si>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</si>
  <si>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汾酒御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</si>
  <si>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</si>
  <si>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麒遇</t>
  </si>
  <si>
    <r>
      <t>巴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谷（烟台）供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</si>
  <si>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</t>
    </r>
  </si>
  <si>
    <t>醉翁沁</t>
  </si>
  <si>
    <r>
      <t>黄酒;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</si>
  <si>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佳</t>
    </r>
  </si>
  <si>
    <t>江晁梅</t>
  </si>
  <si>
    <r>
      <t xml:space="preserve">米酒;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</si>
  <si>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麦上</t>
    </r>
    <r>
      <rPr>
        <sz val="11"/>
        <color theme="1"/>
        <rFont val="ＭＳ Ｐゴシック"/>
        <family val="3"/>
        <charset val="134"/>
        <scheme val="minor"/>
      </rPr>
      <t>飞</t>
    </r>
  </si>
  <si>
    <t>广元市牛牛生物科技有限公司</t>
  </si>
  <si>
    <r>
      <t>钱</t>
    </r>
    <r>
      <rPr>
        <sz val="11"/>
        <color theme="1"/>
        <rFont val="ＭＳ Ｐゴシック"/>
        <family val="3"/>
        <charset val="128"/>
        <scheme val="minor"/>
      </rPr>
      <t>王世家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</si>
  <si>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</si>
  <si>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</t>
    </r>
  </si>
  <si>
    <t>信广源</t>
  </si>
  <si>
    <t>吴登峰</t>
  </si>
  <si>
    <r>
      <t xml:space="preserve">梨酒; 葡萄酒; 开胃酒; 白酒; 清酒（日本米酒）; 食用酒精; 米酒;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</si>
  <si>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饮庐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</si>
  <si>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</si>
  <si>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针</t>
    </r>
    <r>
      <rPr>
        <sz val="11"/>
        <color theme="1"/>
        <rFont val="ＭＳ Ｐゴシック"/>
        <family val="3"/>
        <charset val="128"/>
        <scheme val="minor"/>
      </rPr>
      <t>稀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</si>
  <si>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</si>
  <si>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黄酒; 白酒; 烈性干酒; 米酒; 白干酒（中国白酒）; 清酒;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</si>
  <si>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台酒夫</t>
  </si>
  <si>
    <r>
      <t>谭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</si>
  <si>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餐后酒（利口酒和烈酒）; 米酒; 白酒; 利口酒;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</si>
  <si>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汴春坊</t>
  </si>
  <si>
    <r>
      <t>河南省汴南村酒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</si>
  <si>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</si>
  <si>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汾酒帝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</si>
  <si>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</si>
  <si>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读鉴</t>
  </si>
  <si>
    <r>
      <t>芝罘区黄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</si>
  <si>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果酒（含酒精）; 餐后酒（利口酒和烈酒）;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</si>
  <si>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虞液台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</si>
  <si>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</si>
  <si>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采茗珍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</si>
  <si>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</si>
  <si>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昭福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</si>
  <si>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</si>
  <si>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香逢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</si>
  <si>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春梅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</si>
  <si>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</si>
  <si>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崎毓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</si>
  <si>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</si>
  <si>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酷盈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</si>
  <si>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</si>
  <si>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梁</t>
    </r>
  </si>
  <si>
    <r>
      <t>食用酒精;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伏特加酒; 朗姆酒; 果酒（含酒精）</t>
    </r>
  </si>
  <si>
    <t>曲霞</t>
  </si>
  <si>
    <r>
      <t>靖江市瓜豆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</si>
  <si>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甜酒; 葡萄酒; 清酒;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</si>
  <si>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ARMIICHY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</si>
  <si>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莞市泰来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</si>
  <si>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</si>
  <si>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浙江心海无界数字科技有限公司</t>
  </si>
  <si>
    <r>
      <t xml:space="preserve">威士忌;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食用酒精;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</si>
  <si>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壹山星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</si>
  <si>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州一山星基</t>
    </r>
    <r>
      <rPr>
        <sz val="11"/>
        <color theme="1"/>
        <rFont val="ＭＳ Ｐゴシック"/>
        <family val="3"/>
        <charset val="134"/>
        <scheme val="minor"/>
      </rPr>
      <t>础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</si>
  <si>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</si>
  <si>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GANDENSHAM</t>
  </si>
  <si>
    <r>
      <t>尼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普尺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</si>
  <si>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黄酒; 葡萄酒; 白酒</t>
    </r>
  </si>
  <si>
    <t>品厚将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</si>
  <si>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</si>
  <si>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</si>
  <si>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圣坊酒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</si>
  <si>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葡萄酒</t>
    </r>
  </si>
  <si>
    <t>三重天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</si>
  <si>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州管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</si>
  <si>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</si>
  <si>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麒毓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</si>
  <si>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</si>
  <si>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蜀地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</si>
  <si>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</si>
  <si>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</si>
  <si>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HOLYPEAK ESTATE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</si>
  <si>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酌天下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</si>
  <si>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米酒;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</si>
  <si>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JIM BEAM CUSTOM CASK</t>
  </si>
  <si>
    <r>
      <t>吉姆比姆白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</si>
  <si>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</si>
  <si>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</si>
  <si>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</si>
  <si>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话</t>
    </r>
    <r>
      <rPr>
        <sz val="11"/>
        <color theme="1"/>
        <rFont val="ＭＳ Ｐゴシック"/>
        <family val="3"/>
        <charset val="128"/>
        <scheme val="minor"/>
      </rPr>
      <t>竹姑娘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</si>
  <si>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佳先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</si>
  <si>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</si>
  <si>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r>
      <t>汾酒万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</si>
  <si>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</si>
  <si>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巽二淇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</si>
  <si>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二淇（成都）科技有限公司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</si>
  <si>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</si>
  <si>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启望新程</t>
  </si>
  <si>
    <r>
      <t>兰</t>
    </r>
    <r>
      <rPr>
        <sz val="11"/>
        <color theme="1"/>
        <rFont val="ＭＳ Ｐゴシック"/>
        <family val="3"/>
        <charset val="128"/>
        <scheme val="minor"/>
      </rPr>
      <t>州启望新程餐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</si>
  <si>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白酒; 开胃酒; 加烈葡萄酒;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</t>
    </r>
  </si>
  <si>
    <t>九悦臣悦巷</t>
  </si>
  <si>
    <t>杭州十藏九辰巷科技有限公司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</si>
  <si>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青稞酒;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</si>
  <si>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黔迎昭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</si>
  <si>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</si>
  <si>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舍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泓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</si>
  <si>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</t>
    </r>
  </si>
  <si>
    <t>荔之情</t>
  </si>
  <si>
    <r>
      <t>广西昊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</si>
  <si>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米酒; 果酒; 甜酒;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</t>
    </r>
  </si>
  <si>
    <r>
      <t>黔隆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</si>
  <si>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黄酒; 清酒;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汽酒</t>
    </r>
  </si>
  <si>
    <r>
      <t>楢大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</si>
  <si>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</t>
    </r>
  </si>
  <si>
    <r>
      <t>汾酒灵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</si>
  <si>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</si>
  <si>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朴英</t>
    </r>
    <r>
      <rPr>
        <sz val="11"/>
        <color theme="1"/>
        <rFont val="ＭＳ Ｐゴシック"/>
        <family val="3"/>
        <charset val="134"/>
        <scheme val="minor"/>
      </rPr>
      <t>苏</t>
    </r>
  </si>
  <si>
    <t>于敦彬</t>
  </si>
  <si>
    <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果酒（含酒精）; 葡萄酒; 梨酒; 米酒;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</si>
  <si>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扎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河</t>
    </r>
  </si>
  <si>
    <t>李双海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</si>
  <si>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</si>
  <si>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白女凰</t>
  </si>
  <si>
    <r>
      <t>杨</t>
    </r>
    <r>
      <rPr>
        <sz val="11"/>
        <color theme="1"/>
        <rFont val="ＭＳ Ｐゴシック"/>
        <family val="3"/>
        <charset val="128"/>
        <scheme val="minor"/>
      </rPr>
      <t>茂成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</si>
  <si>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威士忌;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白酒; 清酒（日本米酒）</t>
    </r>
  </si>
  <si>
    <t>吉全之光</t>
  </si>
  <si>
    <t>田素英</t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</si>
  <si>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米酒; 高粱酒;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</si>
  <si>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酒滋力</t>
  </si>
  <si>
    <r>
      <t>刘金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</si>
  <si>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米酒; 汽酒;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高粱酒; 白干酒（中国白酒）</t>
    </r>
  </si>
  <si>
    <t>金泓范王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</si>
  <si>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市金泓酒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</si>
  <si>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高粱酒; 果酒; 汽酒; 茴香酒; 葡萄酒; 开胃酒</t>
    </r>
  </si>
  <si>
    <r>
      <t>弱水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</si>
  <si>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掖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晟建筑装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</si>
  <si>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烈酒; 食用酒精; 白酒; 果酒;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</si>
  <si>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</t>
    </r>
    <r>
      <rPr>
        <sz val="11"/>
        <color theme="1"/>
        <rFont val="ＭＳ Ｐゴシック"/>
        <family val="3"/>
        <charset val="134"/>
        <scheme val="minor"/>
      </rPr>
      <t>龙酿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</si>
  <si>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茴香酒（利口酒）; 青稞酒; 果酒（含酒精）; 利口酒</t>
    </r>
  </si>
  <si>
    <t>粮崝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</si>
  <si>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</si>
  <si>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r>
      <t>吉全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</si>
  <si>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 xml:space="preserve">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葡萄酒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</si>
  <si>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</si>
  <si>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t>王莉</t>
  </si>
  <si>
    <r>
      <t>米酒; 茴香酒（利口酒）;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果酒（含酒精）;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</si>
  <si>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芈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</si>
  <si>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江老汗酒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</si>
  <si>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</si>
  <si>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宋河宋 3</t>
  </si>
  <si>
    <r>
      <t>河南省宋河酒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</si>
  <si>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</si>
  <si>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髻丰</t>
  </si>
  <si>
    <r>
      <t>深圳市百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广告装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</si>
  <si>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</si>
  <si>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酝间</t>
    </r>
  </si>
  <si>
    <t>郝德平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</si>
  <si>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清酒（日本米酒）; 白酒; 伏特加酒;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</si>
  <si>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和路怡</t>
  </si>
  <si>
    <r>
      <t>王</t>
    </r>
    <r>
      <rPr>
        <sz val="11"/>
        <color theme="1"/>
        <rFont val="ＭＳ Ｐゴシック"/>
        <family val="3"/>
        <charset val="129"/>
        <scheme val="minor"/>
      </rPr>
      <t>值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</si>
  <si>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</si>
  <si>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绍谕</t>
  </si>
  <si>
    <t>林方平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</si>
  <si>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</si>
  <si>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途清</t>
  </si>
  <si>
    <t>上海江合智造科技有限公司</t>
  </si>
  <si>
    <t>白酒; 果酒（含酒精）; 米酒</t>
  </si>
  <si>
    <t>友人河</t>
  </si>
  <si>
    <r>
      <t>唐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</si>
  <si>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高粱酒; 果酒（含酒精）; 葡萄酒; 清酒（日本米酒）</t>
    </r>
  </si>
  <si>
    <t>米臣</t>
  </si>
  <si>
    <r>
      <t xml:space="preserve">威士忌; 葡萄酒; 高粱酒;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</si>
  <si>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宋河 宋九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</si>
  <si>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</si>
  <si>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古道潭</t>
  </si>
  <si>
    <r>
      <t>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高粱酒; 白酒;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</si>
  <si>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美王陵</t>
  </si>
  <si>
    <t>谭刚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</si>
  <si>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餐后酒（利口酒和烈酒）; 果酒（含酒精）; 黄酒; 食用酒精;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</si>
  <si>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酝间</t>
    </r>
  </si>
  <si>
    <r>
      <t xml:space="preserve">伏特加酒; 黄酒;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苹果酒;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</si>
  <si>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游牧</t>
    </r>
    <r>
      <rPr>
        <sz val="11"/>
        <color theme="1"/>
        <rFont val="ＭＳ Ｐゴシック"/>
        <family val="3"/>
        <charset val="134"/>
        <scheme val="minor"/>
      </rPr>
      <t>纪</t>
    </r>
  </si>
  <si>
    <t>王波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</si>
  <si>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</si>
  <si>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九洲黔之虎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</si>
  <si>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连凯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</si>
  <si>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威士忌; 黄酒; 开胃酒;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</si>
  <si>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疆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</si>
  <si>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t>杨润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</si>
  <si>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</si>
  <si>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宋河 宋</t>
    </r>
    <r>
      <rPr>
        <sz val="11"/>
        <color theme="1"/>
        <rFont val="ＭＳ Ｐゴシック"/>
        <family val="3"/>
        <charset val="134"/>
        <scheme val="minor"/>
      </rPr>
      <t>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</si>
  <si>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</si>
  <si>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文名天下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</si>
  <si>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黔北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升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</si>
  <si>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开胃酒; 白酒; 白干酒（中国白酒）; 清酒; 蜂蜜酒; 甜酒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</si>
  <si>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礼膳御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</si>
  <si>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州故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御膳房酒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</si>
  <si>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</si>
  <si>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岱</t>
    </r>
    <r>
      <rPr>
        <sz val="11"/>
        <color theme="1"/>
        <rFont val="ＭＳ Ｐゴシック"/>
        <family val="3"/>
        <charset val="134"/>
        <scheme val="minor"/>
      </rPr>
      <t>鳌狮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</si>
  <si>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安徽岱</t>
    </r>
    <r>
      <rPr>
        <sz val="11"/>
        <color theme="1"/>
        <rFont val="ＭＳ Ｐゴシック"/>
        <family val="3"/>
        <charset val="134"/>
        <scheme val="minor"/>
      </rPr>
      <t>鳌</t>
    </r>
    <r>
      <rPr>
        <sz val="11"/>
        <color theme="1"/>
        <rFont val="ＭＳ Ｐゴシック"/>
        <family val="3"/>
        <charset val="128"/>
        <scheme val="minor"/>
      </rPr>
      <t>山文化旅游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</si>
  <si>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开胃酒; 米酒</t>
    </r>
  </si>
  <si>
    <r>
      <t>深圳吉嘉科</t>
    </r>
    <r>
      <rPr>
        <sz val="11"/>
        <color theme="1"/>
        <rFont val="ＭＳ Ｐゴシック"/>
        <family val="3"/>
        <charset val="134"/>
        <scheme val="minor"/>
      </rPr>
      <t>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</si>
  <si>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白酒;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</si>
  <si>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江南太湖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</si>
  <si>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露薇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</si>
  <si>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蒸煮提取物（利口酒和烈酒）; 开胃酒; 清酒（日本米酒）; 茴芹酒（利口酒）; 葡萄酒;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</si>
  <si>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孟道385</t>
  </si>
  <si>
    <r>
      <t>成都千杯少商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</si>
  <si>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白酒; 清酒</t>
    </r>
  </si>
  <si>
    <t>入江南</t>
  </si>
  <si>
    <t>朱辰罡</t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</si>
  <si>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</si>
  <si>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誉台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</si>
  <si>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</si>
  <si>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>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</si>
  <si>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宸妃香道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</si>
  <si>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</si>
  <si>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容止美御香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</si>
  <si>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食用酒精;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</t>
    </r>
  </si>
  <si>
    <r>
      <t>源开四海惊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</si>
  <si>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河南彬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</si>
  <si>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</si>
  <si>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卉昕</t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</si>
  <si>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</si>
  <si>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果酒（含酒精）; 白酒</t>
    </r>
  </si>
  <si>
    <r>
      <t>健数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</si>
  <si>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北京中融</t>
    </r>
    <r>
      <rPr>
        <sz val="11"/>
        <color theme="1"/>
        <rFont val="ＭＳ Ｐゴシック"/>
        <family val="3"/>
        <charset val="134"/>
        <scheme val="minor"/>
      </rPr>
      <t>创实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</si>
  <si>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</si>
  <si>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黔称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</si>
  <si>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</si>
  <si>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开胃酒; 白酒; 米酒; 清酒;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</si>
  <si>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合熙有礼</t>
  </si>
  <si>
    <r>
      <t>合熙商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</si>
  <si>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葡萄酒</t>
    </r>
  </si>
  <si>
    <r>
      <t>富迪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</si>
  <si>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四川斐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</si>
  <si>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葡萄酒</t>
    </r>
  </si>
  <si>
    <r>
      <t>一道</t>
    </r>
    <r>
      <rPr>
        <sz val="11"/>
        <color theme="1"/>
        <rFont val="ＭＳ Ｐゴシック"/>
        <family val="3"/>
        <charset val="134"/>
        <scheme val="minor"/>
      </rPr>
      <t>闪电</t>
    </r>
  </si>
  <si>
    <r>
      <t>张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</si>
  <si>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米酒; 伏特加酒</t>
    </r>
  </si>
  <si>
    <t>山祥角</t>
  </si>
  <si>
    <r>
      <t>浙江松寿堂医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</si>
  <si>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</t>
    </r>
  </si>
  <si>
    <t>LOUIS CRYSTAL 路易水晶</t>
  </si>
  <si>
    <r>
      <t>许</t>
    </r>
    <r>
      <rPr>
        <sz val="11"/>
        <color theme="1"/>
        <rFont val="ＭＳ Ｐゴシック"/>
        <family val="3"/>
        <charset val="128"/>
        <scheme val="minor"/>
      </rPr>
      <t>平平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</si>
  <si>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葡萄酒; 威士忌; 甜酒</t>
    </r>
  </si>
  <si>
    <t>拾宝客</t>
  </si>
  <si>
    <r>
      <t>薛利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</si>
  <si>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汽酒; 苹果酒;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</t>
    </r>
  </si>
  <si>
    <r>
      <t>令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</si>
  <si>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晟</t>
    </r>
  </si>
  <si>
    <r>
      <t xml:space="preserve">米酒;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</si>
  <si>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香之宋</t>
  </si>
  <si>
    <r>
      <t>周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</si>
  <si>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烈酒; 葡萄酒; 黄酒; 威士忌;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</si>
  <si>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孟道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</si>
  <si>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 xml:space="preserve">白酒; 青稞酒; 黄酒; 清酒;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</si>
  <si>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掂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旺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</si>
  <si>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黄小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</si>
  <si>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</si>
  <si>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岸缸</t>
  </si>
  <si>
    <r>
      <t>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日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</si>
  <si>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清酒（日本米酒）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</si>
  <si>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堂力酒</t>
    </r>
  </si>
  <si>
    <r>
      <t>南昌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</si>
  <si>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露酒</t>
    </r>
  </si>
  <si>
    <t>宋河粮液 宋九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</si>
  <si>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</si>
  <si>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状元表</t>
  </si>
  <si>
    <r>
      <t>应</t>
    </r>
    <r>
      <rPr>
        <sz val="11"/>
        <color theme="1"/>
        <rFont val="ＭＳ Ｐゴシック"/>
        <family val="3"/>
        <charset val="128"/>
        <scheme val="minor"/>
      </rPr>
      <t>智明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</si>
  <si>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果酒;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</si>
  <si>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</si>
  <si>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果酒（含酒精）; 米酒; 威士忌; 葡萄酒; 白酒</t>
    </r>
  </si>
  <si>
    <t>黄泰益</t>
  </si>
  <si>
    <r>
      <t>黄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</si>
  <si>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</si>
  <si>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莺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</si>
  <si>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潮州市</t>
    </r>
    <r>
      <rPr>
        <sz val="11"/>
        <color theme="1"/>
        <rFont val="ＭＳ Ｐゴシック"/>
        <family val="3"/>
        <charset val="134"/>
        <scheme val="minor"/>
      </rPr>
      <t>腾远贸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</si>
  <si>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葡萄酒</t>
    </r>
  </si>
  <si>
    <r>
      <t>御印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板</t>
    </r>
  </si>
  <si>
    <t>李力峰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</si>
  <si>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蜂蜜酒;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米酒</t>
    </r>
  </si>
  <si>
    <t>吉全金光</t>
  </si>
  <si>
    <r>
      <t xml:space="preserve">白酒; 葡萄酒; 清酒; 高粱酒;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</si>
  <si>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釜碗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</si>
  <si>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双宇餐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</si>
  <si>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</si>
  <si>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山王十全</t>
  </si>
  <si>
    <t>吉林省山王食品有限公司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</si>
  <si>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露酒</t>
    </r>
  </si>
  <si>
    <t>食岳</t>
  </si>
  <si>
    <r>
      <t>石海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</si>
  <si>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薄荷酒; 白酒</t>
    </r>
  </si>
  <si>
    <t>宋河粮液 宋玖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</si>
  <si>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</si>
  <si>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琼缘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</si>
  <si>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燚</t>
    </r>
  </si>
  <si>
    <r>
      <t>高粱酒; 开胃酒;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</si>
  <si>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YOULU</t>
  </si>
  <si>
    <r>
      <t>欧海世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（四川）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</si>
  <si>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</si>
  <si>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永和福酒</t>
    </r>
  </si>
  <si>
    <r>
      <t>永和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福酒酒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</si>
  <si>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果酒; 葡萄酒; 米酒; 梨酒</t>
    </r>
  </si>
  <si>
    <r>
      <t>厵</t>
    </r>
    <r>
      <rPr>
        <sz val="11"/>
        <color theme="1"/>
        <rFont val="ＭＳ Ｐゴシック"/>
        <family val="3"/>
        <charset val="129"/>
        <scheme val="minor"/>
      </rPr>
      <t>龘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</si>
  <si>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米酒;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</si>
  <si>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周壮武</t>
    </r>
  </si>
  <si>
    <r>
      <t>食用酒精;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</si>
  <si>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宋河 宋三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</si>
  <si>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</si>
  <si>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皇冠墨高</t>
  </si>
  <si>
    <r>
      <t>湖南瑞蒂酒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</si>
  <si>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</si>
  <si>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汐王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</si>
  <si>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黄酒; 清酒（日本米酒）; 白酒; 威士忌; 高粱酒</t>
    </r>
  </si>
  <si>
    <r>
      <t>常香</t>
    </r>
    <r>
      <rPr>
        <sz val="11"/>
        <color theme="1"/>
        <rFont val="ＭＳ Ｐゴシック"/>
        <family val="3"/>
        <charset val="134"/>
        <scheme val="minor"/>
      </rPr>
      <t>约</t>
    </r>
  </si>
  <si>
    <t>常慧芝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</si>
  <si>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果酒（含酒精）</t>
    </r>
  </si>
  <si>
    <t>宋河 宋玖</t>
  </si>
  <si>
    <r>
      <t>果酒（含酒精）;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</si>
  <si>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宋河 宋六</t>
  </si>
  <si>
    <r>
      <t>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</si>
  <si>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纷</t>
    </r>
    <r>
      <rPr>
        <sz val="11"/>
        <color theme="1"/>
        <rFont val="ＭＳ Ｐゴシック"/>
        <family val="3"/>
        <charset val="128"/>
        <scheme val="minor"/>
      </rPr>
      <t>杏礼</t>
    </r>
  </si>
  <si>
    <r>
      <t>山西春玉酒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</si>
  <si>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食用酒精; 露酒</t>
    </r>
  </si>
  <si>
    <t>北拙</t>
  </si>
  <si>
    <r>
      <t>延津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延茅酒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</si>
  <si>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</si>
  <si>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财满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</si>
  <si>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</si>
  <si>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薄荷酒;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</si>
  <si>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帝酒客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</si>
  <si>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薄荷酒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</si>
  <si>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川祁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</si>
  <si>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锡凯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</si>
  <si>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</si>
  <si>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黑体</t>
  </si>
  <si>
    <r>
      <t>四川聚美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</si>
  <si>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葡萄酒; 白干酒（中国白酒）; 白酒; 黄酒;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</si>
  <si>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桃梦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</si>
  <si>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</si>
  <si>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 xml:space="preserve">白酒; 高粱酒; 烈酒;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</t>
    </r>
  </si>
  <si>
    <t>WONPIS</t>
  </si>
  <si>
    <r>
      <t>深圳市万皮斯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</si>
  <si>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</si>
  <si>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棣楻</t>
  </si>
  <si>
    <r>
      <t>成都智澳博洛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</si>
  <si>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果酒（含酒精）</t>
    </r>
  </si>
  <si>
    <r>
      <t>潮人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舞</t>
    </r>
  </si>
  <si>
    <r>
      <t>普宁市粤海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</si>
  <si>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开胃酒; 清酒;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</si>
  <si>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宋河粮液 宋三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</si>
  <si>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</si>
  <si>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四十里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</si>
  <si>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</si>
  <si>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酸酒（低等葡萄酒）;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白酒;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</si>
  <si>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孟道372</t>
  </si>
  <si>
    <r>
      <t xml:space="preserve">伏特加酒;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青稞酒;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</si>
  <si>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元礼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</si>
  <si>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州言台科技有限公司</t>
    </r>
  </si>
  <si>
    <r>
      <t>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</si>
  <si>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朝歌八景</t>
  </si>
  <si>
    <t>刘燕******************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</si>
  <si>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</t>
    </r>
  </si>
  <si>
    <r>
      <t>臻仙</t>
    </r>
    <r>
      <rPr>
        <sz val="11"/>
        <color theme="1"/>
        <rFont val="ＭＳ Ｐゴシック"/>
        <family val="3"/>
        <charset val="134"/>
        <scheme val="minor"/>
      </rPr>
      <t>龄</t>
    </r>
  </si>
  <si>
    <t>万春城</t>
  </si>
  <si>
    <r>
      <t>白酒; 苦味酒; 青稞酒;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蜂蜜酒; 清酒;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</si>
  <si>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宋河粮液 宋</t>
    </r>
    <r>
      <rPr>
        <sz val="11"/>
        <color theme="1"/>
        <rFont val="ＭＳ Ｐゴシック"/>
        <family val="3"/>
        <charset val="134"/>
        <scheme val="minor"/>
      </rPr>
      <t>叁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</si>
  <si>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</si>
  <si>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宋河 宋9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</si>
  <si>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</si>
  <si>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藏虎</t>
    </r>
  </si>
  <si>
    <t>李鑫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</si>
  <si>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</si>
  <si>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不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</si>
  <si>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清酒（日本米酒）; 白酒; 威士忌;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</si>
  <si>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古</t>
    </r>
  </si>
  <si>
    <t>牛献忠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</si>
  <si>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</si>
  <si>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后稷好久</t>
  </si>
  <si>
    <r>
      <t>华润汇</t>
    </r>
    <r>
      <rPr>
        <sz val="11"/>
        <color theme="1"/>
        <rFont val="ＭＳ Ｐゴシック"/>
        <family val="3"/>
        <charset val="128"/>
        <scheme val="minor"/>
      </rPr>
      <t>丰（天津）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</si>
  <si>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</si>
  <si>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将相之器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</si>
  <si>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州养生掌柜酒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</si>
  <si>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蜂蜜酒;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苹果酒; 葡萄酒; 果酒（含酒精）; 黄酒</t>
    </r>
  </si>
  <si>
    <t>炎黄脉</t>
  </si>
  <si>
    <r>
      <t>陈</t>
    </r>
    <r>
      <rPr>
        <sz val="11"/>
        <color theme="1"/>
        <rFont val="ＭＳ Ｐゴシック"/>
        <family val="3"/>
        <charset val="128"/>
        <scheme val="minor"/>
      </rPr>
      <t>婉珍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</si>
  <si>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</si>
  <si>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爱诗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</si>
  <si>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葡萄酒; 蜂蜜酒; 青稞酒; 黄酒</t>
    </r>
  </si>
  <si>
    <t>宋河粮液 宋六</t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</si>
  <si>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</si>
  <si>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阿布探索壳堂 ABDULLA ALAM SIRI</t>
  </si>
  <si>
    <t>阿布都拉·吐松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</si>
  <si>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水果汽酒; 苹果酒;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</si>
  <si>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真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</si>
  <si>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嘉佰</t>
    </r>
    <r>
      <rPr>
        <sz val="11"/>
        <color theme="1"/>
        <rFont val="ＭＳ Ｐゴシック"/>
        <family val="3"/>
        <charset val="134"/>
        <scheme val="minor"/>
      </rPr>
      <t>伦酿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</si>
  <si>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米酒; 威士忌; 葡萄酒; 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</si>
  <si>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儿湾</t>
    </r>
  </si>
  <si>
    <t>覃相云</t>
  </si>
  <si>
    <r>
      <t xml:space="preserve">开胃酒; 清酒（日本米酒）;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威士忌; 果酒（含酒精）</t>
    </r>
  </si>
  <si>
    <t>蔡玉水</t>
  </si>
  <si>
    <r>
      <t>北京金谷圣泉商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</si>
  <si>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茴香酒（利口酒）;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</si>
  <si>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</si>
  <si>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城市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二村景生酒厂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</si>
  <si>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烈酒; 高粱酒; 露酒; 甜酒; 果酒; 黄酒</t>
    </r>
  </si>
  <si>
    <t>卡雅克</t>
  </si>
  <si>
    <r>
      <t>张帅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</si>
  <si>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青稞酒;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</si>
  <si>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千金藏</t>
  </si>
  <si>
    <t>秦伯全</t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</si>
  <si>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</si>
  <si>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影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</si>
  <si>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邓晓</t>
    </r>
    <r>
      <rPr>
        <sz val="11"/>
        <color theme="1"/>
        <rFont val="ＭＳ Ｐゴシック"/>
        <family val="3"/>
        <charset val="128"/>
        <scheme val="minor"/>
      </rPr>
      <t>淇</t>
    </r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</si>
  <si>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</si>
  <si>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瀑</t>
    </r>
  </si>
  <si>
    <t>沈盈</t>
  </si>
  <si>
    <r>
      <t xml:space="preserve">黄酒; 白酒; 清酒（日本米酒）; 烈酒;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</si>
  <si>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上海桂宇九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</si>
  <si>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</si>
  <si>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POYONCIGA 葡园世佳</t>
  </si>
  <si>
    <r>
      <t>黄</t>
    </r>
    <r>
      <rPr>
        <sz val="11"/>
        <color theme="1"/>
        <rFont val="ＭＳ Ｐゴシック"/>
        <family val="3"/>
        <charset val="134"/>
        <scheme val="minor"/>
      </rPr>
      <t>维钦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</si>
  <si>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清酒（日本米酒）; 白酒; 果酒（含酒精）; 开胃酒; 黄酒; 葡萄酒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</si>
  <si>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</si>
  <si>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福建省青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</si>
  <si>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</si>
  <si>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猛小白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</si>
  <si>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清酒（日本米酒）; 威士忌; 烈酒; 黄酒</t>
    </r>
  </si>
  <si>
    <t>义卫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</si>
  <si>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</si>
  <si>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</si>
  <si>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每养堂</t>
  </si>
  <si>
    <t>刘小利</t>
  </si>
  <si>
    <t>汽酒; 清酒; 开胃酒; 米酒; 白酒; 食用酒精; 黄酒; 果酒; 甜酒; 葡萄酒</t>
  </si>
  <si>
    <t>魔冠</t>
  </si>
  <si>
    <r>
      <t>金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</si>
  <si>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朗姆酒;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</si>
  <si>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利稻</t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</si>
  <si>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</si>
  <si>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黄酒; 果酒;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</si>
  <si>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麦田地</t>
  </si>
  <si>
    <t>靳松豪</t>
  </si>
  <si>
    <r>
      <t xml:space="preserve">高粱酒;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白干酒（中国白酒）; 葡萄酒; 黄酒; 白酒</t>
    </r>
  </si>
  <si>
    <r>
      <t>颤颤</t>
    </r>
    <r>
      <rPr>
        <sz val="11"/>
        <color theme="1"/>
        <rFont val="ＭＳ Ｐゴシック"/>
        <family val="3"/>
        <charset val="128"/>
        <scheme val="minor"/>
      </rPr>
      <t>王</t>
    </r>
  </si>
  <si>
    <t>王法壮</t>
  </si>
  <si>
    <r>
      <t xml:space="preserve">食用酒精; 黄酒; 葡萄酒;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</si>
  <si>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RADERSOLUTION</t>
  </si>
  <si>
    <t>睿德涂装科技（上海）有限公司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</si>
  <si>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水果汽酒;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</si>
  <si>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MIUQQ</t>
  </si>
  <si>
    <r>
      <t>许</t>
    </r>
    <r>
      <rPr>
        <sz val="11"/>
        <color theme="1"/>
        <rFont val="ＭＳ Ｐゴシック"/>
        <family val="3"/>
        <charset val="128"/>
        <scheme val="minor"/>
      </rPr>
      <t>舟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</si>
  <si>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</si>
  <si>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澳庄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</si>
  <si>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北京中瑞恒企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</si>
  <si>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果酒（含酒精）; 米酒; 白酒;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</si>
  <si>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三国志</t>
  </si>
  <si>
    <r>
      <t>姚志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</si>
  <si>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青稞酒;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黄酒; 果酒（含酒精）</t>
    </r>
  </si>
  <si>
    <t>互立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</si>
  <si>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州互立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</si>
  <si>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</si>
  <si>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</si>
  <si>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</si>
  <si>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果酒; 果酒（含酒精）; 烈性干酒; 威士忌; 黄酒; 白酒</t>
    </r>
  </si>
  <si>
    <r>
      <t>何氏</t>
    </r>
    <r>
      <rPr>
        <sz val="11"/>
        <color theme="1"/>
        <rFont val="ＭＳ Ｐゴシック"/>
        <family val="3"/>
        <charset val="134"/>
        <scheme val="minor"/>
      </rPr>
      <t>炜烨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</si>
  <si>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卫华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</si>
  <si>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</si>
  <si>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果峡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</si>
  <si>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清酒（日本米酒）; 威士忌</t>
    </r>
  </si>
  <si>
    <t>甲骨之都</t>
  </si>
  <si>
    <t>田志敏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</si>
  <si>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</si>
  <si>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竹清玖</t>
  </si>
  <si>
    <r>
      <t>微妙谷物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</si>
  <si>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食用酒精</t>
    </r>
  </si>
  <si>
    <t>登烈</t>
  </si>
  <si>
    <r>
      <t>登衙（安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）互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网平台有限公司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</si>
  <si>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威士忌;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蜂蜜酒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</si>
  <si>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盛河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</si>
  <si>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</si>
  <si>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葡萄酒; 米酒;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</si>
  <si>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桃之舞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</si>
  <si>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容企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</si>
  <si>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汽酒;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</si>
  <si>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行到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</si>
  <si>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</si>
  <si>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米酒; 威士忌; 甜果酒; 清酒; 葡萄酒; 果酒</t>
    </r>
  </si>
  <si>
    <t>古牛石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</si>
  <si>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州勒美家五金有限公司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</si>
  <si>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苦味酒;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</si>
  <si>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洪福道运</t>
  </si>
  <si>
    <r>
      <t>宽</t>
    </r>
    <r>
      <rPr>
        <sz val="11"/>
        <color theme="1"/>
        <rFont val="ＭＳ Ｐゴシック"/>
        <family val="3"/>
        <charset val="128"/>
        <scheme val="minor"/>
      </rPr>
      <t>窄央吉酒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</si>
  <si>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高粱酒;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白干酒（中国白酒）; 果酒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</si>
  <si>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呈</t>
    </r>
  </si>
  <si>
    <r>
      <t>谭竞</t>
    </r>
    <r>
      <rPr>
        <sz val="11"/>
        <color theme="1"/>
        <rFont val="ＭＳ Ｐゴシック"/>
        <family val="3"/>
        <charset val="128"/>
        <scheme val="minor"/>
      </rPr>
      <t>霄</t>
    </r>
  </si>
  <si>
    <r>
      <t xml:space="preserve">烈酒;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茴香酒; 黄酒; 白酒; 清酒（日本米酒）; 葡萄酒</t>
    </r>
  </si>
  <si>
    <r>
      <t>汪碧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</si>
  <si>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茴香酒（利口酒）;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</si>
  <si>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古洛康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</si>
  <si>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河南酒圣酒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</si>
  <si>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</si>
  <si>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</si>
  <si>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</t>
    </r>
  </si>
  <si>
    <t>柒形</t>
  </si>
  <si>
    <r>
      <t>武熊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（杭州）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</si>
  <si>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黄酒; 清酒（日本米酒）;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</si>
  <si>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</si>
  <si>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</si>
  <si>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果酒（含酒精）; 葡萄酒;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</si>
  <si>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杨传师</t>
  </si>
  <si>
    <r>
      <t>闫</t>
    </r>
    <r>
      <rPr>
        <sz val="11"/>
        <color theme="1"/>
        <rFont val="ＭＳ Ｐゴシック"/>
        <family val="3"/>
        <charset val="128"/>
        <scheme val="minor"/>
      </rPr>
      <t>玉德******************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</si>
  <si>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高粱酒; 白干酒（中国白酒）;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葡萄酒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</si>
  <si>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口熊</t>
    </r>
  </si>
  <si>
    <t>王代里</t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</si>
  <si>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薄荷酒;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</si>
  <si>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玖醇宸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</si>
  <si>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州明圣泉商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</si>
  <si>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</si>
  <si>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</si>
  <si>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广州盛欲号文化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</si>
  <si>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白酒</t>
    </r>
  </si>
  <si>
    <r>
      <t>挚</t>
    </r>
    <r>
      <rPr>
        <sz val="11"/>
        <color theme="1"/>
        <rFont val="ＭＳ Ｐゴシック"/>
        <family val="3"/>
        <charset val="128"/>
        <scheme val="minor"/>
      </rPr>
      <t>朋酒</t>
    </r>
  </si>
  <si>
    <t>刘秀秀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</si>
  <si>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</si>
  <si>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</si>
  <si>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四序悦色</t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</si>
  <si>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</si>
  <si>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</si>
  <si>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GUI SHI BA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</si>
  <si>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黄酒; 白酒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</si>
  <si>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靥</t>
    </r>
  </si>
  <si>
    <r>
      <t xml:space="preserve">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</si>
  <si>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集品大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</si>
  <si>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腾辉</t>
    </r>
    <r>
      <rPr>
        <sz val="11"/>
        <color theme="1"/>
        <rFont val="ＭＳ Ｐゴシック"/>
        <family val="3"/>
        <charset val="128"/>
        <scheme val="minor"/>
      </rPr>
      <t>佳科商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</si>
  <si>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食用酒精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</si>
  <si>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澳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</si>
  <si>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</si>
  <si>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信德美</t>
  </si>
  <si>
    <r>
      <t xml:space="preserve">茴香酒; 果酒（含酒精）; 黄酒; 白酒; 清酒（日本米酒）; 葡萄酒;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</si>
  <si>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MARGIELA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</si>
  <si>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江醉美商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</si>
  <si>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汽酒</t>
    </r>
  </si>
  <si>
    <r>
      <t>咏圣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</si>
  <si>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仲子酒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</si>
  <si>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</si>
  <si>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唯我雄霸</t>
  </si>
  <si>
    <r>
      <t>俞</t>
    </r>
    <r>
      <rPr>
        <sz val="11"/>
        <color theme="1"/>
        <rFont val="ＭＳ Ｐゴシック"/>
        <family val="3"/>
        <charset val="128"/>
        <scheme val="minor"/>
      </rPr>
      <t>恬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</si>
  <si>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</si>
  <si>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t>NITESCENCE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</si>
  <si>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</si>
  <si>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</si>
  <si>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双窑梦</t>
  </si>
  <si>
    <r>
      <t>陈现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</si>
  <si>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黄酒; 果酒（含酒精）; 餐后酒（利口酒和烈酒）; 葡萄酒; 威士忌</t>
    </r>
  </si>
  <si>
    <t>杜甫很忙酒</t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</si>
  <si>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</si>
  <si>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薄荷酒;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果酒（含酒精）;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</si>
  <si>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米达隆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</si>
  <si>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陈绍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</si>
  <si>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</si>
  <si>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世界杜甫酒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</si>
  <si>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白酒; 威士忌; 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</si>
  <si>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猕</t>
    </r>
    <r>
      <rPr>
        <sz val="11"/>
        <color theme="1"/>
        <rFont val="ＭＳ Ｐゴシック"/>
        <family val="3"/>
        <charset val="128"/>
        <scheme val="minor"/>
      </rPr>
      <t>小美</t>
    </r>
  </si>
  <si>
    <r>
      <t>城固</t>
    </r>
    <r>
      <rPr>
        <sz val="11"/>
        <color theme="1"/>
        <rFont val="ＭＳ Ｐゴシック"/>
        <family val="3"/>
        <charset val="134"/>
        <scheme val="minor"/>
      </rPr>
      <t>县猕</t>
    </r>
    <r>
      <rPr>
        <sz val="11"/>
        <color theme="1"/>
        <rFont val="ＭＳ Ｐゴシック"/>
        <family val="3"/>
        <charset val="128"/>
        <scheme val="minor"/>
      </rPr>
      <t>小哥水果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</si>
  <si>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柑香酒;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</si>
  <si>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锦记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</si>
  <si>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</si>
  <si>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伏特加酒; 米酒; 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</si>
  <si>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梅梓</t>
  </si>
  <si>
    <t>刘洪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</si>
  <si>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日本梅子酒</t>
    </r>
  </si>
  <si>
    <t>源酒梦工厂</t>
  </si>
  <si>
    <r>
      <t xml:space="preserve">黄酒; 高粱酒; 白干酒（中国白酒）; 白酒; 薄荷酒;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</si>
  <si>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新澈庄园</t>
  </si>
  <si>
    <t>雷磊</t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</si>
  <si>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果酒（含酒精）; 烈酒;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</si>
  <si>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依然美</t>
  </si>
  <si>
    <r>
      <t>中管依然（佛山）商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</si>
  <si>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白干酒（中国白酒）; 白葡萄酒;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</si>
  <si>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帖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</si>
  <si>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清酒（日本米酒）; 茴香酒; 烈酒; 果酒（含酒精）; 白酒; 葡萄酒</t>
    </r>
  </si>
  <si>
    <t>钱辈</t>
  </si>
  <si>
    <r>
      <t>沈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</si>
  <si>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伏特加酒; 威士忌; 白酒; 果酒（含酒精）; 葡萄酒; 米酒</t>
    </r>
  </si>
  <si>
    <r>
      <t>佩</t>
    </r>
    <r>
      <rPr>
        <sz val="11"/>
        <color theme="1"/>
        <rFont val="ＭＳ Ｐゴシック"/>
        <family val="3"/>
        <charset val="134"/>
        <scheme val="minor"/>
      </rPr>
      <t>齐乐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</si>
  <si>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>悦葡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</si>
  <si>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</si>
  <si>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砀</t>
    </r>
  </si>
  <si>
    <r>
      <t>砀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县领</t>
    </r>
    <r>
      <rPr>
        <sz val="11"/>
        <color theme="1"/>
        <rFont val="ＭＳ Ｐゴシック"/>
        <family val="3"/>
        <charset val="128"/>
        <scheme val="minor"/>
      </rPr>
      <t>唐食品有限公司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</si>
  <si>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梨酒; 白酒; 米酒; 梅酒; 朗姆酒; 伏特加酒; 威士忌</t>
    </r>
  </si>
  <si>
    <r>
      <t>通泰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</si>
  <si>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江市群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</si>
  <si>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</si>
  <si>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朝聚</t>
  </si>
  <si>
    <r>
      <t>朝聚医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</si>
  <si>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</si>
  <si>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黔中尚</t>
    </r>
    <r>
      <rPr>
        <sz val="11"/>
        <color theme="1"/>
        <rFont val="ＭＳ Ｐゴシック"/>
        <family val="3"/>
        <charset val="134"/>
        <scheme val="minor"/>
      </rPr>
      <t>烨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</si>
  <si>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州尚</t>
    </r>
    <r>
      <rPr>
        <sz val="11"/>
        <color theme="1"/>
        <rFont val="ＭＳ Ｐゴシック"/>
        <family val="3"/>
        <charset val="134"/>
        <scheme val="minor"/>
      </rPr>
      <t>烨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蒸生物科技有限公司</t>
    </r>
  </si>
  <si>
    <r>
      <t>果酒（含酒精）; 五加皮酒（中国混合烈酒）;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</si>
  <si>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首蜀</t>
  </si>
  <si>
    <r>
      <t>白酒;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清酒;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</si>
  <si>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惊讋</t>
  </si>
  <si>
    <t>嵇可鑫</t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</si>
  <si>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清酒; 威士忌; 葡萄酒; 利口酒; 餐后酒（利口酒和烈酒）;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</si>
  <si>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回信</t>
    </r>
  </si>
  <si>
    <t>朱阳付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</si>
  <si>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</si>
  <si>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鑫釜</t>
  </si>
  <si>
    <r>
      <t xml:space="preserve">黄酒; 葡萄酒; 白酒; 清酒（日本米酒）; 米酒; 威士忌; 茴香酒;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</si>
  <si>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</si>
  <si>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雅格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丹·施普洛英国投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</si>
  <si>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</si>
  <si>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r>
      <t>辅</t>
    </r>
    <r>
      <rPr>
        <sz val="11"/>
        <color theme="1"/>
        <rFont val="ＭＳ Ｐゴシック"/>
        <family val="3"/>
        <charset val="128"/>
        <scheme val="minor"/>
      </rPr>
      <t>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</si>
  <si>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州百字令酒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</si>
  <si>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威士忌; 果酒（含酒精）</t>
    </r>
  </si>
  <si>
    <r>
      <t>八十八影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</si>
  <si>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白酒; 黄酒;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</si>
  <si>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酒逢喜市</t>
  </si>
  <si>
    <r>
      <t>杭州群望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算机技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</si>
  <si>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</si>
  <si>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芬檬</t>
  </si>
  <si>
    <t>李科</t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</si>
  <si>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</t>
    </r>
  </si>
  <si>
    <t>LCHUNX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</si>
  <si>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春翔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</si>
  <si>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含酒精的气泡水; 甜果酒;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梅酒; 烈酒; 食用酒精; 白酒; 米酒; 甜酒</t>
    </r>
  </si>
  <si>
    <r>
      <t>佲</t>
    </r>
    <r>
      <rPr>
        <sz val="11"/>
        <color theme="1"/>
        <rFont val="ＭＳ Ｐゴシック"/>
        <family val="3"/>
        <charset val="128"/>
        <scheme val="minor"/>
      </rPr>
      <t>匠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</si>
  <si>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南京一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</si>
  <si>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</si>
  <si>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武陵青雅</t>
  </si>
  <si>
    <t>湖南武陵酒有限公司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</si>
  <si>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米酒</t>
    </r>
  </si>
  <si>
    <t>岳玖仙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</si>
  <si>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</si>
  <si>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四美女 酒</t>
    </r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</si>
  <si>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</si>
  <si>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葡萄酒; 果酒（含酒精）;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清酒; 利口酒</t>
    </r>
  </si>
  <si>
    <r>
      <t>辰</t>
    </r>
    <r>
      <rPr>
        <sz val="11"/>
        <color theme="1"/>
        <rFont val="ＭＳ Ｐゴシック"/>
        <family val="3"/>
        <charset val="134"/>
        <scheme val="minor"/>
      </rPr>
      <t>润</t>
    </r>
  </si>
  <si>
    <t>德州康瑞食品有限公司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</si>
  <si>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葡萄酒; 蜂蜜酒; 米酒; 果酒（含酒精）</t>
    </r>
  </si>
  <si>
    <r>
      <t>天窖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</si>
  <si>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米酒;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</si>
  <si>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若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</si>
  <si>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程小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</si>
  <si>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</si>
  <si>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向南堂</t>
  </si>
  <si>
    <r>
      <t>深圳大悦酒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</si>
  <si>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白干酒（中国白酒）; 烈酒; 甜酒; 白酒</t>
    </r>
  </si>
  <si>
    <t>谷楠春</t>
  </si>
  <si>
    <r>
      <t>杨</t>
    </r>
    <r>
      <rPr>
        <sz val="11"/>
        <color theme="1"/>
        <rFont val="ＭＳ Ｐゴシック"/>
        <family val="3"/>
        <charset val="128"/>
        <scheme val="minor"/>
      </rPr>
      <t>万里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</si>
  <si>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蒸煮提取物（利口酒和烈酒）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</si>
  <si>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</si>
  <si>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道企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</si>
  <si>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果酒; 伏特加酒; 威士忌; 汽酒</t>
    </r>
  </si>
  <si>
    <r>
      <t>京酩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</si>
  <si>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黄酒; 清酒（日本米酒）</t>
    </r>
  </si>
  <si>
    <t>豹吼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</si>
  <si>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威士忌; 烈酒; 白酒; 开胃酒; 果酒（含酒精）</t>
    </r>
  </si>
  <si>
    <t>寿斗</t>
  </si>
  <si>
    <r>
      <t>云南倍宜茶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</si>
  <si>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</si>
  <si>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伶</t>
    </r>
    <r>
      <rPr>
        <sz val="11"/>
        <color theme="1"/>
        <rFont val="ＭＳ Ｐゴシック"/>
        <family val="3"/>
        <charset val="134"/>
        <scheme val="minor"/>
      </rPr>
      <t>伦乐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</si>
  <si>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伶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（海南）酒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</si>
  <si>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</si>
  <si>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至甄太子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</si>
  <si>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朗姆酒; 黄酒; 伏特加酒;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</si>
  <si>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赣贵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</si>
  <si>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 xml:space="preserve">葡萄酒; 黄酒; 烈酒;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果酒（含酒精）; 米酒; 威士忌</t>
    </r>
  </si>
  <si>
    <r>
      <t>世界杜甫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</si>
  <si>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</si>
  <si>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色流香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</si>
  <si>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</si>
  <si>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合家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</si>
  <si>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区江洇</t>
    </r>
    <r>
      <rPr>
        <sz val="11"/>
        <color theme="1"/>
        <rFont val="ＭＳ Ｐゴシック"/>
        <family val="3"/>
        <charset val="134"/>
        <scheme val="minor"/>
      </rPr>
      <t>镁</t>
    </r>
    <r>
      <rPr>
        <sz val="11"/>
        <color theme="1"/>
        <rFont val="ＭＳ Ｐゴシック"/>
        <family val="3"/>
        <charset val="128"/>
        <scheme val="minor"/>
      </rPr>
      <t>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</si>
  <si>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餐后酒（利口酒和烈酒）; 白酒; 葡萄酒;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</si>
  <si>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密中密</t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</si>
  <si>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</si>
  <si>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</si>
  <si>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万朝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</si>
  <si>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汽酒; 白酒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</si>
  <si>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堰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</si>
  <si>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洋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</si>
  <si>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</si>
  <si>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</si>
  <si>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</si>
  <si>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茗酉酷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</si>
  <si>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州茶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界茶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</si>
  <si>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食用酒精; 清酒</t>
    </r>
  </si>
  <si>
    <t>CLOSE BY</t>
  </si>
  <si>
    <r>
      <t>浙江艾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</si>
  <si>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清酒; 白酒; 威士忌;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</si>
  <si>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黔日梦</t>
  </si>
  <si>
    <r>
      <t>开胃酒;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</si>
  <si>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SIX RABBITS</t>
  </si>
  <si>
    <r>
      <t>张</t>
    </r>
    <r>
      <rPr>
        <sz val="11"/>
        <color theme="1"/>
        <rFont val="ＭＳ Ｐゴシック"/>
        <family val="3"/>
        <charset val="128"/>
        <scheme val="minor"/>
      </rPr>
      <t>倩</t>
    </r>
  </si>
  <si>
    <r>
      <t xml:space="preserve">果酒(含酒精);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主的除外); 汽酒; 米酒; 清酒(日本米酒);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</si>
  <si>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赐盏</t>
  </si>
  <si>
    <r>
      <t>烈酒; 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</si>
  <si>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</si>
  <si>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夏日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</si>
  <si>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昆</t>
    </r>
  </si>
  <si>
    <r>
      <t>黄酒;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伏特加酒;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</si>
  <si>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丰善甫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</si>
  <si>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九久堂酒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</si>
  <si>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</si>
  <si>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广和鑫</t>
  </si>
  <si>
    <r>
      <t>陈</t>
    </r>
    <r>
      <rPr>
        <sz val="11"/>
        <color theme="1"/>
        <rFont val="ＭＳ Ｐゴシック"/>
        <family val="3"/>
        <charset val="128"/>
        <scheme val="minor"/>
      </rPr>
      <t>育明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</si>
  <si>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伏特加酒; 果酒（含酒精）; 开胃酒</t>
    </r>
  </si>
  <si>
    <t>季密</t>
  </si>
  <si>
    <r>
      <t>蜂蜜酒;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</si>
  <si>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秘中秘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</si>
  <si>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</si>
  <si>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楚氏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第</t>
    </r>
  </si>
  <si>
    <r>
      <t>蒋瑞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</si>
  <si>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清酒（日本米酒）; 葡萄酒; 黄酒; 果酒（含酒精）</t>
    </r>
  </si>
  <si>
    <r>
      <t>天生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</si>
  <si>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李香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</si>
  <si>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</si>
  <si>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桑落洲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</si>
  <si>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州来之福酒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</si>
  <si>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</si>
  <si>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氿知己</t>
  </si>
  <si>
    <r>
      <t>北京中科先新中医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</si>
  <si>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</si>
  <si>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土成金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</si>
  <si>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果酒; 米酒; 清酒; 白干酒（中国白酒）; 高粱酒</t>
    </r>
  </si>
  <si>
    <t>MIKULELY</t>
  </si>
  <si>
    <r>
      <t>马</t>
    </r>
    <r>
      <rPr>
        <sz val="11"/>
        <color theme="1"/>
        <rFont val="ＭＳ Ｐゴシック"/>
        <family val="3"/>
        <charset val="128"/>
        <scheme val="minor"/>
      </rPr>
      <t>美玲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</si>
  <si>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</si>
  <si>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洹王子</t>
  </si>
  <si>
    <r>
      <t>周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</si>
  <si>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青梅酒; 黄酒; 米酒; 白酒;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汽酒; 利口酒</t>
    </r>
  </si>
  <si>
    <r>
      <t>集小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</si>
  <si>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</si>
  <si>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酸酒（低等葡萄酒）; 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蜂蜜酒;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</si>
  <si>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惊</t>
    </r>
    <r>
      <rPr>
        <sz val="11"/>
        <color theme="1"/>
        <rFont val="ＭＳ Ｐゴシック"/>
        <family val="3"/>
        <charset val="134"/>
        <scheme val="minor"/>
      </rPr>
      <t>詟</t>
    </r>
  </si>
  <si>
    <r>
      <t>黄酒; 米酒; 利口酒;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清酒; 白酒</t>
    </r>
  </si>
  <si>
    <r>
      <t>苏尔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</si>
  <si>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</si>
  <si>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曲凰</t>
    </r>
  </si>
  <si>
    <r>
      <t>开胃酒; 黄酒; 清酒（日本米酒）;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</si>
  <si>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t>秘境山谷</t>
  </si>
  <si>
    <r>
      <t>云南翠湖茶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</si>
  <si>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甜酒</t>
    </r>
  </si>
  <si>
    <r>
      <t>秦嬴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横似海</t>
    </r>
  </si>
  <si>
    <t>英才添翼教育科技（西安）有限公司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</si>
  <si>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</si>
  <si>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艾梅里</t>
    </r>
  </si>
  <si>
    <r>
      <t>宁波市王雨商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</si>
  <si>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葡萄酒; 蜂蜜酒;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</si>
  <si>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庄氏思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</si>
  <si>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福建百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</si>
  <si>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薄荷酒; 威士忌</t>
    </r>
  </si>
  <si>
    <t>吉凌</t>
  </si>
  <si>
    <r>
      <t>陆</t>
    </r>
    <r>
      <rPr>
        <sz val="11"/>
        <color theme="1"/>
        <rFont val="ＭＳ Ｐゴシック"/>
        <family val="3"/>
        <charset val="128"/>
        <scheme val="minor"/>
      </rPr>
      <t>益仙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</si>
  <si>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</si>
  <si>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</si>
  <si>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 xml:space="preserve">葡萄酒; 茴香酒; 白酒;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</si>
  <si>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尚</t>
    </r>
  </si>
  <si>
    <t>茜善食品有限公司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</si>
  <si>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食用酒精;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</si>
  <si>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大秦政</t>
  </si>
  <si>
    <r>
      <t xml:space="preserve">黄酒; 果酒（含酒精）; 葡萄酒;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</si>
  <si>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仔</t>
    </r>
    <r>
      <rPr>
        <sz val="11"/>
        <color theme="1"/>
        <rFont val="ＭＳ Ｐゴシック"/>
        <family val="3"/>
        <charset val="129"/>
        <scheme val="minor"/>
      </rPr>
      <t>喵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</si>
  <si>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驴</t>
    </r>
    <r>
      <rPr>
        <sz val="11"/>
        <color theme="1"/>
        <rFont val="ＭＳ Ｐゴシック"/>
        <family val="3"/>
        <charset val="128"/>
        <scheme val="minor"/>
      </rPr>
      <t>老板网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</si>
  <si>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</si>
  <si>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t>益碧增</t>
  </si>
  <si>
    <r>
      <t>元阳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新街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</si>
  <si>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葡萄酒</t>
    </r>
  </si>
  <si>
    <t>PERE GUILLOT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</si>
  <si>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</t>
    </r>
  </si>
  <si>
    <r>
      <t>奋</t>
    </r>
    <r>
      <rPr>
        <sz val="11"/>
        <color theme="1"/>
        <rFont val="ＭＳ Ｐゴシック"/>
        <family val="3"/>
        <charset val="128"/>
        <scheme val="minor"/>
      </rPr>
      <t>斗夫人</t>
    </r>
  </si>
  <si>
    <t>周国琴</t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</si>
  <si>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葡萄酒; 烈酒</t>
    </r>
  </si>
  <si>
    <t>圣基</t>
  </si>
  <si>
    <r>
      <t xml:space="preserve">茴香酒;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米酒; 白酒; 清酒（日本米酒）; 果酒（含酒精）</t>
    </r>
  </si>
  <si>
    <t>晋杏人</t>
  </si>
  <si>
    <r>
      <t>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</si>
  <si>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r>
      <t>越之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</si>
  <si>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越之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黄酒文化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</si>
  <si>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开胃酒; 蜂蜜酒; 清酒（日本米酒）; 黄酒</t>
    </r>
  </si>
  <si>
    <r>
      <t>伶</t>
    </r>
    <r>
      <rPr>
        <sz val="11"/>
        <color theme="1"/>
        <rFont val="ＭＳ Ｐゴシック"/>
        <family val="3"/>
        <charset val="134"/>
        <scheme val="minor"/>
      </rPr>
      <t>伦乐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</si>
  <si>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</si>
  <si>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斐</t>
    </r>
    <r>
      <rPr>
        <sz val="11"/>
        <color theme="1"/>
        <rFont val="ＭＳ Ｐゴシック"/>
        <family val="3"/>
        <charset val="134"/>
        <scheme val="minor"/>
      </rPr>
      <t>亚图</t>
    </r>
    <r>
      <rPr>
        <sz val="11"/>
        <color theme="1"/>
        <rFont val="ＭＳ Ｐゴシック"/>
        <family val="3"/>
        <charset val="128"/>
        <scheme val="minor"/>
      </rPr>
      <t xml:space="preserve"> FIYATOO</t>
    </r>
  </si>
  <si>
    <t>曾静</t>
  </si>
  <si>
    <r>
      <t xml:space="preserve">烈酒; 清酒（日本米酒）; 开胃酒; 葡萄酒;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</si>
  <si>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执</t>
    </r>
    <r>
      <rPr>
        <sz val="11"/>
        <color theme="1"/>
        <rFont val="ＭＳ Ｐゴシック"/>
        <family val="3"/>
        <charset val="128"/>
        <scheme val="minor"/>
      </rPr>
      <t>菲</t>
    </r>
    <r>
      <rPr>
        <sz val="11"/>
        <color theme="1"/>
        <rFont val="ＭＳ Ｐゴシック"/>
        <family val="3"/>
        <charset val="134"/>
        <scheme val="minor"/>
      </rPr>
      <t>讯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</si>
  <si>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</si>
  <si>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</si>
  <si>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兽</t>
    </r>
    <r>
      <rPr>
        <sz val="11"/>
        <color theme="1"/>
        <rFont val="ＭＳ Ｐゴシック"/>
        <family val="3"/>
        <charset val="128"/>
        <scheme val="minor"/>
      </rPr>
      <t>斗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</si>
  <si>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</si>
  <si>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超吉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</si>
  <si>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中建高通（北京）建筑工程技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</si>
  <si>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 xml:space="preserve">葡萄酒; 利口酒;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</t>
    </r>
  </si>
  <si>
    <t>杨酿师</t>
  </si>
  <si>
    <r>
      <t>黄酒; 白干酒（中国白酒）; 白酒; 米酒; 高粱酒; 清酒; 果酒;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</si>
  <si>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原淼</t>
  </si>
  <si>
    <r>
      <t>成都天府智慧大厨房科技有限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</si>
  <si>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高粱酒; 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</si>
  <si>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香岭南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</si>
  <si>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</si>
  <si>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</si>
  <si>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香之江</t>
    </r>
  </si>
  <si>
    <r>
      <t>果酒（含酒精）;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</si>
  <si>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萨嘞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</si>
  <si>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</si>
  <si>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鳯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</si>
  <si>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苹果酒; 餐后酒（利口酒和烈酒）;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</si>
  <si>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</si>
  <si>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清</t>
    </r>
  </si>
  <si>
    <t>刘小声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</si>
  <si>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</si>
  <si>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特康蒂</t>
    </r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</si>
  <si>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霆网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</si>
  <si>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白葡萄酒;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</si>
  <si>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福平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</si>
  <si>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西群启商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</si>
  <si>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</si>
  <si>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御梁王</t>
  </si>
  <si>
    <r>
      <t>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（洛阳）有限公司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</si>
  <si>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蜂蜜酒;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</t>
    </r>
  </si>
  <si>
    <t>仲医世佳</t>
  </si>
  <si>
    <t>廖海波</t>
  </si>
  <si>
    <t>开胃酒; 果酒; 汽酒; 甜酒; 葡萄酒; 白酒; 米酒; 食用酒精; 黄酒; 清酒</t>
  </si>
  <si>
    <r>
      <t>粮</t>
    </r>
    <r>
      <rPr>
        <sz val="11"/>
        <color theme="1"/>
        <rFont val="ＭＳ Ｐゴシック"/>
        <family val="3"/>
        <charset val="134"/>
        <scheme val="minor"/>
      </rPr>
      <t>鍀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</si>
  <si>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党秀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</si>
  <si>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清酒;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</si>
  <si>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福建省美旭光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</si>
  <si>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米酒</t>
    </r>
  </si>
  <si>
    <r>
      <t>疋</t>
    </r>
    <r>
      <rPr>
        <sz val="11"/>
        <color theme="1"/>
        <rFont val="ＭＳ Ｐゴシック"/>
        <family val="3"/>
        <charset val="129"/>
        <scheme val="minor"/>
      </rPr>
      <t>喌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</si>
  <si>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白酒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</si>
  <si>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老板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</si>
  <si>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威士忌; 烈酒; 葡萄酒; 清酒（日本米酒）; 果酒（含酒精）; 米酒</t>
    </r>
  </si>
  <si>
    <t>粤八</t>
  </si>
  <si>
    <r>
      <t>蕉岭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山泉酒厂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</si>
  <si>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</si>
  <si>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t>荷鹿仙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</si>
  <si>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州弯道餐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</si>
  <si>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</si>
  <si>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石潭古韵</t>
  </si>
  <si>
    <r>
      <t>齐</t>
    </r>
    <r>
      <rPr>
        <sz val="11"/>
        <color theme="1"/>
        <rFont val="ＭＳ Ｐゴシック"/>
        <family val="3"/>
        <charset val="128"/>
        <scheme val="minor"/>
      </rPr>
      <t>仕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</si>
  <si>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开胃酒; 清酒（日本米酒）; 威士忌; 白酒; 葡萄酒; 黄酒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</si>
  <si>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阿哥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</si>
  <si>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州二酉科技有限公司</t>
    </r>
  </si>
  <si>
    <r>
      <t>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</si>
  <si>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清水湾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</si>
  <si>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州宋窖酒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</si>
  <si>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柑香酒</t>
    </r>
  </si>
  <si>
    <t>杜甫很忙潮酒</t>
  </si>
  <si>
    <r>
      <t>白酒; 薄荷酒;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</si>
  <si>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心灵一号道理</t>
  </si>
  <si>
    <r>
      <t>上海五指数字科技集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</si>
  <si>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</si>
  <si>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杜甫文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</si>
  <si>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薄荷酒;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</si>
  <si>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宝翡莉</t>
  </si>
  <si>
    <r>
      <t>天</t>
    </r>
    <r>
      <rPr>
        <sz val="11"/>
        <color theme="1"/>
        <rFont val="ＭＳ Ｐゴシック"/>
        <family val="3"/>
        <charset val="134"/>
        <scheme val="minor"/>
      </rPr>
      <t>芈农业</t>
    </r>
    <r>
      <rPr>
        <sz val="11"/>
        <color theme="1"/>
        <rFont val="ＭＳ Ｐゴシック"/>
        <family val="3"/>
        <charset val="128"/>
        <scheme val="minor"/>
      </rPr>
      <t>科技（宁夏）有限公司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</si>
  <si>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</si>
  <si>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t>柏采</t>
  </si>
  <si>
    <r>
      <t>何柏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</si>
  <si>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水果汽酒; 威士忌; 米酒; 白酒</t>
    </r>
  </si>
  <si>
    <t>臻酒久</t>
  </si>
  <si>
    <t>刘太富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</si>
  <si>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青梅酒; 高粱酒;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清酒; 黄酒; 米酒</t>
    </r>
  </si>
  <si>
    <t>N NEAWA 翎瓦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</si>
  <si>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州味掘商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</si>
  <si>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</si>
  <si>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升途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</si>
  <si>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洪建</t>
    </r>
  </si>
  <si>
    <r>
      <t>柑香酒;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</si>
  <si>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夏藕荷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</si>
  <si>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东纳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</si>
  <si>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清酒（日本米酒）</t>
    </r>
  </si>
  <si>
    <t>潘正文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</si>
  <si>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果酒（含酒精）; 白酒; 葡萄酒</t>
    </r>
  </si>
  <si>
    <t>丘生窖</t>
  </si>
  <si>
    <r>
      <t>酒哥子（成都）酒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</si>
  <si>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日式甜米酒; 果酒; 青梅酒; 果酒（含酒精）;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高粱酒</t>
    </r>
  </si>
  <si>
    <r>
      <t>众生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和天下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</si>
  <si>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登友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</si>
  <si>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</si>
  <si>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龟</t>
    </r>
    <r>
      <rPr>
        <sz val="11"/>
        <color theme="1"/>
        <rFont val="ＭＳ Ｐゴシック"/>
        <family val="3"/>
        <charset val="128"/>
        <scheme val="minor"/>
      </rPr>
      <t>康寿仙</t>
    </r>
  </si>
  <si>
    <r>
      <t>海南三</t>
    </r>
    <r>
      <rPr>
        <sz val="11"/>
        <color theme="1"/>
        <rFont val="ＭＳ Ｐゴシック"/>
        <family val="3"/>
        <charset val="134"/>
        <scheme val="minor"/>
      </rPr>
      <t>龟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</si>
  <si>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</si>
  <si>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金船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</si>
  <si>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>泉州桐富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</si>
  <si>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</si>
  <si>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周周得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</si>
  <si>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东潍县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</si>
  <si>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朗姆酒;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</si>
  <si>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老挺</t>
  </si>
  <si>
    <r>
      <t>徐州成浩文化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</si>
  <si>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米酒</t>
    </r>
  </si>
  <si>
    <r>
      <t>驿签</t>
    </r>
    <r>
      <rPr>
        <sz val="11"/>
        <color theme="1"/>
        <rFont val="ＭＳ Ｐゴシック"/>
        <family val="3"/>
        <charset val="128"/>
        <scheme val="minor"/>
      </rPr>
      <t>年</t>
    </r>
  </si>
  <si>
    <t>张习刚</t>
  </si>
  <si>
    <r>
      <t xml:space="preserve">果酒（含酒精）; 开胃酒;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</t>
    </r>
  </si>
  <si>
    <t>SHLT</t>
  </si>
  <si>
    <r>
      <t>北京盛海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天防水工程有限公司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</si>
  <si>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葡萄酒; 甜酒;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</si>
  <si>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丝丛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</si>
  <si>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丝丛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</si>
  <si>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苹果酒;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</t>
    </r>
  </si>
  <si>
    <r>
      <t>福气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</si>
  <si>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葡萄酒; 米酒; 白酒; 果酒（含酒精）</t>
    </r>
  </si>
  <si>
    <r>
      <t>沐香己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</si>
  <si>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浙江己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</si>
  <si>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葡萄酒; 黄酒;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</si>
  <si>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酒翁情</t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</si>
  <si>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平山妙蛙</t>
    </r>
    <r>
      <rPr>
        <sz val="11"/>
        <color theme="1"/>
        <rFont val="ＭＳ Ｐゴシック"/>
        <family val="3"/>
        <charset val="134"/>
        <scheme val="minor"/>
      </rPr>
      <t>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</si>
  <si>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果酒;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餐后酒（利口酒和烈酒）</t>
    </r>
  </si>
  <si>
    <t>尚佰嘉</t>
  </si>
  <si>
    <r>
      <t>镇</t>
    </r>
    <r>
      <rPr>
        <sz val="11"/>
        <color theme="1"/>
        <rFont val="ＭＳ Ｐゴシック"/>
        <family val="3"/>
        <charset val="128"/>
        <scheme val="minor"/>
      </rPr>
      <t>江尚佰嘉餐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</si>
  <si>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</si>
  <si>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</si>
  <si>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梅酒; 果酒; 开胃酒; 白酒; 威士忌; 甜酒; 餐后酒（利口酒和烈酒）;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</si>
  <si>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酿润</t>
    </r>
  </si>
  <si>
    <r>
      <t>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甜酒; 葡萄酒; 餐后酒（利口酒和烈酒）;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</si>
  <si>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百事臣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</si>
  <si>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市彬悟酒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</si>
  <si>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烈酒; 葡萄酒; 米酒; 白酒;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</si>
  <si>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高志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</si>
  <si>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利口酒; 清酒（日本米酒）; 黄酒; 清酒;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佐餐酒; 果酒; 水果汽酒; 米酒</t>
    </r>
  </si>
  <si>
    <t>凭故里</t>
  </si>
  <si>
    <r>
      <t>合肥禾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丰餐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</si>
  <si>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青稞酒; 黄酒; 白酒;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</si>
  <si>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吕记</t>
    </r>
    <r>
      <rPr>
        <sz val="11"/>
        <color theme="1"/>
        <rFont val="ＭＳ Ｐゴシック"/>
        <family val="3"/>
        <charset val="128"/>
        <scheme val="minor"/>
      </rPr>
      <t>三老太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</si>
  <si>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</si>
  <si>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烈酒</t>
    </r>
  </si>
  <si>
    <r>
      <t>圣王台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</si>
  <si>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州圣王台酒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</si>
  <si>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</si>
  <si>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宝酒翁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</si>
  <si>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甜酒; 威士忌;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开胃酒; 果酒</t>
    </r>
  </si>
  <si>
    <r>
      <t>尊台世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</si>
  <si>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</si>
  <si>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台盛君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</si>
  <si>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</si>
  <si>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然</t>
    </r>
    <r>
      <rPr>
        <sz val="11"/>
        <color theme="1"/>
        <rFont val="ＭＳ Ｐゴシック"/>
        <family val="3"/>
        <charset val="134"/>
        <scheme val="minor"/>
      </rPr>
      <t>红</t>
    </r>
  </si>
  <si>
    <t>池开旺</t>
  </si>
  <si>
    <r>
      <t>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</si>
  <si>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铠</t>
    </r>
    <r>
      <rPr>
        <sz val="11"/>
        <color theme="1"/>
        <rFont val="ＭＳ Ｐゴシック"/>
        <family val="3"/>
        <charset val="128"/>
        <scheme val="minor"/>
      </rPr>
      <t>罡</t>
    </r>
  </si>
  <si>
    <t>李心亮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</si>
  <si>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</si>
  <si>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至善三和</t>
  </si>
  <si>
    <r>
      <t>北京至善医道文化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</si>
  <si>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蝮蛇酒;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开胃酒; 松叶酒</t>
    </r>
  </si>
  <si>
    <t>戊己乾坤</t>
  </si>
  <si>
    <r>
      <t>安徽养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府健康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</si>
  <si>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青稞酒; 苹果酒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</si>
  <si>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谷酒韵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</si>
  <si>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</si>
  <si>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高粱酒;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</si>
  <si>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r>
      <t>石不</t>
    </r>
    <r>
      <rPr>
        <sz val="11"/>
        <color theme="1"/>
        <rFont val="ＭＳ Ｐゴシック"/>
        <family val="3"/>
        <charset val="134"/>
        <scheme val="minor"/>
      </rPr>
      <t>让</t>
    </r>
  </si>
  <si>
    <r>
      <t>上海沃厚酒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</si>
  <si>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</si>
  <si>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梅兜</t>
  </si>
  <si>
    <r>
      <t>杨晓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</si>
  <si>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日本梅子酒;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</si>
  <si>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蚁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</si>
  <si>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湖北久安医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</si>
  <si>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</si>
  <si>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泉天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</si>
  <si>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泉酒庄有限公司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</si>
  <si>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</si>
  <si>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沙塔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</si>
  <si>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汽酒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</si>
  <si>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缦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</si>
  <si>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苏顺丽</t>
    </r>
    <r>
      <rPr>
        <sz val="11"/>
        <color theme="1"/>
        <rFont val="ＭＳ Ｐゴシック"/>
        <family val="3"/>
        <charset val="128"/>
        <scheme val="minor"/>
      </rPr>
      <t>成建筑新材料有限公司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</si>
  <si>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</si>
  <si>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徐子山</t>
  </si>
  <si>
    <r>
      <t>成都市点瓶包装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</si>
  <si>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果酒（含酒精）</t>
    </r>
  </si>
  <si>
    <r>
      <t>鳄鱼</t>
    </r>
    <r>
      <rPr>
        <sz val="11"/>
        <color theme="1"/>
        <rFont val="ＭＳ Ｐゴシック"/>
        <family val="3"/>
        <charset val="128"/>
        <scheme val="minor"/>
      </rPr>
      <t>丹迪</t>
    </r>
  </si>
  <si>
    <t>田涛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</si>
  <si>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烈酒; 开胃酒;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</si>
  <si>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碰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</si>
  <si>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鹏辉</t>
    </r>
  </si>
  <si>
    <r>
      <t>威士忌; 米酒; 开胃酒;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</si>
  <si>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彭如心</t>
  </si>
  <si>
    <r>
      <t>南阳市一典网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</si>
  <si>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烈酒; 米酒</t>
    </r>
  </si>
  <si>
    <t>合阳五粮丰酒坊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</si>
  <si>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</si>
  <si>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泉常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</si>
  <si>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白干酒（中国白酒）;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</si>
  <si>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施芙曼 SAFEMAN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</si>
  <si>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倍特医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</si>
  <si>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</t>
    </r>
  </si>
  <si>
    <r>
      <t>嗨</t>
    </r>
    <r>
      <rPr>
        <sz val="11"/>
        <color theme="1"/>
        <rFont val="ＭＳ Ｐゴシック"/>
        <family val="3"/>
        <charset val="134"/>
        <scheme val="minor"/>
      </rPr>
      <t>驴</t>
    </r>
  </si>
  <si>
    <r>
      <t>狂</t>
    </r>
    <r>
      <rPr>
        <sz val="11"/>
        <color theme="1"/>
        <rFont val="ＭＳ Ｐゴシック"/>
        <family val="3"/>
        <charset val="134"/>
        <scheme val="minor"/>
      </rPr>
      <t>飙</t>
    </r>
    <r>
      <rPr>
        <sz val="11"/>
        <color theme="1"/>
        <rFont val="ＭＳ Ｐゴシック"/>
        <family val="3"/>
        <charset val="128"/>
        <scheme val="minor"/>
      </rPr>
      <t>（焦作）供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</si>
  <si>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米酒;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</si>
  <si>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橄</t>
    </r>
    <r>
      <rPr>
        <sz val="11"/>
        <color theme="1"/>
        <rFont val="ＭＳ Ｐゴシック"/>
        <family val="3"/>
        <charset val="134"/>
        <scheme val="minor"/>
      </rPr>
      <t>轻</t>
    </r>
  </si>
  <si>
    <r>
      <t>云南橄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</si>
  <si>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青稞酒; 米酒;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威末酒;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杜松子酒</t>
    </r>
  </si>
  <si>
    <t>FUL QUN</t>
  </si>
  <si>
    <r>
      <t>北京安德普泰医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</si>
  <si>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苦味酒; 茴芹酒（利口酒）; 开胃酒;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苹果酒;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</si>
  <si>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雅量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</si>
  <si>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白干酒（中国白酒）; 高粱酒;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</si>
  <si>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方信</t>
  </si>
  <si>
    <r>
      <t>山西方信酒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</si>
  <si>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</si>
  <si>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t>桑亮</t>
  </si>
  <si>
    <r>
      <t>深圳海德康生物技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</si>
  <si>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果酒（含酒精）;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</si>
  <si>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海日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</si>
  <si>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刘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</si>
  <si>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</si>
  <si>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醉美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</si>
  <si>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青梅酒;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青稞酒; 威士忌; 白干酒（中国白酒）</t>
    </r>
  </si>
  <si>
    <t>灵桃瑞酒</t>
  </si>
  <si>
    <r>
      <t>李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姣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</si>
  <si>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</si>
  <si>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寗省博物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LIAONING PROVINCIAL MUSEUM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</si>
  <si>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宁省博物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</si>
  <si>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伏特加酒</t>
    </r>
  </si>
  <si>
    <t>果妙极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</si>
  <si>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</si>
  <si>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</si>
  <si>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溅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</si>
  <si>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里云抖爆品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商策划部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</si>
  <si>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青稞酒;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</si>
  <si>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从台</t>
    </r>
  </si>
  <si>
    <r>
      <t>白酒; 食用酒精; 青稞酒;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</si>
  <si>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醉官鑫</t>
  </si>
  <si>
    <r>
      <t>四川益魄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</si>
  <si>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高粱酒;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黄酒</t>
    </r>
  </si>
  <si>
    <t>九湖一山</t>
  </si>
  <si>
    <r>
      <t>维</t>
    </r>
    <r>
      <rPr>
        <sz val="11"/>
        <color theme="1"/>
        <rFont val="ＭＳ Ｐゴシック"/>
        <family val="3"/>
        <charset val="128"/>
        <scheme val="minor"/>
      </rPr>
      <t>西尚良聚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湖酒厂</t>
    </r>
  </si>
  <si>
    <r>
      <t>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</si>
  <si>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任金威</t>
  </si>
  <si>
    <t>北京中科恒益永康科技有限公司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</si>
  <si>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</t>
    </r>
  </si>
  <si>
    <r>
      <t>塔</t>
    </r>
    <r>
      <rPr>
        <sz val="11"/>
        <color theme="1"/>
        <rFont val="ＭＳ Ｐゴシック"/>
        <family val="3"/>
        <charset val="134"/>
        <scheme val="minor"/>
      </rPr>
      <t>纳罗</t>
    </r>
    <r>
      <rPr>
        <sz val="11"/>
        <color theme="1"/>
        <rFont val="ＭＳ Ｐゴシック"/>
        <family val="3"/>
        <charset val="128"/>
        <scheme val="minor"/>
      </rPr>
      <t>河（武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</si>
  <si>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威末酒; 蒸煮提取物（利口酒和烈酒）;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起泡白葡萄酒; 苦艾酒</t>
    </r>
  </si>
  <si>
    <t>首皇典藏</t>
  </si>
  <si>
    <r>
      <t>酒和友（北京）酒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</si>
  <si>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</si>
  <si>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顺丽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</si>
  <si>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 xml:space="preserve">白酒;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</si>
  <si>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希漫皇爵 SIMANEMDUC</t>
  </si>
  <si>
    <r>
      <t>柳欣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</si>
  <si>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威士忌; 朗姆酒;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白酒; 果酒（含酒精）</t>
    </r>
  </si>
  <si>
    <t>美蚕娘</t>
  </si>
  <si>
    <r>
      <t>凉山州川田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</si>
  <si>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餐后酒（利口酒和烈酒）;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伏特加酒</t>
    </r>
  </si>
  <si>
    <r>
      <t>波光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</si>
  <si>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米酒; 黄酒</t>
    </r>
  </si>
  <si>
    <r>
      <t>计</t>
    </r>
    <r>
      <rPr>
        <sz val="11"/>
        <color theme="1"/>
        <rFont val="ＭＳ Ｐゴシック"/>
        <family val="3"/>
        <charset val="128"/>
        <scheme val="minor"/>
      </rPr>
      <t>斤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</si>
  <si>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达道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</si>
  <si>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白酒; 黄酒; 葡萄酒</t>
    </r>
  </si>
  <si>
    <t>登云令</t>
  </si>
  <si>
    <r>
      <t>蓝</t>
    </r>
    <r>
      <rPr>
        <sz val="11"/>
        <color theme="1"/>
        <rFont val="ＭＳ Ｐゴシック"/>
        <family val="3"/>
        <charset val="128"/>
        <scheme val="minor"/>
      </rPr>
      <t>蝴蝶（重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</si>
  <si>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食用酒精</t>
    </r>
  </si>
  <si>
    <r>
      <t>正永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</si>
  <si>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</si>
  <si>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烈酒; 黄酒; 高粱酒; 米酒;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</si>
  <si>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君品首皇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</si>
  <si>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青稞酒; 葡萄酒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</si>
  <si>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益</t>
    </r>
  </si>
  <si>
    <r>
      <t>北京昆</t>
    </r>
    <r>
      <rPr>
        <sz val="11"/>
        <color theme="1"/>
        <rFont val="ＭＳ Ｐゴシック"/>
        <family val="3"/>
        <charset val="134"/>
        <scheme val="minor"/>
      </rPr>
      <t>仑纲</t>
    </r>
    <r>
      <rPr>
        <sz val="11"/>
        <color theme="1"/>
        <rFont val="ＭＳ Ｐゴシック"/>
        <family val="3"/>
        <charset val="128"/>
        <scheme val="minor"/>
      </rPr>
      <t>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</si>
  <si>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</si>
  <si>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李勇</t>
  </si>
  <si>
    <r>
      <t>果酒;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</si>
  <si>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酒韵堡</t>
  </si>
  <si>
    <r>
      <t>宁波酒韵堡国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</si>
  <si>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</si>
  <si>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德雅量厚</t>
  </si>
  <si>
    <r>
      <t>深圳市量厚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</si>
  <si>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青稞酒; 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</si>
  <si>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LANG CHEVAL</t>
  </si>
  <si>
    <t>董清志</t>
  </si>
  <si>
    <r>
      <t>果酒; 米酒; 烈酒; 威士忌;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</si>
  <si>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品四方雅品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</si>
  <si>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品四方酒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</si>
  <si>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</si>
  <si>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</si>
  <si>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世明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</si>
  <si>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果酒（含酒精）; 葡萄酒; 黄酒; 食用酒精; 高粱酒</t>
    </r>
  </si>
  <si>
    <t>品四方精品</t>
  </si>
  <si>
    <r>
      <t>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</si>
  <si>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品四方尊品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</si>
  <si>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葡萄酒; 利口酒</t>
    </r>
  </si>
  <si>
    <t>品四方珍藏</t>
  </si>
  <si>
    <r>
      <t>葡萄酒; 利口酒;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</si>
  <si>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轩诗</t>
    </r>
    <r>
      <rPr>
        <sz val="11"/>
        <color theme="1"/>
        <rFont val="ＭＳ Ｐゴシック"/>
        <family val="3"/>
        <charset val="128"/>
        <scheme val="minor"/>
      </rPr>
      <t>保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</si>
  <si>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华鉴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</si>
  <si>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白酒</t>
    </r>
  </si>
  <si>
    <t>牧野洋洋</t>
  </si>
  <si>
    <r>
      <t>深圳市博</t>
    </r>
    <r>
      <rPr>
        <sz val="11"/>
        <color theme="1"/>
        <rFont val="ＭＳ Ｐゴシック"/>
        <family val="3"/>
        <charset val="134"/>
        <scheme val="minor"/>
      </rPr>
      <t>鳌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</si>
  <si>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</si>
  <si>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OOSERI</t>
  </si>
  <si>
    <r>
      <t>福建大芹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</si>
  <si>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清酒（日本米酒）; 葡萄酒</t>
    </r>
  </si>
  <si>
    <t>玩者九九六六</t>
  </si>
  <si>
    <r>
      <t>赵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</si>
  <si>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白干酒（中国白酒）; 黄酒; 利口酒; 米酒; 果酒; 白酒;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</si>
  <si>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菜埔堡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</si>
  <si>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科朋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</si>
  <si>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甜酒; 果酒（含酒精）; 白酒; 露酒</t>
    </r>
  </si>
  <si>
    <r>
      <t>悦吟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</si>
  <si>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眉山市禾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果蔬种植家庭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</si>
  <si>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</si>
  <si>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缘</t>
    </r>
  </si>
  <si>
    <t>刘代均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</si>
  <si>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</si>
  <si>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山河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</si>
  <si>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</si>
  <si>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果酒</t>
    </r>
  </si>
  <si>
    <t>山之左</t>
  </si>
  <si>
    <t>曹璟阳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</si>
  <si>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</si>
  <si>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上元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</si>
  <si>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坊高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</si>
  <si>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黄酒; 清酒（日本米酒）;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</t>
    </r>
  </si>
  <si>
    <t>STEFANO WEINI 史蒂芬威尼</t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</si>
  <si>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</si>
  <si>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含酒精的气泡水;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</si>
  <si>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仲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</si>
  <si>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小琴</t>
    </r>
  </si>
  <si>
    <r>
      <t>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</si>
  <si>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恬宸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</si>
  <si>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逸</t>
    </r>
    <r>
      <rPr>
        <sz val="11"/>
        <color theme="1"/>
        <rFont val="ＭＳ Ｐゴシック"/>
        <family val="3"/>
        <charset val="134"/>
        <scheme val="minor"/>
      </rPr>
      <t>苏贸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</si>
  <si>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露酒;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果酒; 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</si>
  <si>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李家唐</t>
  </si>
  <si>
    <r>
      <t>宁波格霖国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</si>
  <si>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葡萄酒; 梨酒;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</si>
  <si>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品四方柔雅</t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</si>
  <si>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利口酒;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</si>
  <si>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DR.PEI 沛大夫</t>
  </si>
  <si>
    <t>南京楷宸生物科技有限公司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</si>
  <si>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蜂蜜酒;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</si>
  <si>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久隆升</t>
  </si>
  <si>
    <r>
      <t>谈</t>
    </r>
    <r>
      <rPr>
        <sz val="11"/>
        <color theme="1"/>
        <rFont val="ＭＳ Ｐゴシック"/>
        <family val="3"/>
        <charset val="128"/>
        <scheme val="minor"/>
      </rPr>
      <t>守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</si>
  <si>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白酒; 含酒精的气泡水;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</si>
  <si>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唐大厨</t>
  </si>
  <si>
    <r>
      <t>广西沁朝夕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</si>
  <si>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果酒（含酒精）; 清酒（日本米酒）;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</si>
  <si>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泰大精英</t>
  </si>
  <si>
    <t>荣成泰祥食品股份有限公司</t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</si>
  <si>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米酒; 茴香酒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</si>
  <si>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湾元朴</t>
    </r>
  </si>
  <si>
    <r>
      <t>惠州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湾元朴康养有限公司</t>
    </r>
  </si>
  <si>
    <r>
      <t>高粱酒;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果酒; 白酒</t>
    </r>
  </si>
  <si>
    <t>CHABOTSALUTE</t>
  </si>
  <si>
    <t>百高石油有限公司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</si>
  <si>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葡萄汽酒; 威士忌; 麦芽威士忌;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</t>
    </r>
  </si>
  <si>
    <r>
      <t>双江</t>
    </r>
    <r>
      <rPr>
        <sz val="11"/>
        <color theme="1"/>
        <rFont val="ＭＳ Ｐゴシック"/>
        <family val="3"/>
        <charset val="134"/>
        <scheme val="minor"/>
      </rPr>
      <t>蓝</t>
    </r>
  </si>
  <si>
    <t>上海圣点品牌管理有限公司</t>
  </si>
  <si>
    <r>
      <t xml:space="preserve">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</si>
  <si>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柔信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</si>
  <si>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白酒; 清酒（日本米酒）; 烈酒; 葡萄酒; 果酒（含酒精）; 米酒; 威士忌</t>
    </r>
  </si>
  <si>
    <r>
      <t>斫冰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</si>
  <si>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石家庄垌森商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</si>
  <si>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</t>
    </r>
  </si>
  <si>
    <t>沈玉琳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</si>
  <si>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</si>
  <si>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宣南沈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</si>
  <si>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果酒（含酒精）; 黄酒; 白酒;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</si>
  <si>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水石家</t>
  </si>
  <si>
    <t>北京水石科技有限公司</t>
  </si>
  <si>
    <r>
      <t xml:space="preserve">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</si>
  <si>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久力蓉</t>
  </si>
  <si>
    <r>
      <t>徐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</si>
  <si>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 xml:space="preserve">果酒（含酒精）; 黄酒; 烈酒; 米酒; 青稞酒; 白酒; 梅酒;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</si>
  <si>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白河井</t>
  </si>
  <si>
    <r>
      <t>镇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秦南茶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</si>
  <si>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</si>
  <si>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万事恒丰</t>
  </si>
  <si>
    <r>
      <t>百尺台酒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</si>
  <si>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</si>
  <si>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荌</t>
    </r>
    <r>
      <rPr>
        <sz val="11"/>
        <color theme="1"/>
        <rFont val="ＭＳ Ｐゴシック"/>
        <family val="3"/>
        <charset val="128"/>
        <scheme val="minor"/>
      </rPr>
      <t>之恋</t>
    </r>
  </si>
  <si>
    <r>
      <t>三江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侗家礼茶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</si>
  <si>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加烈葡萄酒; 黄酒; 白酒; 米酒;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甜果酒; 葡萄酒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</si>
  <si>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荔囍客</t>
    </r>
    <r>
      <rPr>
        <sz val="11"/>
        <color theme="1"/>
        <rFont val="ＭＳ Ｐゴシック"/>
        <family val="3"/>
        <charset val="134"/>
        <scheme val="minor"/>
      </rPr>
      <t>访</t>
    </r>
  </si>
  <si>
    <r>
      <t>桂林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</si>
  <si>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葡萄酒; 白酒; 烈酒; 开胃酒; 甜酒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</si>
  <si>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</si>
  <si>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</si>
  <si>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黄酒;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</si>
  <si>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湖城友礼</t>
  </si>
  <si>
    <r>
      <t>河北耕目堂文化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</si>
  <si>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白酒; 白干酒（中国白酒）; 清酒</t>
    </r>
  </si>
  <si>
    <t>崒薇堂</t>
  </si>
  <si>
    <t>梁蓉</t>
  </si>
  <si>
    <r>
      <t xml:space="preserve">米酒; 烈酒; 梅酒;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汽酒; 果酒; 黄酒</t>
    </r>
  </si>
  <si>
    <r>
      <t>周潭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</si>
  <si>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华县</t>
    </r>
    <r>
      <rPr>
        <sz val="11"/>
        <color theme="1"/>
        <rFont val="ＭＳ Ｐゴシック"/>
        <family val="3"/>
        <charset val="128"/>
        <scheme val="minor"/>
      </rPr>
      <t>周江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富村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</si>
  <si>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米酒;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</si>
  <si>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胆</t>
    </r>
    <r>
      <rPr>
        <sz val="11"/>
        <color theme="1"/>
        <rFont val="ＭＳ Ｐゴシック"/>
        <family val="3"/>
        <charset val="134"/>
        <scheme val="minor"/>
      </rPr>
      <t>词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</si>
  <si>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美酒霞客（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南）文化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</si>
  <si>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</si>
  <si>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姐花</t>
    </r>
  </si>
  <si>
    <r>
      <t>小荼仙（广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</si>
  <si>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黄酒</t>
    </r>
  </si>
  <si>
    <t>明拙</t>
  </si>
  <si>
    <r>
      <t>深圳百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威达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</si>
  <si>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烈性干酒;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</si>
  <si>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百好原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</si>
  <si>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</si>
  <si>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</si>
  <si>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登君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</si>
  <si>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市仡富渝养殖有限公司</t>
    </r>
  </si>
  <si>
    <r>
      <t>开胃酒;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</si>
  <si>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t>朴威</t>
  </si>
  <si>
    <t>黄文</t>
  </si>
  <si>
    <r>
      <t xml:space="preserve">葡萄酒;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</si>
  <si>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张顺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</si>
  <si>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</si>
  <si>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</si>
  <si>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</si>
  <si>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 xml:space="preserve">葡萄酒; 黄酒;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</si>
  <si>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水韵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</si>
  <si>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省四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</si>
  <si>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</si>
  <si>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鲟</t>
    </r>
    <r>
      <rPr>
        <sz val="11"/>
        <color theme="1"/>
        <rFont val="ＭＳ Ｐゴシック"/>
        <family val="3"/>
        <charset val="128"/>
        <scheme val="minor"/>
      </rPr>
      <t>北地</t>
    </r>
  </si>
  <si>
    <r>
      <t>同江市</t>
    </r>
    <r>
      <rPr>
        <sz val="11"/>
        <color theme="1"/>
        <rFont val="ＭＳ Ｐゴシック"/>
        <family val="3"/>
        <charset val="134"/>
        <scheme val="minor"/>
      </rPr>
      <t>鲟鳇</t>
    </r>
    <r>
      <rPr>
        <sz val="11"/>
        <color theme="1"/>
        <rFont val="ＭＳ Ｐゴシック"/>
        <family val="3"/>
        <charset val="128"/>
        <scheme val="minor"/>
      </rPr>
      <t>部落餐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</si>
  <si>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高粱酒; 白酒</t>
    </r>
  </si>
  <si>
    <r>
      <t>颂泸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</si>
  <si>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闵红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</si>
  <si>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白酒</t>
    </r>
  </si>
  <si>
    <r>
      <t>悦佳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</si>
  <si>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建新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</si>
  <si>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</si>
  <si>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岭如逸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</si>
  <si>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谛诺环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</si>
  <si>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t>开胃酒; 清酒; 黄酒; 果酒（含酒精）; 白酒; 水果汽酒; 蜂蜜酒; 葡萄酒; 梅酒; 汽酒</t>
  </si>
  <si>
    <t>双江谷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</si>
  <si>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伏特加酒; 白酒; 果酒（含酒精）; 黄酒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</si>
  <si>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泉本味</t>
    </r>
  </si>
  <si>
    <r>
      <t xml:space="preserve">蒸煮提取物（利口酒和烈酒）;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</si>
  <si>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石之以礼</t>
  </si>
  <si>
    <r>
      <t>河北瑞堂文化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</si>
  <si>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</si>
  <si>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京帝玉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光瓶酒</t>
    </r>
  </si>
  <si>
    <t>唐振君</t>
  </si>
  <si>
    <r>
      <t>威士忌; 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果酒; 葡萄酒</t>
    </r>
  </si>
  <si>
    <t>素健舒</t>
  </si>
  <si>
    <r>
      <t>湖北省麦吉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品科技有限公司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</si>
  <si>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果酒</t>
    </r>
  </si>
  <si>
    <t>西粟</t>
  </si>
  <si>
    <r>
      <t>四川北落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</si>
  <si>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果酒（含酒精）</t>
    </r>
  </si>
  <si>
    <t>青云台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</si>
  <si>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</si>
  <si>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</si>
  <si>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醉关心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</si>
  <si>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</t>
    </r>
  </si>
  <si>
    <t>本立生号</t>
  </si>
  <si>
    <r>
      <t>北京石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未来品牌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</si>
  <si>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</si>
  <si>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宾权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</si>
  <si>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西金泉酒有限公司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</si>
  <si>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果酒（含酒精）</t>
    </r>
  </si>
  <si>
    <t>省魁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</si>
  <si>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州凡仙酒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</si>
  <si>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</si>
  <si>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谷酒坊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</si>
  <si>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果酒（含酒精）; 黄酒; 高粱酒; 米酒; 葡萄酒; 威士忌</t>
    </r>
  </si>
  <si>
    <t>一念秉乾</t>
  </si>
  <si>
    <r>
      <t>交个酒友酒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</si>
  <si>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白酒; 开胃酒; 果酒（含酒精）</t>
    </r>
  </si>
  <si>
    <t>明赫</t>
  </si>
  <si>
    <r>
      <t>河南明赫建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</si>
  <si>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</t>
    </r>
  </si>
  <si>
    <t>MARTESALUTE</t>
  </si>
  <si>
    <r>
      <t>葡萄汽酒;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混合威士忌酒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</si>
  <si>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威鹿王</t>
    </r>
  </si>
  <si>
    <r>
      <t>福建戴斯酒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</si>
  <si>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黄酒; 果酒（含酒精）;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</si>
  <si>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承煜</t>
  </si>
  <si>
    <t>熊婷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</si>
  <si>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</si>
  <si>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曼雷尼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</si>
  <si>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</t>
    </r>
  </si>
  <si>
    <t>沐之春</t>
  </si>
  <si>
    <r>
      <t>宁夏沐之春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</si>
  <si>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</si>
  <si>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t>川禾梦</t>
  </si>
  <si>
    <r>
      <t>王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</si>
  <si>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 xml:space="preserve">白酒; 清酒（日本米酒）; 果酒（含酒精）; 开胃酒; 威士忌;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</si>
  <si>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心亮嘉菓</t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</si>
  <si>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</si>
  <si>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待知音</t>
  </si>
  <si>
    <r>
      <t>山西聚昊合商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</si>
  <si>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</si>
  <si>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AEROBLOOM</t>
  </si>
  <si>
    <r>
      <t>航</t>
    </r>
    <r>
      <rPr>
        <sz val="11"/>
        <color theme="1"/>
        <rFont val="ＭＳ Ｐゴシック"/>
        <family val="3"/>
        <charset val="134"/>
        <scheme val="minor"/>
      </rPr>
      <t>绽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展（上海）有限公司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</si>
  <si>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开胃酒; 米酒; 果酒（含酒精）</t>
    </r>
  </si>
  <si>
    <t>双江糊</t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</si>
  <si>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</si>
  <si>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水巷古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</si>
  <si>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园区博事达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</si>
  <si>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清酒（日本米酒）;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</si>
  <si>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清沙古</t>
    </r>
    <r>
      <rPr>
        <sz val="11"/>
        <color theme="1"/>
        <rFont val="ＭＳ Ｐゴシック"/>
        <family val="3"/>
        <charset val="134"/>
        <scheme val="minor"/>
      </rPr>
      <t>闫</t>
    </r>
  </si>
  <si>
    <r>
      <t xml:space="preserve">葡萄酒; 青稞酒; 利口酒;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</si>
  <si>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</si>
  <si>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</t>
    </r>
    <r>
      <rPr>
        <sz val="11"/>
        <color theme="1"/>
        <rFont val="ＭＳ Ｐゴシック"/>
        <family val="3"/>
        <charset val="134"/>
        <scheme val="minor"/>
      </rPr>
      <t>满缘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</si>
  <si>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食用酒精;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</si>
  <si>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知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行·真情</t>
    </r>
  </si>
  <si>
    <r>
      <t>四川辰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膳康商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</si>
  <si>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果酒（含酒精）;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</si>
  <si>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沙山</t>
    </r>
  </si>
  <si>
    <t>娄少雨</t>
  </si>
  <si>
    <r>
      <t xml:space="preserve">黄酒; 米酒; 葡萄酒; 白干酒（中国白酒）; 佐餐酒;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</si>
  <si>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AK</t>
  </si>
  <si>
    <t>达克思有限公司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</si>
  <si>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黄酒</t>
    </r>
  </si>
  <si>
    <t>尖者</t>
  </si>
  <si>
    <r>
      <t>果酒（含酒精）; 葡萄酒; 黄酒; 食用酒精;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烈酒</t>
    </r>
  </si>
  <si>
    <t>炎稷</t>
  </si>
  <si>
    <r>
      <t>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果酒（含酒精）; 白酒</t>
    </r>
  </si>
  <si>
    <t>MACCALANT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</si>
  <si>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</t>
    </r>
  </si>
  <si>
    <r>
      <t>桑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</si>
  <si>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含酒精的气泡水;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食用酒精</t>
    </r>
  </si>
  <si>
    <t>聚富猫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</si>
  <si>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岛贵</t>
    </r>
    <r>
      <rPr>
        <sz val="11"/>
        <color theme="1"/>
        <rFont val="ＭＳ Ｐゴシック"/>
        <family val="3"/>
        <charset val="128"/>
        <scheme val="minor"/>
      </rPr>
      <t>品出山商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</si>
  <si>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</si>
  <si>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烟鑫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</si>
  <si>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</si>
  <si>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白酒</t>
    </r>
  </si>
  <si>
    <t>麻几洼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</si>
  <si>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</si>
  <si>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t>岩酒久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</si>
  <si>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江穆昆城酒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</si>
  <si>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</si>
  <si>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佘尽笙</t>
  </si>
  <si>
    <r>
      <t>薛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</si>
  <si>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</si>
  <si>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竿山草堂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</si>
  <si>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养中医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</si>
  <si>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蜂蜜酒; 果酒; 米酒;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薄荷酒; 甜酒; 露酒</t>
    </r>
  </si>
  <si>
    <r>
      <t>沂河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</si>
  <si>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</si>
  <si>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苹果酒; 果酒（含酒精）; 葡萄酒; 开胃酒</t>
    </r>
  </si>
  <si>
    <t>养君方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</si>
  <si>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青稞酒; 开胃酒; 苹果酒;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</si>
  <si>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养坤方</t>
  </si>
  <si>
    <r>
      <t xml:space="preserve">苹果酒;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白酒; 开胃酒</t>
    </r>
  </si>
  <si>
    <t>黔七公</t>
  </si>
  <si>
    <r>
      <t>张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</si>
  <si>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 xml:space="preserve">果酒（含酒精）; 白酒; 葡萄酒; 黄酒; 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</si>
  <si>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古城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</si>
  <si>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杭州两暖健康集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</si>
  <si>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主的...</t>
    </r>
  </si>
  <si>
    <r>
      <t>舜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</si>
  <si>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天津幸福大集文化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</si>
  <si>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黄酒; 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</t>
    </r>
  </si>
  <si>
    <t>如杉令</t>
  </si>
  <si>
    <r>
      <t>陈</t>
    </r>
    <r>
      <rPr>
        <sz val="11"/>
        <color theme="1"/>
        <rFont val="ＭＳ Ｐゴシック"/>
        <family val="3"/>
        <charset val="128"/>
        <scheme val="minor"/>
      </rPr>
      <t>杉杉</t>
    </r>
  </si>
  <si>
    <r>
      <t>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烈酒; 白酒; 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</si>
  <si>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大明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</si>
  <si>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大明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</si>
  <si>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白酒; 葡萄酒; 汽酒; 佐餐酒;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</si>
  <si>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棉</t>
    </r>
    <r>
      <rPr>
        <sz val="11"/>
        <color theme="1"/>
        <rFont val="ＭＳ Ｐゴシック"/>
        <family val="3"/>
        <charset val="134"/>
        <scheme val="minor"/>
      </rPr>
      <t>袄</t>
    </r>
  </si>
  <si>
    <r>
      <t>商丘福星教育咨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</si>
  <si>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清酒（日本米酒）; 白酒; 蒸煮提取物（利口酒和烈酒）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</si>
  <si>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</si>
  <si>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葡萄酒; 高粱酒;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</si>
  <si>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少川</t>
  </si>
  <si>
    <r>
      <t>沈阳合鑫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</si>
  <si>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烈酒; 清酒;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</t>
    </r>
  </si>
  <si>
    <t>自珍</t>
  </si>
  <si>
    <r>
      <t>罗</t>
    </r>
    <r>
      <rPr>
        <sz val="11"/>
        <color theme="1"/>
        <rFont val="ＭＳ Ｐゴシック"/>
        <family val="3"/>
        <charset val="128"/>
        <scheme val="minor"/>
      </rPr>
      <t>金云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</si>
  <si>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果酒;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</si>
  <si>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寿阳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崔庄商行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</si>
  <si>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葡萄酒; 果酒;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</si>
  <si>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征祥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</si>
  <si>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市韵非凡酒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</si>
  <si>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</si>
  <si>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尹原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</si>
  <si>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果酒（含酒精）; 米酒</t>
    </r>
  </si>
  <si>
    <t>品四方匠心</t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</si>
  <si>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清酒（日本米酒）</t>
    </r>
  </si>
  <si>
    <r>
      <t>品四方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厚</t>
    </r>
  </si>
  <si>
    <r>
      <t>利口酒; 果酒（含酒精）;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白酒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</si>
  <si>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光加加布</t>
    </r>
  </si>
  <si>
    <r>
      <t>利口酒; 伏特加酒; 烈酒; 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</si>
  <si>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r>
      <t>万杉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</si>
  <si>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白酒;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高粱酒; 葡萄酒</t>
    </r>
  </si>
  <si>
    <t>正永盛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</si>
  <si>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黄酒; 白酒; 烈酒;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</t>
    </r>
  </si>
  <si>
    <t>百好</t>
  </si>
  <si>
    <r>
      <t>露酒;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果酒（含酒精）;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</si>
  <si>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品四方珍品</t>
  </si>
  <si>
    <r>
      <t>黄酒; 葡萄酒;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</si>
  <si>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达匠</t>
  </si>
  <si>
    <t>广州市寸草堂生物科技有限公司</t>
  </si>
  <si>
    <r>
      <t>果酒（含酒精）; 葡萄酒;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</si>
  <si>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怿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</si>
  <si>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黄酒</t>
    </r>
  </si>
  <si>
    <r>
      <t>互</t>
    </r>
    <r>
      <rPr>
        <sz val="11"/>
        <color theme="1"/>
        <rFont val="ＭＳ Ｐゴシック"/>
        <family val="3"/>
        <charset val="134"/>
        <scheme val="minor"/>
      </rPr>
      <t>沣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</si>
  <si>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子婕</t>
    </r>
  </si>
  <si>
    <r>
      <t>威士忌;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</si>
  <si>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熊猫水墨功夫</t>
  </si>
  <si>
    <r>
      <t>熊猫酒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</si>
  <si>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白酒; 朗姆酒; 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</si>
  <si>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畅财</t>
    </r>
  </si>
  <si>
    <r>
      <t>王舒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</si>
  <si>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</si>
  <si>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t>文旭金</t>
  </si>
  <si>
    <r>
      <t>罗</t>
    </r>
    <r>
      <rPr>
        <sz val="11"/>
        <color theme="1"/>
        <rFont val="ＭＳ Ｐゴシック"/>
        <family val="3"/>
        <charset val="128"/>
        <scheme val="minor"/>
      </rPr>
      <t>文敏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</si>
  <si>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</t>
    </r>
  </si>
  <si>
    <t>和美三江</t>
  </si>
  <si>
    <r>
      <t>深圳波索</t>
    </r>
    <r>
      <rPr>
        <sz val="11"/>
        <color theme="1"/>
        <rFont val="ＭＳ Ｐゴシック"/>
        <family val="3"/>
        <charset val="134"/>
        <scheme val="minor"/>
      </rPr>
      <t>蓝经贸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</si>
  <si>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</si>
  <si>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冀杰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</si>
  <si>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</si>
  <si>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果酒; 烈酒; 白干酒（中国白酒）; 葡萄酒; 黄酒; 白酒</t>
    </r>
  </si>
  <si>
    <t>金裕老</t>
  </si>
  <si>
    <r>
      <t>安徽省金裕皖酒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</si>
  <si>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汽酒;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</si>
  <si>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全球晟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</si>
  <si>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百味酒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</si>
  <si>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威士忌; 米酒; 白酒; 开胃酒</t>
    </r>
  </si>
  <si>
    <t>帝菲林 DIRFREELINA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</si>
  <si>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圣丁堡装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</si>
  <si>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 xml:space="preserve">白酒; 露酒;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</si>
  <si>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t>欢赋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</si>
  <si>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永洲</t>
    </r>
  </si>
  <si>
    <r>
      <t xml:space="preserve">烈酒;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</si>
  <si>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壮粱</t>
  </si>
  <si>
    <r>
      <t>韦</t>
    </r>
    <r>
      <rPr>
        <sz val="11"/>
        <color theme="1"/>
        <rFont val="ＭＳ Ｐゴシック"/>
        <family val="3"/>
        <charset val="128"/>
        <scheme val="minor"/>
      </rPr>
      <t>克毅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</si>
  <si>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威士忌; 烈酒</t>
    </r>
  </si>
  <si>
    <t>PENFOLDS G4</t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</si>
  <si>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</si>
  <si>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餐后酒（利口酒和烈酒）; 白酒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</si>
  <si>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</si>
  <si>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加烈葡萄酒; 葡萄汽酒; 餐后酒（利口酒和烈酒）;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</si>
  <si>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PENFOLD&amp;CO'S</t>
  </si>
  <si>
    <r>
      <t>加烈葡萄酒;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</si>
  <si>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葡萄汽酒;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起泡白葡萄酒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</si>
  <si>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常春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</si>
  <si>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定酒厂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</si>
  <si>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</si>
  <si>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LU MIAN WANG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</si>
  <si>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面王餐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</si>
  <si>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果酒; 利口酒;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</si>
  <si>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九重浪</t>
  </si>
  <si>
    <r>
      <t>百千万（武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</si>
  <si>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</si>
  <si>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</t>
    </r>
    <r>
      <rPr>
        <sz val="11"/>
        <color theme="1"/>
        <rFont val="ＭＳ Ｐゴシック"/>
        <family val="3"/>
        <charset val="134"/>
        <scheme val="minor"/>
      </rPr>
      <t>龙纳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</si>
  <si>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葡萄酒股份有限公司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</si>
  <si>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</si>
  <si>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醉彩虹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</si>
  <si>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青海道之本健康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</si>
  <si>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开胃酒;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青稞酒</t>
    </r>
  </si>
  <si>
    <t>硬吉祥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</si>
  <si>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</si>
  <si>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</si>
  <si>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旺家</t>
    </r>
  </si>
  <si>
    <r>
      <t>建昌</t>
    </r>
    <r>
      <rPr>
        <sz val="11"/>
        <color theme="1"/>
        <rFont val="ＭＳ Ｐゴシック"/>
        <family val="3"/>
        <charset val="134"/>
        <scheme val="minor"/>
      </rPr>
      <t>县鸿</t>
    </r>
    <r>
      <rPr>
        <sz val="11"/>
        <color theme="1"/>
        <rFont val="ＭＳ Ｐゴシック"/>
        <family val="3"/>
        <charset val="128"/>
        <scheme val="minor"/>
      </rPr>
      <t>洲水泥制品有限公司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</si>
  <si>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</si>
  <si>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大道椹好</t>
  </si>
  <si>
    <r>
      <t>福苓堂（洛阳）中医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</si>
  <si>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</si>
  <si>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泰康阳</t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</si>
  <si>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市新景防水材料有限公司</t>
    </r>
  </si>
  <si>
    <r>
      <t>白酒; 米酒; 果酒（含酒精）; 五加皮酒（中国混合烈酒）; 葡萄酒; 白干酒（中国白酒）;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</si>
  <si>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FIFTH LEG</t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</si>
  <si>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</si>
  <si>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加烈葡萄酒;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起泡白葡萄酒;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</si>
  <si>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t>槐中之花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</si>
  <si>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</si>
  <si>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威武士 WEIMUS</t>
  </si>
  <si>
    <r>
      <t>黄建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</si>
  <si>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混合威士忌酒; 黄酒; 葡萄酒; 威士忌; 白酒; 汽酒</t>
    </r>
  </si>
  <si>
    <r>
      <t>伍德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</si>
  <si>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河北祥晟牧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</si>
  <si>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朗姆酒;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</si>
  <si>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飞鸾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</si>
  <si>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威士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</si>
  <si>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果酒; 威士忌</t>
    </r>
  </si>
  <si>
    <t>RED GOLD TREE</t>
  </si>
  <si>
    <r>
      <t>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</si>
  <si>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米酒; 果酒（含酒精）; 烈酒; 威士忌;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</t>
    </r>
  </si>
  <si>
    <t>PENFOLDS BIN 111A</t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</si>
  <si>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加烈葡萄酒; 餐后酒（利口酒和烈酒）;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</t>
    </r>
  </si>
  <si>
    <t>下司状元</t>
  </si>
  <si>
    <r>
      <t>凯</t>
    </r>
    <r>
      <rPr>
        <sz val="11"/>
        <color theme="1"/>
        <rFont val="ＭＳ Ｐゴシック"/>
        <family val="3"/>
        <charset val="128"/>
        <scheme val="minor"/>
      </rPr>
      <t>里市蚩韵旅游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</si>
  <si>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高粱酒;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</si>
  <si>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GAO CHANG LOU LAN</t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</si>
  <si>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番市高昌楼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</si>
  <si>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加烈葡萄酒; 水果汽酒; 果酒</t>
    </r>
  </si>
  <si>
    <t>黑奥秘</t>
  </si>
  <si>
    <r>
      <t>白酒; 蒸煮提取物（利口酒和烈酒）; 果酒（含酒精）; 葡萄酒; 威士忌;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</si>
  <si>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摔焦叔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</si>
  <si>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州德高酒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</si>
  <si>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苹果酒; 葡萄酒; 白酒; 米酒;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</si>
  <si>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</t>
    </r>
  </si>
  <si>
    <t>水墨功夫熊猫</t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</si>
  <si>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</si>
  <si>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沫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</si>
  <si>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简觅贸</t>
    </r>
    <r>
      <rPr>
        <sz val="11"/>
        <color theme="1"/>
        <rFont val="ＭＳ Ｐゴシック"/>
        <family val="3"/>
        <charset val="128"/>
        <scheme val="minor"/>
      </rPr>
      <t>易商行(个体工商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</si>
  <si>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</t>
    </r>
  </si>
  <si>
    <t>大宋雅集</t>
  </si>
  <si>
    <r>
      <t>河南小在文化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</si>
  <si>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</si>
  <si>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最</t>
    </r>
    <r>
      <rPr>
        <sz val="11"/>
        <color theme="1"/>
        <rFont val="ＭＳ Ｐゴシック"/>
        <family val="3"/>
        <charset val="134"/>
        <scheme val="minor"/>
      </rPr>
      <t>忆潇</t>
    </r>
    <r>
      <rPr>
        <sz val="11"/>
        <color theme="1"/>
        <rFont val="ＭＳ Ｐゴシック"/>
        <family val="3"/>
        <charset val="128"/>
        <scheme val="minor"/>
      </rPr>
      <t>湘</t>
    </r>
  </si>
  <si>
    <r>
      <t>湖南五十三度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</si>
  <si>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白干酒（中国白酒）;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</si>
  <si>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FICKLE MISTRESS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</si>
  <si>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</si>
  <si>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瑶月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</si>
  <si>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西海圣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</si>
  <si>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</si>
  <si>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瑟夫菲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普斯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</si>
  <si>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瑟夫菲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普斯葡萄园有限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</si>
  <si>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</si>
  <si>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䩞花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</si>
  <si>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</si>
  <si>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</si>
  <si>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鲇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</si>
  <si>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</si>
  <si>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伊甸映象</t>
  </si>
  <si>
    <t>李南山（******************）</t>
  </si>
  <si>
    <r>
      <t xml:space="preserve">果酒（含酒精）; 苦味酒;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杜松子酒; 米酒</t>
    </r>
  </si>
  <si>
    <t>SX</t>
  </si>
  <si>
    <t>廖家侠</t>
  </si>
  <si>
    <r>
      <t>葡萄酒;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</si>
  <si>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二月天</t>
  </si>
  <si>
    <r>
      <t>维维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</si>
  <si>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果酒（含酒精）; 黄酒</t>
    </r>
  </si>
  <si>
    <t>翔云福</t>
  </si>
  <si>
    <r>
      <t>葡萄酒; 利口酒;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</si>
  <si>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芝葆</t>
    </r>
  </si>
  <si>
    <r>
      <t>亳州市酒源谷酒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</si>
  <si>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蜂蜜酒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</si>
  <si>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薄荷酒;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</si>
  <si>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r>
      <t>熹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</si>
  <si>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河南粮者酒行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管理科技有限公司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</si>
  <si>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白酒;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</si>
  <si>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秀</t>
    </r>
    <r>
      <rPr>
        <sz val="11"/>
        <color theme="1"/>
        <rFont val="ＭＳ Ｐゴシック"/>
        <family val="3"/>
        <charset val="134"/>
        <scheme val="minor"/>
      </rPr>
      <t>靓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</si>
  <si>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蒸煮提取物（利口酒和烈酒）</t>
    </r>
  </si>
  <si>
    <t>光先古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</si>
  <si>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</si>
  <si>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黄酒;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</si>
  <si>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好域照</t>
  </si>
  <si>
    <r>
      <t>新疆号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百事通信息服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</si>
  <si>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烈酒; 果酒; 白酒;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</si>
  <si>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陵渡</t>
    </r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</si>
  <si>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</si>
  <si>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白酒;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</si>
  <si>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与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</si>
  <si>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</si>
  <si>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</si>
  <si>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t>醉彩虹福运</t>
  </si>
  <si>
    <r>
      <t>青稞酒;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汽酒; 白酒; 葡萄酒; 开胃酒</t>
    </r>
  </si>
  <si>
    <t>羿达</t>
  </si>
  <si>
    <r>
      <t>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</si>
  <si>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</si>
  <si>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</si>
  <si>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茴芹酒（利口酒）; 青稞酒; 高粱酒; 黄酒; 朗姆酒; 威士忌; 水果汽酒; 梨酒;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</si>
  <si>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耘嘉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</si>
  <si>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酒运嘉商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</si>
  <si>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汽酒; 葡萄酒</t>
    </r>
  </si>
  <si>
    <r>
      <t>龙门</t>
    </r>
    <r>
      <rPr>
        <sz val="11"/>
        <color theme="1"/>
        <rFont val="ＭＳ Ｐゴシック"/>
        <family val="3"/>
        <charset val="128"/>
        <scheme val="minor"/>
      </rPr>
      <t>道酉</t>
    </r>
  </si>
  <si>
    <t>杭州圣方岐生物科技有限公司</t>
  </si>
  <si>
    <r>
      <t>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</si>
  <si>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溪云渡</t>
  </si>
  <si>
    <r>
      <t>四川溪格商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</si>
  <si>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清酒; 米酒;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</si>
  <si>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州才子酒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</si>
  <si>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</si>
  <si>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焱</t>
    </r>
  </si>
  <si>
    <r>
      <t>浙江中酒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</si>
  <si>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白干酒（中国白酒）; 白酒</t>
  </si>
  <si>
    <r>
      <t>海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</si>
  <si>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梁酒酒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</si>
  <si>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餐后酒（利口酒和烈酒）;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</si>
  <si>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彼得·嘉高</t>
  </si>
  <si>
    <r>
      <t>白酒; 加烈葡萄酒;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</t>
    </r>
  </si>
  <si>
    <r>
      <t>忠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</si>
  <si>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顺凤</t>
    </r>
  </si>
  <si>
    <r>
      <t xml:space="preserve">白酒; 开胃酒;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利口酒; 葡萄酒; 米酒; 黄酒; 清酒（日本米酒）</t>
    </r>
  </si>
  <si>
    <r>
      <t>洪小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</si>
  <si>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四川洪英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</si>
  <si>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青梅酒;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梅酒; 米酒; 果酒（含酒精）; 清酒</t>
    </r>
  </si>
  <si>
    <t>东莲</t>
  </si>
  <si>
    <t>广西金涛建筑科技有限公司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</si>
  <si>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</si>
  <si>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躬逢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</si>
  <si>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麦克福</t>
    </r>
    <r>
      <rPr>
        <sz val="11"/>
        <color theme="1"/>
        <rFont val="ＭＳ Ｐゴシック"/>
        <family val="3"/>
        <charset val="134"/>
        <scheme val="minor"/>
      </rPr>
      <t>泽电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</si>
  <si>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蒸煮提取物（利口酒和烈酒）;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高粱酒;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</si>
  <si>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君康益气</t>
  </si>
  <si>
    <r>
      <t>君康芪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（固阳）生物科技有限公司</t>
    </r>
  </si>
  <si>
    <t>黄元御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</si>
  <si>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昌邑乾隆杯酒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</si>
  <si>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葡萄酒;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</si>
  <si>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t>戎小吒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</si>
  <si>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一米教育科技有限公司</t>
    </r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</si>
  <si>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</t>
    </r>
  </si>
  <si>
    <t>PENFOLDS CHRISTOPHER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</si>
  <si>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葡萄汽酒; 起泡白葡萄酒;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</t>
    </r>
  </si>
  <si>
    <t>RAY BECKWITH</t>
  </si>
  <si>
    <r>
      <t>餐后酒（利口酒和烈酒）;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加烈葡萄酒; 起泡白葡萄酒;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</si>
  <si>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奔富克里斯多夫酒庄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</si>
  <si>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白酒; 餐后酒（利口酒和烈酒）; 葡萄酒;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</si>
  <si>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奔富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3号酒窖</t>
    </r>
  </si>
  <si>
    <r>
      <t>葡萄酒; 餐后酒（利口酒和烈酒）;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加烈葡萄酒;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</si>
  <si>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TFH ESTABLISHED 1844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</si>
  <si>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起泡白葡萄酒</t>
    </r>
  </si>
  <si>
    <t>丞全</t>
  </si>
  <si>
    <r>
      <t>唐圣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</si>
  <si>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黄酒; 高粱酒; 清酒（日本米酒）; 威士忌; 米酒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</si>
  <si>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玉女峰食品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</si>
  <si>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</si>
  <si>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浒</t>
    </r>
  </si>
  <si>
    <r>
      <t>曾昭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</si>
  <si>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 xml:space="preserve">威士忌; 葡萄酒; 开胃酒; 果酒（含酒精）;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</si>
  <si>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东苁滩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</si>
  <si>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小念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</si>
  <si>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</si>
  <si>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家川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</si>
  <si>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米向荣网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</si>
  <si>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开胃酒</t>
    </r>
  </si>
  <si>
    <t>粱禄</t>
  </si>
  <si>
    <t>徐德成</t>
  </si>
  <si>
    <r>
      <t xml:space="preserve">威士忌;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</si>
  <si>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排帮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</si>
  <si>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白干酒（中国白酒）;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</si>
  <si>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AMAUTA</t>
  </si>
  <si>
    <r>
      <t>北京瑞达</t>
    </r>
    <r>
      <rPr>
        <sz val="11"/>
        <color theme="1"/>
        <rFont val="ＭＳ Ｐゴシック"/>
        <family val="3"/>
        <charset val="134"/>
        <scheme val="minor"/>
      </rPr>
      <t>维诺贸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</si>
  <si>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</si>
  <si>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绿唛</t>
    </r>
    <r>
      <rPr>
        <sz val="11"/>
        <color theme="1"/>
        <rFont val="ＭＳ Ｐゴシック"/>
        <family val="3"/>
        <charset val="128"/>
        <scheme val="minor"/>
      </rPr>
      <t>集 GREMAARK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</si>
  <si>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商之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</si>
  <si>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黄酒;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</si>
  <si>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麒</t>
    </r>
    <r>
      <rPr>
        <sz val="11"/>
        <color theme="1"/>
        <rFont val="ＭＳ Ｐゴシック"/>
        <family val="3"/>
        <charset val="134"/>
        <scheme val="minor"/>
      </rPr>
      <t>腾</t>
    </r>
  </si>
  <si>
    <t>罗艳华</t>
  </si>
  <si>
    <r>
      <t>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</si>
  <si>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天云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</si>
  <si>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市牡丹区天空文化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</si>
  <si>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</si>
  <si>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俊辰</t>
    </r>
  </si>
  <si>
    <t>福建德旺能科技有限公司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</si>
  <si>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黄酒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</si>
  <si>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鼓石</t>
    </r>
  </si>
  <si>
    <t>刘波涛</t>
  </si>
  <si>
    <r>
      <t>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</si>
  <si>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沁沄溪</t>
  </si>
  <si>
    <t>符杰民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</si>
  <si>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汽酒; 果酒（含酒精）; 米酒; 葡萄酒</t>
    </r>
  </si>
  <si>
    <r>
      <t>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</si>
  <si>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</si>
  <si>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</si>
  <si>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妙品湘</t>
  </si>
  <si>
    <r>
      <t>河南福运家酒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</si>
  <si>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食用酒精; 汽酒; 青稞酒;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</si>
  <si>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LUCKY CHOICE</t>
  </si>
  <si>
    <r>
      <t>深圳久和酒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</si>
  <si>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威士忌; 蒸煮提取物（利口酒和烈酒）;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</si>
  <si>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金白</t>
    </r>
    <r>
      <rPr>
        <sz val="11"/>
        <color theme="1"/>
        <rFont val="ＭＳ Ｐゴシック"/>
        <family val="3"/>
        <charset val="134"/>
        <scheme val="minor"/>
      </rPr>
      <t>郧</t>
    </r>
  </si>
  <si>
    <r>
      <t>郧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羊尾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</si>
  <si>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清酒; 梅酒;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</si>
  <si>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</si>
  <si>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高粱酒; 黄酒; 果酒（含酒精）; 白酒; 米酒</t>
    </r>
  </si>
  <si>
    <t>秥花</t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</si>
  <si>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</si>
  <si>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修正大方</t>
  </si>
  <si>
    <r>
      <t>吉林修正酒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</si>
  <si>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露酒</t>
    </r>
  </si>
  <si>
    <t>十九宗</t>
  </si>
  <si>
    <r>
      <t>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餐后酒（利口酒和烈酒）; 加烈葡萄酒;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</si>
  <si>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PENFOLDS CHRISTOPHER WINERY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</si>
  <si>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葡萄汽酒; 白酒</t>
    </r>
  </si>
  <si>
    <t>PENFOLDS G3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</si>
  <si>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白酒;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葡萄汽酒</t>
    </r>
  </si>
  <si>
    <t>麦小丁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</si>
  <si>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麦丁精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</si>
  <si>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</t>
    </r>
  </si>
  <si>
    <r>
      <t>水木拾</t>
    </r>
    <r>
      <rPr>
        <sz val="11"/>
        <color theme="1"/>
        <rFont val="ＭＳ Ｐゴシック"/>
        <family val="3"/>
        <charset val="134"/>
        <scheme val="minor"/>
      </rPr>
      <t>贰</t>
    </r>
  </si>
  <si>
    <t>壹捌伍伍(上海)品牌管理有限公司</t>
  </si>
  <si>
    <r>
      <t>杜松子酒;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朗姆酒</t>
    </r>
  </si>
  <si>
    <t>舍予福</t>
  </si>
  <si>
    <r>
      <t>赤峰舍予商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</si>
  <si>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白酒; 烈酒;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五加皮酒（中国混合烈酒）; 甜果酒;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</si>
  <si>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莲凯</t>
    </r>
    <r>
      <rPr>
        <sz val="11"/>
        <color theme="1"/>
        <rFont val="ＭＳ Ｐゴシック"/>
        <family val="3"/>
        <charset val="128"/>
        <scheme val="minor"/>
      </rPr>
      <t xml:space="preserve"> BALINCAN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</si>
  <si>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果酒（含酒精）;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</si>
  <si>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浍</t>
    </r>
    <r>
      <rPr>
        <sz val="11"/>
        <color theme="1"/>
        <rFont val="ＭＳ Ｐゴシック"/>
        <family val="3"/>
        <charset val="128"/>
        <scheme val="minor"/>
      </rPr>
      <t>塘沟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</si>
  <si>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梦宇</t>
    </r>
  </si>
  <si>
    <r>
      <t>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</si>
  <si>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王家洋</t>
  </si>
  <si>
    <t>蒋鑫</t>
  </si>
  <si>
    <r>
      <t xml:space="preserve">米酒; 黄酒; 开胃酒; 蜂蜜酒;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葡萄酒; 果酒（含酒精）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</si>
  <si>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不倒</t>
    </r>
  </si>
  <si>
    <r>
      <t>中香中瓷（浙江）酒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</si>
  <si>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苦艾酒; 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...</t>
    </r>
  </si>
  <si>
    <r>
      <t>饭</t>
    </r>
    <r>
      <rPr>
        <sz val="11"/>
        <color theme="1"/>
        <rFont val="ＭＳ Ｐゴシック"/>
        <family val="3"/>
        <charset val="128"/>
        <scheme val="minor"/>
      </rPr>
      <t>自如</t>
    </r>
  </si>
  <si>
    <r>
      <t>百吉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（浙江）供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</si>
  <si>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果酒</t>
  </si>
  <si>
    <r>
      <t>醉彩虹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</si>
  <si>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开胃酒; 蒸煮提取物（利口酒和烈酒）;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白酒;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</si>
  <si>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既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坡上</t>
    </r>
  </si>
  <si>
    <t>张辉</t>
  </si>
  <si>
    <r>
      <t>果酒;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梅酒; 葡萄酒; 甜酒</t>
    </r>
  </si>
  <si>
    <r>
      <t>若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</si>
  <si>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富豪葡萄酒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英国品牌有限公司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</si>
  <si>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起泡白葡萄酒; 葡萄汽酒</t>
    </r>
  </si>
  <si>
    <t>金糸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</si>
  <si>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</si>
  <si>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草莓酒</t>
    </r>
  </si>
  <si>
    <r>
      <t>坤</t>
    </r>
    <r>
      <rPr>
        <sz val="11"/>
        <color theme="1"/>
        <rFont val="ＭＳ Ｐゴシック"/>
        <family val="3"/>
        <charset val="134"/>
        <scheme val="minor"/>
      </rPr>
      <t>浔</t>
    </r>
  </si>
  <si>
    <t>刘露明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</si>
  <si>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果酒（含酒精）; 葡萄酒</t>
    </r>
  </si>
  <si>
    <t>圣旨液</t>
  </si>
  <si>
    <r>
      <t>古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巷子深酒厂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</si>
  <si>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</si>
  <si>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囍</t>
    </r>
    <r>
      <rPr>
        <sz val="11"/>
        <color theme="1"/>
        <rFont val="ＭＳ Ｐゴシック"/>
        <family val="3"/>
        <charset val="129"/>
        <scheme val="minor"/>
      </rPr>
      <t>峸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</si>
  <si>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城市映山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老窖酒</t>
    </r>
    <r>
      <rPr>
        <sz val="11"/>
        <color theme="1"/>
        <rFont val="ＭＳ Ｐゴシック"/>
        <family val="3"/>
        <charset val="134"/>
        <scheme val="minor"/>
      </rPr>
      <t>业酿</t>
    </r>
    <r>
      <rPr>
        <sz val="11"/>
        <color theme="1"/>
        <rFont val="ＭＳ Ｐゴシック"/>
        <family val="3"/>
        <charset val="128"/>
        <scheme val="minor"/>
      </rPr>
      <t>造厂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</si>
  <si>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</si>
  <si>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富邑易富</t>
  </si>
  <si>
    <r>
      <t>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葡萄酒</t>
    </r>
  </si>
  <si>
    <t>PENFOLDS BLOCK 10</t>
  </si>
  <si>
    <r>
      <t>餐后酒（利口酒和烈酒）; 葡萄汽酒;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加烈葡萄酒;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</si>
  <si>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酒香前程</t>
  </si>
  <si>
    <r>
      <t>徐琴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</si>
  <si>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米酒; 葡萄酒;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白酒; 白干酒（中国白酒）;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</si>
  <si>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子荣</t>
  </si>
  <si>
    <r>
      <t>陈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</si>
  <si>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白酒; 葡萄酒; 米酒; 黄酒; 果酒（含酒精）; 露酒;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</si>
  <si>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雷·</t>
    </r>
    <r>
      <rPr>
        <sz val="11"/>
        <color theme="1"/>
        <rFont val="ＭＳ Ｐゴシック"/>
        <family val="3"/>
        <charset val="134"/>
        <scheme val="minor"/>
      </rPr>
      <t>贝维</t>
    </r>
    <r>
      <rPr>
        <sz val="11"/>
        <color theme="1"/>
        <rFont val="ＭＳ Ｐゴシック"/>
        <family val="3"/>
        <charset val="128"/>
        <scheme val="minor"/>
      </rPr>
      <t>茨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</si>
  <si>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加烈葡萄酒</t>
    </r>
  </si>
  <si>
    <r>
      <t>拥</t>
    </r>
    <r>
      <rPr>
        <sz val="11"/>
        <color theme="1"/>
        <rFont val="ＭＳ Ｐゴシック"/>
        <family val="3"/>
        <charset val="128"/>
        <scheme val="minor"/>
      </rPr>
      <t>城</t>
    </r>
  </si>
  <si>
    <t>李志浩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</si>
  <si>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</si>
  <si>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</si>
  <si>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河南晟</t>
    </r>
    <r>
      <rPr>
        <sz val="11"/>
        <color theme="1"/>
        <rFont val="ＭＳ Ｐゴシック"/>
        <family val="3"/>
        <charset val="134"/>
        <scheme val="minor"/>
      </rPr>
      <t>跃实业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</si>
  <si>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白葡萄酒;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</si>
  <si>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丁</t>
    </r>
  </si>
  <si>
    <r>
      <t>河南基源酒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</si>
  <si>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食用酒精; 白酒; 清酒;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</si>
  <si>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达麟</t>
  </si>
  <si>
    <r>
      <t>李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</si>
  <si>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米酒; 白葡萄酒; 汽酒; 果酒（含酒精）;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</si>
  <si>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高陀</t>
  </si>
  <si>
    <r>
      <t>贾</t>
    </r>
    <r>
      <rPr>
        <sz val="11"/>
        <color theme="1"/>
        <rFont val="ＭＳ Ｐゴシック"/>
        <family val="3"/>
        <charset val="128"/>
        <scheme val="minor"/>
      </rPr>
      <t>德彪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</si>
  <si>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</si>
  <si>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横琴粤澳深度合作区澳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品牌促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</si>
  <si>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含酒精蛋奶酒;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果酒（含酒精）; 清酒; 水果汽酒</t>
    </r>
  </si>
  <si>
    <t>古墨山</t>
  </si>
  <si>
    <t>刘洪涛</t>
  </si>
  <si>
    <r>
      <t>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</si>
  <si>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香九州</t>
    </r>
    <r>
      <rPr>
        <sz val="11"/>
        <color theme="1"/>
        <rFont val="ＭＳ Ｐゴシック"/>
        <family val="3"/>
        <charset val="134"/>
        <scheme val="minor"/>
      </rPr>
      <t>贵宾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</si>
  <si>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州香九州酒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</si>
  <si>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</si>
  <si>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宜原</t>
    </r>
  </si>
  <si>
    <t>杨陈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</si>
  <si>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蜂蜜酒; 伏特加酒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</si>
  <si>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源台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</si>
  <si>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听听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</si>
  <si>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</si>
  <si>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黏花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</si>
  <si>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</si>
  <si>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敢王</t>
  </si>
  <si>
    <r>
      <t>米酒; 清酒（日本米酒）; 果酒（含酒精）; 葡萄酒; 威士忌;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</si>
  <si>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SENIX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</si>
  <si>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器股份有限公司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</si>
  <si>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汽酒</t>
    </r>
  </si>
  <si>
    <t>PETER GAGO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</si>
  <si>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餐后酒（利口酒和烈酒）; 葡萄汽酒;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</si>
  <si>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葡萄酒; 白酒;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葡萄汽酒;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</si>
  <si>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</si>
  <si>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贞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鑫嘉辰装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售中心</t>
    </r>
  </si>
  <si>
    <r>
      <t xml:space="preserve">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苹果酒;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</si>
  <si>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希居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</si>
  <si>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希居酒店管理有限公司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</si>
  <si>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黄酒;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</si>
  <si>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ALAVAGUE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</si>
  <si>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清酒</t>
    </r>
  </si>
  <si>
    <t>商九好孝心</t>
  </si>
  <si>
    <t>葛道奉（******************）</t>
  </si>
  <si>
    <r>
      <t xml:space="preserve">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</t>
    </r>
  </si>
  <si>
    <t>STAYLAND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</si>
  <si>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张艺兴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</si>
  <si>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</si>
  <si>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凌渡</t>
    </r>
  </si>
  <si>
    <r>
      <t xml:space="preserve">果酒（含酒精）; 清酒（日本米酒）;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</si>
  <si>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跳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</si>
  <si>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>四川玖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跳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</si>
  <si>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烈性干酒;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松叶酒; 米酒; 葡萄酒</t>
    </r>
  </si>
  <si>
    <t>PENFOLDS BIN 19A</t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</si>
  <si>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餐后酒（利口酒和烈酒）;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白酒</t>
    </r>
  </si>
  <si>
    <t>泉·芯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</si>
  <si>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泉芯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化科技有限公司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</si>
  <si>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</si>
  <si>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库</t>
    </r>
  </si>
  <si>
    <t>相春万</t>
  </si>
  <si>
    <r>
      <t>果酒（含酒精）;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</si>
  <si>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玉食雅集</t>
  </si>
  <si>
    <r>
      <t>姚建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</si>
  <si>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威士忌;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</si>
  <si>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身柱峰</t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</si>
  <si>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水星河</t>
    </r>
    <r>
      <rPr>
        <sz val="11"/>
        <color theme="1"/>
        <rFont val="ＭＳ Ｐゴシック"/>
        <family val="3"/>
        <charset val="134"/>
        <scheme val="minor"/>
      </rPr>
      <t>烧锅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</si>
  <si>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白干酒（中国白酒）; 苦味酒;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露酒;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</si>
  <si>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正涌良囤</t>
  </si>
  <si>
    <t>柴立波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</si>
  <si>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</si>
  <si>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布城</t>
    </r>
  </si>
  <si>
    <t>杜燕</t>
  </si>
  <si>
    <r>
      <t>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奶油利口酒; 开胃酒;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</si>
  <si>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战鲲</t>
  </si>
  <si>
    <t>渠路平</t>
  </si>
  <si>
    <r>
      <t>白酒; 威士忌; 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</si>
  <si>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t>鲵凤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</si>
  <si>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</si>
  <si>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烈酒; 混合威士忌酒; 麦芽威士忌;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</si>
  <si>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吉林省惠然科技有限公司</t>
  </si>
  <si>
    <r>
      <t>朗姆酒; 果酒（含酒精）; 食用酒精; 白酒; 黄酒;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</si>
  <si>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达牧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</si>
  <si>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达品牌管理（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</si>
  <si>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</si>
  <si>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君康益行</t>
  </si>
  <si>
    <t>BLUE ZHEN LAN</t>
  </si>
  <si>
    <r>
      <t>深圳市聚采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</si>
  <si>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茴芹酒（利口酒）;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伏特加酒; 苦味酒;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</si>
  <si>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MAX SCHUBERT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</si>
  <si>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葡萄汽酒;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</si>
  <si>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孤巷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</si>
  <si>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</si>
  <si>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</si>
  <si>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梦年</t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</si>
  <si>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</si>
  <si>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奔富克里斯多夫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</si>
  <si>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餐后酒（利口酒和烈酒）; 加烈葡萄酒; 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</si>
  <si>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</si>
  <si>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加烈葡萄酒; 起泡白葡萄酒;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</si>
  <si>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癞</t>
    </r>
    <r>
      <rPr>
        <sz val="11"/>
        <color theme="1"/>
        <rFont val="ＭＳ Ｐゴシック"/>
        <family val="3"/>
        <charset val="128"/>
        <scheme val="minor"/>
      </rPr>
      <t>先生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小姐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</si>
  <si>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</si>
  <si>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巴岸</t>
  </si>
  <si>
    <r>
      <t>黎巴左岸（深圳）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</si>
  <si>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葡萄酒; 利口酒</t>
    </r>
  </si>
  <si>
    <r>
      <t>玲</t>
    </r>
    <r>
      <rPr>
        <sz val="11"/>
        <color theme="1"/>
        <rFont val="ＭＳ Ｐゴシック"/>
        <family val="3"/>
        <charset val="134"/>
        <scheme val="minor"/>
      </rPr>
      <t>珑鸿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</si>
  <si>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凤鸣</t>
    </r>
    <r>
      <rPr>
        <sz val="11"/>
        <color theme="1"/>
        <rFont val="ＭＳ Ｐゴシック"/>
        <family val="3"/>
        <charset val="128"/>
        <scheme val="minor"/>
      </rPr>
      <t>春茶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</si>
  <si>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</si>
  <si>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拈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</si>
  <si>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</si>
  <si>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</si>
  <si>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瑞高儿（厦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</si>
  <si>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白干酒（中国白酒）; 伏特加酒; 朗姆酒;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</si>
  <si>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ALTO LOS CUISES</t>
  </si>
  <si>
    <r>
      <t>米酒; 食用酒精;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</si>
  <si>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四川省竹州老窖酒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</si>
  <si>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</si>
  <si>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猴高</t>
  </si>
  <si>
    <r>
      <t>廊下食（泰安市）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</si>
  <si>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苹果酒; 威士忌;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</si>
  <si>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嵛</t>
    </r>
    <r>
      <rPr>
        <sz val="11"/>
        <color theme="1"/>
        <rFont val="ＭＳ Ｐゴシック"/>
        <family val="3"/>
        <charset val="128"/>
        <scheme val="minor"/>
      </rPr>
      <t>赤</t>
    </r>
  </si>
  <si>
    <r>
      <t>威海御尊酒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</si>
  <si>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白酒;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</si>
  <si>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t>洪四海</t>
  </si>
  <si>
    <r>
      <t>郓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</si>
  <si>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白酒</t>
    </r>
  </si>
  <si>
    <t>董董鹿源</t>
  </si>
  <si>
    <r>
      <t>湖北董董牧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</si>
  <si>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</si>
  <si>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觥筹星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</si>
  <si>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州珍月楼酒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</si>
  <si>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烈酒; 米酒; 威士忌; 白酒; 果酒</t>
    </r>
  </si>
  <si>
    <t>庭酒窖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</si>
  <si>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钧鉴贸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</si>
  <si>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</si>
  <si>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陶方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</si>
  <si>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</si>
  <si>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t>朱博士酒</t>
  </si>
  <si>
    <t>朱立忠******************</t>
  </si>
  <si>
    <r>
      <t xml:space="preserve">苹果酒; 葡萄酒; 白酒; 高粱酒; 白干酒（中国白酒）; 米酒;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</si>
  <si>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津玉粱源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</si>
  <si>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市笛女酒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</si>
  <si>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米酒; 苦味酒;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</si>
  <si>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久山存</t>
  </si>
  <si>
    <r>
      <t>漳州巴戟天酒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</si>
  <si>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含酒精的气泡水</t>
    </r>
  </si>
  <si>
    <t>LUCKMEEY 幸棉</t>
  </si>
  <si>
    <r>
      <t>广州探途网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</si>
  <si>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朗姆酒; 葡萄酒;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烈酒</t>
    </r>
  </si>
  <si>
    <r>
      <t>久恋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</si>
  <si>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</si>
  <si>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</si>
  <si>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鼎音</t>
  </si>
  <si>
    <r>
      <t>安丰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</si>
  <si>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威士忌; 果酒;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</si>
  <si>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鉴领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</si>
  <si>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洪政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</si>
  <si>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</si>
  <si>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冰雁</t>
  </si>
  <si>
    <r>
      <t>万事好（天津自</t>
    </r>
    <r>
      <rPr>
        <sz val="11"/>
        <color theme="1"/>
        <rFont val="ＭＳ Ｐゴシック"/>
        <family val="3"/>
        <charset val="134"/>
        <scheme val="minor"/>
      </rPr>
      <t>贸试验</t>
    </r>
    <r>
      <rPr>
        <sz val="11"/>
        <color theme="1"/>
        <rFont val="ＭＳ Ｐゴシック"/>
        <family val="3"/>
        <charset val="128"/>
        <scheme val="minor"/>
      </rPr>
      <t>区）国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</si>
  <si>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食用酒精;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杜松子酒</t>
    </r>
  </si>
  <si>
    <r>
      <t>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明耀酒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</si>
  <si>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明耀酒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</si>
  <si>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苹果酒; 米酒</t>
    </r>
  </si>
  <si>
    <t>格林梦幻</t>
  </si>
  <si>
    <r>
      <t>夏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</si>
  <si>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</si>
  <si>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樽金霄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</si>
  <si>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子辰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</si>
  <si>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葡萄酒; 果酒; 威士忌; 米酒; 白酒; 汽酒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</si>
  <si>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禄</t>
    </r>
    <r>
      <rPr>
        <sz val="11"/>
        <color theme="1"/>
        <rFont val="ＭＳ Ｐゴシック"/>
        <family val="3"/>
        <charset val="134"/>
        <scheme val="minor"/>
      </rPr>
      <t>叁</t>
    </r>
  </si>
  <si>
    <t>刘振彬</t>
  </si>
  <si>
    <r>
      <t xml:space="preserve">米酒;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</si>
  <si>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山水画青城</t>
  </si>
  <si>
    <t>成都六合策划管理有限公司</t>
  </si>
  <si>
    <r>
      <t xml:space="preserve">蒸煮提取物（利口酒和烈酒）; 果酒（含酒精）; 黄酒;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</si>
  <si>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MALANHUA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</si>
  <si>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马兰</t>
    </r>
    <r>
      <rPr>
        <sz val="11"/>
        <color theme="1"/>
        <rFont val="ＭＳ Ｐゴシック"/>
        <family val="3"/>
        <charset val="128"/>
        <scheme val="minor"/>
      </rPr>
      <t>花开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</si>
  <si>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葡萄酒; 甜酒; 米酒; 苦味酒; 利口酒; 黄酒; 蜂蜜酒</t>
    </r>
  </si>
  <si>
    <r>
      <t>烟台通达</t>
    </r>
    <r>
      <rPr>
        <sz val="11"/>
        <color theme="1"/>
        <rFont val="ＭＳ Ｐゴシック"/>
        <family val="3"/>
        <charset val="134"/>
        <scheme val="minor"/>
      </rPr>
      <t>绿业农业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</si>
  <si>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</t>
    </r>
  </si>
  <si>
    <t>MEORSHE</t>
  </si>
  <si>
    <t>我和她品牌管理（成都）有限公司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</si>
  <si>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</si>
  <si>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德双喜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</si>
  <si>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邑投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</si>
  <si>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米酒; 黄酒</t>
    </r>
  </si>
  <si>
    <r>
      <t>神雷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</si>
  <si>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葡萄酒; 烈酒;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</si>
  <si>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智芒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</si>
  <si>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</si>
  <si>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黔醉福礼商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</si>
  <si>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州梁坤酒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</si>
  <si>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蒸煮提取物（利口酒和烈酒）; 清酒（日本米酒）;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</si>
  <si>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HAIJIJIAO</t>
  </si>
  <si>
    <t>西安海吉焦生物科技研究院有限公司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</si>
  <si>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</si>
  <si>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浙</t>
    </r>
    <r>
      <rPr>
        <sz val="11"/>
        <color theme="1"/>
        <rFont val="ＭＳ Ｐゴシック"/>
        <family val="3"/>
        <charset val="134"/>
        <scheme val="minor"/>
      </rPr>
      <t>谕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</si>
  <si>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</si>
  <si>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纳财</t>
    </r>
  </si>
  <si>
    <r>
      <t>安徽九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</si>
  <si>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食用酒精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</si>
  <si>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山如愿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</si>
  <si>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</si>
  <si>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福建省大数据集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</si>
  <si>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食用酒精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</si>
  <si>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树窝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</si>
  <si>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市盛会名酒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</si>
  <si>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</si>
  <si>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属兔先森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</si>
  <si>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弘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</si>
  <si>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</si>
  <si>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范沙院子</t>
  </si>
  <si>
    <r>
      <t>杨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</si>
  <si>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</si>
  <si>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禧香逸</t>
  </si>
  <si>
    <r>
      <t>新疆康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畜牧有限公司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</si>
  <si>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烈酒; 白酒; 米酒</t>
    </r>
  </si>
  <si>
    <t>祝康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</si>
  <si>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江省五大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景区三原酒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</si>
  <si>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</si>
  <si>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SCHMUCKENSCHLAGER</t>
  </si>
  <si>
    <r>
      <t>杭州欧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</si>
  <si>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佐餐酒;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</si>
  <si>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栋</t>
    </r>
  </si>
  <si>
    <t>金宇薇</t>
  </si>
  <si>
    <r>
      <t xml:space="preserve">米酒; 黄酒;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</si>
  <si>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福柳仙</t>
  </si>
  <si>
    <r>
      <t>蒋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</si>
  <si>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烈酒;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</si>
  <si>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</si>
  <si>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</si>
  <si>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拓溥</t>
  </si>
  <si>
    <r>
      <t>四川地宜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</si>
  <si>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</si>
  <si>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会津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</si>
  <si>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四川省会津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</si>
  <si>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葡萄酒; 白干酒（中国白酒）</t>
    </r>
  </si>
  <si>
    <r>
      <t>恬心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</si>
  <si>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永霞</t>
    </r>
  </si>
  <si>
    <t>果酒; 汽酒; 清酒; 甜酒; 食用酒精; 黄酒; 开胃酒; 米酒; 葡萄酒; 白酒</t>
  </si>
  <si>
    <r>
      <t>庚</t>
    </r>
    <r>
      <rPr>
        <sz val="11"/>
        <color theme="1"/>
        <rFont val="ＭＳ Ｐゴシック"/>
        <family val="3"/>
        <charset val="134"/>
        <scheme val="minor"/>
      </rPr>
      <t>溇</t>
    </r>
  </si>
  <si>
    <t>覃元</t>
  </si>
  <si>
    <r>
      <t xml:space="preserve">果酒（含酒精）; 葡萄酒; 米酒;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</si>
  <si>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亨蒂斯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</si>
  <si>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夏橡国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</si>
  <si>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清酒; 葡萄酒; 黄酒; 果酒</t>
    </r>
  </si>
  <si>
    <t>湘瞿</t>
  </si>
  <si>
    <r>
      <t>湖南聚味瞿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</si>
  <si>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</si>
  <si>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梅茵</t>
  </si>
  <si>
    <r>
      <t>熊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</si>
  <si>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</si>
  <si>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肖谷</t>
  </si>
  <si>
    <t>李天文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</si>
  <si>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苹果酒;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</si>
  <si>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青林峰</t>
  </si>
  <si>
    <r>
      <t>王志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</si>
  <si>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伏特加酒; 高粱酒; 果酒（含酒精）; 威士忌;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梅酒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</si>
  <si>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作椒</t>
    </r>
  </si>
  <si>
    <t>福州仁量生物制品有限公司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</si>
  <si>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蒸煮提取物（利口酒和烈酒）; 果酒（含酒精）</t>
    </r>
  </si>
  <si>
    <t>磁灶情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</si>
  <si>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市星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</si>
  <si>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</si>
  <si>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戈匠湾</t>
  </si>
  <si>
    <r>
      <t>杨</t>
    </r>
    <r>
      <rPr>
        <sz val="11"/>
        <color theme="1"/>
        <rFont val="ＭＳ Ｐゴシック"/>
        <family val="3"/>
        <charset val="128"/>
        <scheme val="minor"/>
      </rPr>
      <t>茂明</t>
    </r>
  </si>
  <si>
    <r>
      <t xml:space="preserve">青稞酒; 食用酒精; 葡萄酒;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</si>
  <si>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皖酒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</si>
  <si>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</si>
  <si>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清酒（日本米酒）;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</si>
  <si>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向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</si>
  <si>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向朝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</si>
  <si>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开胃酒; 利口酒;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</si>
  <si>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祥合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</si>
  <si>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深圳市鼎元酒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</si>
  <si>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</t>
    </r>
  </si>
  <si>
    <t>三口姐姐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</si>
  <si>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安古月林牧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</si>
  <si>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</si>
  <si>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王秉京王家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</si>
  <si>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州州匠酒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</si>
  <si>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</si>
  <si>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佐西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享</t>
    </r>
  </si>
  <si>
    <r>
      <t>王世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</si>
  <si>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</si>
  <si>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宋灼祈</t>
  </si>
  <si>
    <t>宋浪</t>
  </si>
  <si>
    <r>
      <t>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清酒（日本米酒）; 威士忌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</si>
  <si>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月生活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</si>
  <si>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圣元春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</si>
  <si>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清酒（日本米酒）</t>
  </si>
  <si>
    <t>YAMNG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</si>
  <si>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果酒（含酒精）; 黄酒</t>
    </r>
  </si>
  <si>
    <t>POWYYDS COACET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</si>
  <si>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</si>
  <si>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</si>
  <si>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嵛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</si>
  <si>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果酒（含酒精）; 青稞酒;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</si>
  <si>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微雨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</si>
  <si>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阿品便利店管理有限公司</t>
    </r>
  </si>
  <si>
    <r>
      <t>开胃酒;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</t>
    </r>
  </si>
  <si>
    <t>觥筹金罍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</si>
  <si>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威士忌;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葡萄酒</t>
    </r>
  </si>
  <si>
    <t>致愿</t>
  </si>
  <si>
    <r>
      <t>成都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彼致愿教育科技有限公司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</si>
  <si>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蜂蜜酒</t>
    </r>
  </si>
  <si>
    <r>
      <t>酷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一生</t>
    </r>
  </si>
  <si>
    <t>周涛</t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</si>
  <si>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葡萄酒</t>
    </r>
  </si>
  <si>
    <t>珠福礼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</si>
  <si>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</si>
  <si>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</si>
  <si>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海吉焦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</si>
  <si>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白酒; 米酒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</si>
  <si>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香聚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</si>
  <si>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家香食品有限公司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</si>
  <si>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清酒</t>
    </r>
  </si>
  <si>
    <t>然•雨</t>
  </si>
  <si>
    <r>
      <t>阙</t>
    </r>
    <r>
      <rPr>
        <sz val="11"/>
        <color theme="1"/>
        <rFont val="ＭＳ Ｐゴシック"/>
        <family val="3"/>
        <charset val="128"/>
        <scheme val="minor"/>
      </rPr>
      <t>祥智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</si>
  <si>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</si>
  <si>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君杯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</si>
  <si>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州朴然禾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</si>
  <si>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烈酒; 葡萄酒</t>
    </r>
  </si>
  <si>
    <r>
      <t>澳溪</t>
    </r>
    <r>
      <rPr>
        <sz val="11"/>
        <color theme="1"/>
        <rFont val="ＭＳ Ｐゴシック"/>
        <family val="3"/>
        <charset val="134"/>
        <scheme val="minor"/>
      </rPr>
      <t>红颜</t>
    </r>
    <r>
      <rPr>
        <sz val="11"/>
        <color theme="1"/>
        <rFont val="ＭＳ Ｐゴシック"/>
        <family val="3"/>
        <charset val="128"/>
        <scheme val="minor"/>
      </rPr>
      <t>29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</si>
  <si>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口澳溪商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</si>
  <si>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黄酒; 米酒; 开胃酒;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</si>
  <si>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宋逵佑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</si>
  <si>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清酒（日本米酒）;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</si>
  <si>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义庆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</si>
  <si>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衡水江源酒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</si>
  <si>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</t>
    </r>
  </si>
  <si>
    <t>晋春江</t>
  </si>
  <si>
    <t>肖琪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</si>
  <si>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烈酒; 威士忌; 葡萄酒; 果酒（含酒精）; 清酒（日本米酒）; 开胃酒</t>
    </r>
  </si>
  <si>
    <r>
      <t>雷蒙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多.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</si>
  <si>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阿莱克斯（上海）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</si>
  <si>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朗姆酒;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</si>
  <si>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麓</t>
    </r>
    <r>
      <rPr>
        <sz val="11"/>
        <color theme="1"/>
        <rFont val="ＭＳ Ｐゴシック"/>
        <family val="3"/>
        <charset val="134"/>
        <scheme val="minor"/>
      </rPr>
      <t>獭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</si>
  <si>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蔓楷酒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</si>
  <si>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</si>
  <si>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东际</t>
  </si>
  <si>
    <r>
      <t>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</si>
  <si>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青稞酒; 烈酒; 高粱酒;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茴芹酒（利口酒）;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</si>
  <si>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康</t>
    </r>
  </si>
  <si>
    <t>刘佳佳</t>
  </si>
  <si>
    <r>
      <t xml:space="preserve">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</si>
  <si>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岸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</si>
  <si>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上海焙来客餐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</si>
  <si>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</si>
  <si>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</si>
  <si>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果酒; 白酒; 烈酒; 食用酒精</t>
    </r>
  </si>
  <si>
    <t>北方小才神</t>
  </si>
  <si>
    <t>李小霞******************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</si>
  <si>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</t>
    </r>
  </si>
  <si>
    <r>
      <t>宋式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</si>
  <si>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酒平台服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</si>
  <si>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蜂蜜酒</t>
    </r>
  </si>
  <si>
    <r>
      <t>宋韵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</si>
  <si>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黄酒; 蜂蜜酒;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</si>
  <si>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L-TWO</t>
  </si>
  <si>
    <r>
      <t>滦</t>
    </r>
    <r>
      <rPr>
        <sz val="11"/>
        <color theme="1"/>
        <rFont val="ＭＳ Ｐゴシック"/>
        <family val="3"/>
        <charset val="128"/>
        <scheme val="minor"/>
      </rPr>
      <t>南祥小祥食品有限公司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</si>
  <si>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米酒; 葡萄酒; 黄酒; 威士忌; 青稞酒</t>
    </r>
  </si>
  <si>
    <r>
      <t>厚</t>
    </r>
    <r>
      <rPr>
        <sz val="11"/>
        <color theme="1"/>
        <rFont val="ＭＳ Ｐゴシック"/>
        <family val="3"/>
        <charset val="129"/>
        <scheme val="minor"/>
      </rPr>
      <t>熜</t>
    </r>
  </si>
  <si>
    <r>
      <t>尤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</si>
  <si>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果酒（含酒精）</t>
    </r>
  </si>
  <si>
    <r>
      <t>楼</t>
    </r>
    <r>
      <rPr>
        <sz val="11"/>
        <color theme="1"/>
        <rFont val="ＭＳ Ｐゴシック"/>
        <family val="3"/>
        <charset val="134"/>
        <scheme val="minor"/>
      </rPr>
      <t>队长</t>
    </r>
  </si>
  <si>
    <t>霍承静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</si>
  <si>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</si>
  <si>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石海</t>
    </r>
  </si>
  <si>
    <t>杨庆华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</si>
  <si>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葡萄酒; 青梅酒;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白干酒（中国白酒）</t>
    </r>
  </si>
  <si>
    <t>今香遇黄金叶</t>
  </si>
  <si>
    <t>王阳</t>
  </si>
  <si>
    <t>白干酒（中国白酒）; 高粱酒; 白酒</t>
  </si>
  <si>
    <t>植御康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</si>
  <si>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市康御植生物科技有限公司</t>
    </r>
  </si>
  <si>
    <r>
      <t xml:space="preserve">威士忌;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</si>
  <si>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双江禄</t>
  </si>
  <si>
    <r>
      <t>果酒（含酒精）;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</si>
  <si>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隆运到</t>
  </si>
  <si>
    <r>
      <t>深圳左和右包装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</si>
  <si>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</si>
  <si>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宋式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</si>
  <si>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</si>
  <si>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LUYISHISANSHI</t>
  </si>
  <si>
    <r>
      <t>杨</t>
    </r>
    <r>
      <rPr>
        <sz val="11"/>
        <color theme="1"/>
        <rFont val="ＭＳ Ｐゴシック"/>
        <family val="3"/>
        <charset val="128"/>
        <scheme val="minor"/>
      </rPr>
      <t>占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</si>
  <si>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利口酒;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</si>
  <si>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王秉宗王家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</si>
  <si>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</si>
  <si>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双江禧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</si>
  <si>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</si>
  <si>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</si>
  <si>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 xml:space="preserve">白酒;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</t>
    </r>
  </si>
  <si>
    <t>方藏雪山礼</t>
  </si>
  <si>
    <r>
      <t>甘孜州嘎金雪山商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</si>
  <si>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米酒;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</si>
  <si>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州全域旅游有限公司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</si>
  <si>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</si>
  <si>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t>喜酒喜太婆</t>
  </si>
  <si>
    <r>
      <t>冯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</si>
  <si>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黄酒; 白酒; 葡萄酒</t>
    </r>
  </si>
  <si>
    <r>
      <t>宋式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</si>
  <si>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</si>
  <si>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宋韵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</si>
  <si>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</si>
  <si>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邂逅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</si>
  <si>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汽酒; 蒸煮提取物（利口酒和烈酒）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</si>
  <si>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承福万家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</si>
  <si>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</si>
  <si>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米酒; 白酒; 甜果酒; 薄荷酒; 白干酒（中国白酒）</t>
    </r>
  </si>
  <si>
    <t>天益邦</t>
  </si>
  <si>
    <r>
      <t>张</t>
    </r>
    <r>
      <rPr>
        <sz val="11"/>
        <color theme="1"/>
        <rFont val="ＭＳ Ｐゴシック"/>
        <family val="3"/>
        <charset val="128"/>
        <scheme val="minor"/>
      </rPr>
      <t>明礼</t>
    </r>
  </si>
  <si>
    <r>
      <t xml:space="preserve">果酒（含酒精）;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葡萄酒</t>
    </r>
  </si>
  <si>
    <t>千百功</t>
  </si>
  <si>
    <r>
      <t>浙江越庄酒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</si>
  <si>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</si>
  <si>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王氏臻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</si>
  <si>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州粹匠酒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</si>
  <si>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</si>
  <si>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家老渡口</t>
    </r>
  </si>
  <si>
    <r>
      <t>衡水老渡口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</si>
  <si>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梨酒;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米酒; 餐后酒（利口酒和烈酒）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</si>
  <si>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安公王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</si>
  <si>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</si>
  <si>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运河城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</si>
  <si>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水城工匠建筑工程有限公司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</si>
  <si>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高粱酒; 米酒</t>
    </r>
  </si>
  <si>
    <r>
      <t>岩</t>
    </r>
    <r>
      <rPr>
        <sz val="11"/>
        <color theme="1"/>
        <rFont val="ＭＳ Ｐゴシック"/>
        <family val="3"/>
        <charset val="134"/>
        <scheme val="minor"/>
      </rPr>
      <t>为贵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</si>
  <si>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裕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</si>
  <si>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梨酒; 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</si>
  <si>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三晋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</si>
  <si>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</si>
  <si>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</si>
  <si>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伍侑</t>
  </si>
  <si>
    <r>
      <t>佛山达成企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</si>
  <si>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清酒; 威士忌</t>
    </r>
  </si>
  <si>
    <t>枚小院</t>
  </si>
  <si>
    <r>
      <t>深圳市山南居文化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</si>
  <si>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</si>
  <si>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天青瓷</t>
  </si>
  <si>
    <t>山西青花国酒厂股份有限公司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</si>
  <si>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</si>
  <si>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昼夜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</si>
  <si>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湖南冉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</si>
  <si>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含酒精的气泡水;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</si>
  <si>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始祖卓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</si>
  <si>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粮食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</si>
  <si>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果酒（含酒精）; 白酒; 开胃酒;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</si>
  <si>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春醉巴陵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</si>
  <si>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时颖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</si>
  <si>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汽酒; 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苦味酒</t>
    </r>
  </si>
  <si>
    <r>
      <t>添</t>
    </r>
    <r>
      <rPr>
        <sz val="11"/>
        <color theme="1"/>
        <rFont val="ＭＳ Ｐゴシック"/>
        <family val="3"/>
        <charset val="134"/>
        <scheme val="minor"/>
      </rPr>
      <t>恺</t>
    </r>
  </si>
  <si>
    <t>添美控股（广州）有限公司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</si>
  <si>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</si>
  <si>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惠同誉</t>
  </si>
  <si>
    <t>朱小萍</t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</si>
  <si>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</t>
    </r>
  </si>
  <si>
    <t>檀心古韵</t>
  </si>
  <si>
    <r>
      <t>中晟昕（北京）科技文化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</si>
  <si>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</si>
  <si>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梅</t>
    </r>
  </si>
  <si>
    <t>何道昌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</si>
  <si>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梅酒; 青梅酒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</si>
  <si>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行豹</t>
    </r>
  </si>
  <si>
    <t>刘彦鑫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</si>
  <si>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黑覆盆子酒; 含酒精蛋奶酒; 高粱酒; 苦艾酒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</si>
  <si>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</si>
  <si>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四川尚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酒店集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</si>
  <si>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</si>
  <si>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觉狮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</si>
  <si>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觉狮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</si>
  <si>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葡萄酒; 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白葡萄酒;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白干酒（中国白酒）; 清酒; 米酒; 蜂蜜酒</t>
    </r>
  </si>
  <si>
    <t>墨城玖福</t>
  </si>
  <si>
    <r>
      <t>仇朋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</si>
  <si>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</t>
    </r>
  </si>
  <si>
    <t>禹都明珠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</si>
  <si>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</si>
  <si>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果酒（含酒精）; 黄酒; 米酒;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</si>
  <si>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默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德森 MOHANDSEN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</si>
  <si>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</si>
  <si>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</si>
  <si>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常相伴</t>
  </si>
  <si>
    <r>
      <t>深圳念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</si>
  <si>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</si>
  <si>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武夷大王峰</t>
  </si>
  <si>
    <r>
      <t>武夷山市古源茗</t>
    </r>
    <r>
      <rPr>
        <sz val="11"/>
        <color theme="1"/>
        <rFont val="ＭＳ Ｐゴシック"/>
        <family val="3"/>
        <charset val="134"/>
        <scheme val="minor"/>
      </rPr>
      <t>枞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</si>
  <si>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</si>
  <si>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</si>
  <si>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喜食品有限公司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</si>
  <si>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清酒; 甜酒;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</si>
  <si>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檀</t>
    </r>
    <r>
      <rPr>
        <sz val="11"/>
        <color theme="1"/>
        <rFont val="ＭＳ Ｐゴシック"/>
        <family val="3"/>
        <charset val="134"/>
        <scheme val="minor"/>
      </rPr>
      <t>尧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</si>
  <si>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</si>
  <si>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哒纳</t>
    </r>
  </si>
  <si>
    <r>
      <t>艾沙木吨·</t>
    </r>
    <r>
      <rPr>
        <sz val="11"/>
        <color theme="1"/>
        <rFont val="ＭＳ Ｐゴシック"/>
        <family val="3"/>
        <charset val="134"/>
        <scheme val="minor"/>
      </rPr>
      <t>买买</t>
    </r>
    <r>
      <rPr>
        <sz val="11"/>
        <color theme="1"/>
        <rFont val="ＭＳ Ｐゴシック"/>
        <family val="3"/>
        <charset val="128"/>
        <scheme val="minor"/>
      </rPr>
      <t>提</t>
    </r>
  </si>
  <si>
    <r>
      <t>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</si>
  <si>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尚鑫光盛宴</t>
    </r>
  </si>
  <si>
    <r>
      <t>内蒙古冬虫夏草保健酒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</si>
  <si>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</si>
  <si>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撒云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</si>
  <si>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东归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类贸</t>
    </r>
    <r>
      <rPr>
        <sz val="11"/>
        <color theme="1"/>
        <rFont val="ＭＳ Ｐゴシック"/>
        <family val="3"/>
        <charset val="128"/>
        <scheme val="minor"/>
      </rPr>
      <t>易中心</t>
    </r>
  </si>
  <si>
    <r>
      <t xml:space="preserve">白酒;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</si>
  <si>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民宴台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</si>
  <si>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榜台酒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</si>
  <si>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白干酒（中国白酒）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</si>
  <si>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良益</t>
    </r>
  </si>
  <si>
    <r>
      <t>黄光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</si>
  <si>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白酒;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</si>
  <si>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舐粒香</t>
  </si>
  <si>
    <t>成都京安云科技有限公司</t>
  </si>
  <si>
    <r>
      <t>葡萄酒; 白干酒（中国白酒）;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</t>
    </r>
  </si>
  <si>
    <r>
      <t>绘</t>
    </r>
    <r>
      <rPr>
        <sz val="11"/>
        <color theme="1"/>
        <rFont val="ＭＳ Ｐゴシック"/>
        <family val="3"/>
        <charset val="128"/>
        <scheme val="minor"/>
      </rPr>
      <t>黄</t>
    </r>
    <r>
      <rPr>
        <sz val="11"/>
        <color theme="1"/>
        <rFont val="ＭＳ Ｐゴシック"/>
        <family val="3"/>
        <charset val="134"/>
        <scheme val="minor"/>
      </rPr>
      <t>蓝</t>
    </r>
  </si>
  <si>
    <t>王沙沙</t>
  </si>
  <si>
    <r>
      <t>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</si>
  <si>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河源市耕耘天下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</si>
  <si>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汽酒;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薄荷酒;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</si>
  <si>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酒雅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</si>
  <si>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永不分梨酒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</si>
  <si>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</si>
  <si>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挖竜</t>
  </si>
  <si>
    <r>
      <t>许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</si>
  <si>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高粱酒; 甜果酒; 薄荷酒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</si>
  <si>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峪河</t>
    </r>
  </si>
  <si>
    <t>陶冉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</si>
  <si>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葡萄酒</t>
    </r>
  </si>
  <si>
    <r>
      <t>九好歌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</si>
  <si>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旺奇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</si>
  <si>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</si>
  <si>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酒卌网</t>
  </si>
  <si>
    <r>
      <t>宿迁市八公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</si>
  <si>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</si>
  <si>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尛</t>
    </r>
    <r>
      <rPr>
        <sz val="11"/>
        <color theme="1"/>
        <rFont val="ＭＳ Ｐゴシック"/>
        <family val="3"/>
        <charset val="128"/>
        <scheme val="minor"/>
      </rPr>
      <t>伙</t>
    </r>
  </si>
  <si>
    <r>
      <t>张晓东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</si>
  <si>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威士忌</t>
    </r>
  </si>
  <si>
    <t>福圃岩</t>
  </si>
  <si>
    <r>
      <t>漳州</t>
    </r>
    <r>
      <rPr>
        <sz val="11"/>
        <color theme="1"/>
        <rFont val="ＭＳ Ｐゴシック"/>
        <family val="3"/>
        <charset val="134"/>
        <scheme val="minor"/>
      </rPr>
      <t>隐鸿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</si>
  <si>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</si>
  <si>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雄峰</t>
    </r>
  </si>
  <si>
    <r>
      <t>河南同伍堂健康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</si>
  <si>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蜂蜜酒; 果酒（含酒精）;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</si>
  <si>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舞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</si>
  <si>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州阿圣琦鞋服有限公司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</si>
  <si>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白酒</t>
    </r>
  </si>
  <si>
    <t>HORCH</t>
  </si>
  <si>
    <r>
      <t xml:space="preserve">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</si>
  <si>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漓酩</t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</si>
  <si>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清酒</t>
    </r>
  </si>
  <si>
    <t>梅老友</t>
  </si>
  <si>
    <r>
      <t>威士忌;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</si>
  <si>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t>PUYAFEI</t>
  </si>
  <si>
    <r>
      <t>广州葡雅菲国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</si>
  <si>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</si>
  <si>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酉狄</t>
  </si>
  <si>
    <t>孟春雷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</si>
  <si>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</si>
  <si>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那垌</t>
  </si>
  <si>
    <r>
      <t>广西防城港市金盟商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</si>
  <si>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蜂蜜酒; 果酒; 利口酒;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</si>
  <si>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心花自开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</si>
  <si>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州市近道酒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</si>
  <si>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开胃酒; 高粱酒;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</si>
  <si>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经纬</t>
    </r>
    <r>
      <rPr>
        <sz val="11"/>
        <color theme="1"/>
        <rFont val="ＭＳ Ｐゴシック"/>
        <family val="3"/>
        <charset val="128"/>
        <scheme val="minor"/>
      </rPr>
      <t>康康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</si>
  <si>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纬</t>
    </r>
    <r>
      <rPr>
        <sz val="11"/>
        <color theme="1"/>
        <rFont val="ＭＳ Ｐゴシック"/>
        <family val="3"/>
        <charset val="128"/>
        <scheme val="minor"/>
      </rPr>
      <t>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</si>
  <si>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</si>
  <si>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香隆中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</si>
  <si>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</t>
    </r>
  </si>
  <si>
    <t>美商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</si>
  <si>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美商医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</si>
  <si>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</t>
    </r>
  </si>
  <si>
    <t>瑨阳王</t>
  </si>
  <si>
    <r>
      <t>闫</t>
    </r>
    <r>
      <rPr>
        <sz val="11"/>
        <color theme="1"/>
        <rFont val="ＭＳ Ｐゴシック"/>
        <family val="3"/>
        <charset val="128"/>
        <scheme val="minor"/>
      </rPr>
      <t>威中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</si>
  <si>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高粱酒; 黄酒; 烈酒; 汽酒; 葡萄酒; 利口酒</t>
    </r>
  </si>
  <si>
    <t>京粒香</t>
  </si>
  <si>
    <r>
      <t>北京古稻西丰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</si>
  <si>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威士忌;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</si>
  <si>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英科水墨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</si>
  <si>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莞市国煜信息服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</si>
  <si>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威士忌; 食用酒精; 果酒（含酒精）; 烈性干酒;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</si>
  <si>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t>惠丰福鹿居</t>
  </si>
  <si>
    <t>邵惠停</t>
  </si>
  <si>
    <r>
      <t>白酒; 果酒（含酒精）; 烈酒; 混合威士忌酒;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</t>
    </r>
  </si>
  <si>
    <t>港猫</t>
  </si>
  <si>
    <t>管乙臻</t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</si>
  <si>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</si>
  <si>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福喜王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</si>
  <si>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</si>
  <si>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</si>
  <si>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梨酒;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</si>
  <si>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云魁</t>
    </r>
  </si>
  <si>
    <r>
      <t>成都源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</si>
  <si>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</si>
  <si>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ORCHIDLINN</t>
  </si>
  <si>
    <t>上海智峪生物科技有限公司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</si>
  <si>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</si>
  <si>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LOCHSIDE</t>
  </si>
  <si>
    <t>北京点名科技有限公司</t>
  </si>
  <si>
    <r>
      <t>葡萄酒; 伏特加酒; 威士忌; 清酒（日本米酒）; 白酒;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</si>
  <si>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程万德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</si>
  <si>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程工程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</si>
  <si>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 xml:space="preserve">威士忌; 米酒; 白酒; 葡萄酒;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</si>
  <si>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孟道仁心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</si>
  <si>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葡萄酒; 青稞酒;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</t>
    </r>
  </si>
  <si>
    <t>凉萌</t>
  </si>
  <si>
    <t>王毅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</si>
  <si>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甜酒;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利口酒</t>
    </r>
  </si>
  <si>
    <r>
      <t>长严</t>
    </r>
    <r>
      <rPr>
        <sz val="11"/>
        <color theme="1"/>
        <rFont val="ＭＳ Ｐゴシック"/>
        <family val="3"/>
        <charset val="128"/>
        <scheme val="minor"/>
      </rPr>
      <t>小灶</t>
    </r>
  </si>
  <si>
    <r>
      <t>中江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年丰酒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</si>
  <si>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</si>
  <si>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福小</t>
    </r>
    <r>
      <rPr>
        <sz val="11"/>
        <color theme="1"/>
        <rFont val="ＭＳ Ｐゴシック"/>
        <family val="3"/>
        <charset val="134"/>
        <scheme val="minor"/>
      </rPr>
      <t>鲁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</si>
  <si>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云港市朗月商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</si>
  <si>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开胃酒; 蒸煮提取物（利口酒和烈酒）; 黄酒; 白干酒（中国白酒）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</si>
  <si>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超福</t>
    </r>
  </si>
  <si>
    <t>曾超群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</si>
  <si>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</si>
  <si>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五行鼎</t>
    </r>
  </si>
  <si>
    <r>
      <t>湖南神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百草堂医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</si>
  <si>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果酒（含酒精）</t>
    </r>
  </si>
  <si>
    <r>
      <t>二合</t>
    </r>
    <r>
      <rPr>
        <sz val="11"/>
        <color theme="1"/>
        <rFont val="ＭＳ Ｐゴシック"/>
        <family val="3"/>
        <charset val="134"/>
        <scheme val="minor"/>
      </rPr>
      <t>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</si>
  <si>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</si>
  <si>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>黄酒; 食用酒精; 米酒; 青稞酒;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</si>
  <si>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食香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</si>
  <si>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小荣</t>
    </r>
  </si>
  <si>
    <r>
      <t>白酒; 黑覆盆子酒;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黄酒</t>
    </r>
  </si>
  <si>
    <t>上山薏</t>
  </si>
  <si>
    <r>
      <t>浦江科博水晶宝石工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</si>
  <si>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薄荷酒;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黄酒; 茴香酒（利口酒）; 苦味酒; 开胃酒;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茴芹酒（利口酒）;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</si>
  <si>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甄潭酒</t>
    </r>
    <r>
      <rPr>
        <sz val="11"/>
        <color theme="1"/>
        <rFont val="ＭＳ Ｐゴシック"/>
        <family val="3"/>
        <charset val="134"/>
        <scheme val="minor"/>
      </rPr>
      <t>铺</t>
    </r>
  </si>
  <si>
    <t>彭静雅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</si>
  <si>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苹果酒;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</si>
  <si>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火山牧歌</t>
  </si>
  <si>
    <r>
      <t>张</t>
    </r>
    <r>
      <rPr>
        <sz val="11"/>
        <color theme="1"/>
        <rFont val="ＭＳ Ｐゴシック"/>
        <family val="3"/>
        <charset val="128"/>
        <scheme val="minor"/>
      </rPr>
      <t>彦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</si>
  <si>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白酒; 清酒; 烈酒; 果酒; 高粱酒; 梅酒;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</si>
  <si>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言</t>
    </r>
  </si>
  <si>
    <t>南京信大瑞象科技有限公司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</si>
  <si>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米酒; 白酒</t>
    </r>
  </si>
  <si>
    <r>
      <t>迦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</si>
  <si>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葡萄酒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</si>
  <si>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功夫</t>
    </r>
  </si>
  <si>
    <r>
      <t>广州圣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</si>
  <si>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含酒精的气泡水; 日本梅子酒</t>
    </r>
  </si>
  <si>
    <t>斟桂</t>
  </si>
  <si>
    <r>
      <t>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清酒（日本米酒）;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</si>
  <si>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隆禧宴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</si>
  <si>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梨酒; 果酒（含酒精）; 葡萄酒</t>
    </r>
  </si>
  <si>
    <t>甄潭酒宴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</si>
  <si>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露酒;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</si>
  <si>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</si>
  <si>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</si>
  <si>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葡萄酒;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</si>
  <si>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三粮義</t>
  </si>
  <si>
    <r>
      <t>冯</t>
    </r>
    <r>
      <rPr>
        <sz val="11"/>
        <color theme="1"/>
        <rFont val="ＭＳ Ｐゴシック"/>
        <family val="3"/>
        <charset val="128"/>
        <scheme val="minor"/>
      </rPr>
      <t>勇*****************X</t>
    </r>
  </si>
  <si>
    <r>
      <t>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</si>
  <si>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韵荷都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</si>
  <si>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</si>
  <si>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开胃酒; 葡萄酒; 食用酒精;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</si>
  <si>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桃园月下</t>
  </si>
  <si>
    <r>
      <t>陈</t>
    </r>
    <r>
      <rPr>
        <sz val="11"/>
        <color theme="1"/>
        <rFont val="ＭＳ Ｐゴシック"/>
        <family val="3"/>
        <charset val="128"/>
        <scheme val="minor"/>
      </rPr>
      <t>美棋</t>
    </r>
  </si>
  <si>
    <r>
      <t>开胃酒; 威士忌;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</si>
  <si>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潮翊（汕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</si>
  <si>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清酒; 黄酒; 米酒;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</si>
  <si>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黄鞠公</t>
  </si>
  <si>
    <t>上海厚晌科技有限公司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</si>
  <si>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含酒精的气泡水;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</si>
  <si>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</si>
  <si>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果酒; 烈酒; 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</si>
  <si>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嬷嬷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</si>
  <si>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清酒; 果酒; 白酒; 威士忌;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</si>
  <si>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夜洋都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</si>
  <si>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蒸煮提取物（利口酒和烈酒）; 葡萄酒; 利口酒; 果酒（含酒精）</t>
    </r>
  </si>
  <si>
    <t>翰月楼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</si>
  <si>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米酒</t>
    </r>
  </si>
  <si>
    <r>
      <t>沁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</si>
  <si>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</si>
  <si>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史子园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</si>
  <si>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镇轿顶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</si>
  <si>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高粱酒</t>
    </r>
  </si>
  <si>
    <r>
      <t>琥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依</t>
    </r>
  </si>
  <si>
    <r>
      <t>北京三隅文化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</si>
  <si>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青稞酒;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烈酒; 伏特加酒</t>
    </r>
  </si>
  <si>
    <t>山居冠旦</t>
  </si>
  <si>
    <r>
      <t>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医工（天津）科技有限公司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</si>
  <si>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黄酒; 白酒; 利口酒; 米酒</t>
    </r>
  </si>
  <si>
    <t>朱家巷</t>
  </si>
  <si>
    <r>
      <t>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</si>
  <si>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天衡宝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</si>
  <si>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</si>
  <si>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r>
      <t>薰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</si>
  <si>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薰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酒造株式会社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</si>
  <si>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</t>
    </r>
  </si>
  <si>
    <t>甄潭酒庄</t>
  </si>
  <si>
    <r>
      <t>果酒（含酒精）; 苹果酒; 露酒;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</si>
  <si>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甄潭荣耀</t>
  </si>
  <si>
    <r>
      <t>餐后酒（利口酒和烈酒）;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</si>
  <si>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盛达</t>
    </r>
  </si>
  <si>
    <t>李景波</t>
  </si>
  <si>
    <r>
      <t>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清酒（日本米酒）</t>
    </r>
  </si>
  <si>
    <t>雪盒</t>
  </si>
  <si>
    <r>
      <t>中浦耐杯(北京)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</si>
  <si>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</si>
  <si>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t>薛冰高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</si>
  <si>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品食品有限公司</t>
    </r>
  </si>
  <si>
    <r>
      <t>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</si>
  <si>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百宝寨</t>
  </si>
  <si>
    <r>
      <t>天津晟焱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</si>
  <si>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果酒; 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</si>
  <si>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大福庄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</si>
  <si>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蒸煮提取物（利口酒和烈酒）;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</si>
  <si>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实</t>
    </r>
    <r>
      <rPr>
        <sz val="11"/>
        <color theme="1"/>
        <rFont val="ＭＳ Ｐゴシック"/>
        <family val="3"/>
        <charset val="128"/>
        <scheme val="minor"/>
      </rPr>
      <t>派</t>
    </r>
  </si>
  <si>
    <t>符雪敏</t>
  </si>
  <si>
    <t>甜酒; 葡萄酒; 开胃酒; 黄酒; 食用酒精; 果酒; 汽酒; 清酒; 白酒; 米酒</t>
  </si>
  <si>
    <t>GRACEMOON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</si>
  <si>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</si>
  <si>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梅酒; 清酒; 利口酒;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</si>
  <si>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</si>
  <si>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玲枝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</si>
  <si>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葡萄酒; 黄酒; 威士忌;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</si>
  <si>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特</t>
    </r>
  </si>
  <si>
    <t>郭波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</si>
  <si>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</si>
  <si>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农说</t>
    </r>
  </si>
  <si>
    <r>
      <t>北京皇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</si>
  <si>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苹果酒;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</si>
  <si>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LOVE NINETEEN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</si>
  <si>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</si>
  <si>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梨酒; 白酒;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</si>
  <si>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倡青国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</si>
  <si>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湖北倡青立体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</si>
  <si>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米酒; 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</si>
  <si>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云如故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</si>
  <si>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云科技有限公司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</si>
  <si>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清酒; 蒸煮提取物（利口酒和烈酒）; 果酒（含酒精）</t>
    </r>
  </si>
  <si>
    <r>
      <t>秉典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</si>
  <si>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惜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</si>
  <si>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清酒; 米酒;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</si>
  <si>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丘田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</si>
  <si>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庆华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资环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</si>
  <si>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</t>
    </r>
  </si>
  <si>
    <t>唯20古藤</t>
  </si>
  <si>
    <r>
      <t>烟台公全商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</si>
  <si>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混合威士忌酒;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</si>
  <si>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醉在阳</t>
  </si>
  <si>
    <r>
      <t>钟</t>
    </r>
    <r>
      <rPr>
        <sz val="11"/>
        <color theme="1"/>
        <rFont val="ＭＳ Ｐゴシック"/>
        <family val="3"/>
        <charset val="128"/>
        <scheme val="minor"/>
      </rPr>
      <t>水燕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</si>
  <si>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</si>
  <si>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厚彩</t>
  </si>
  <si>
    <r>
      <t>吴人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</si>
  <si>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果酒（含酒精）; 清酒（日本米酒）; 青稞酒;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</si>
  <si>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峡谷秋</t>
    </r>
    <r>
      <rPr>
        <sz val="11"/>
        <color theme="1"/>
        <rFont val="ＭＳ Ｐゴシック"/>
        <family val="3"/>
        <charset val="134"/>
        <scheme val="minor"/>
      </rPr>
      <t>实</t>
    </r>
  </si>
  <si>
    <t>恩施好莱滋食品有限公司</t>
  </si>
  <si>
    <r>
      <t xml:space="preserve">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苦味酒; 薄荷酒; 果酒（含酒精）; 茴芹酒（利口酒）; 开胃酒;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</si>
  <si>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立日</t>
    </r>
    <r>
      <rPr>
        <sz val="11"/>
        <color theme="1"/>
        <rFont val="ＭＳ Ｐゴシック"/>
        <family val="3"/>
        <charset val="134"/>
        <scheme val="minor"/>
      </rPr>
      <t>贠</t>
    </r>
  </si>
  <si>
    <t>晏林</t>
  </si>
  <si>
    <r>
      <t>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</si>
  <si>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海福地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</si>
  <si>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赢贤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（威海）有限公司</t>
    </r>
  </si>
  <si>
    <r>
      <t xml:space="preserve">露酒; 米酒; 高粱酒; 葡萄酒; 食用酒精;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</si>
  <si>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晋羡</t>
  </si>
  <si>
    <t>黄子鑫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</si>
  <si>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威士忌;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</si>
  <si>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老魏府御液</t>
  </si>
  <si>
    <r>
      <t>河北大唐魏征酒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</si>
  <si>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</si>
  <si>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香港制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堂有限公司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</si>
  <si>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麦芽威士忌; 朗姆酒;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甜酒; 开胃酒</t>
    </r>
  </si>
  <si>
    <t>戴小毛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</si>
  <si>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鑫和鑫酒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</si>
  <si>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</si>
  <si>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立刷</t>
  </si>
  <si>
    <r>
      <t>唐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</si>
  <si>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 xml:space="preserve">高粱酒;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葡萄酒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</si>
  <si>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宁省机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</si>
  <si>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</t>
    </r>
  </si>
  <si>
    <t>桑小恬</t>
  </si>
  <si>
    <r>
      <t>宝博洛集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</si>
  <si>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果酒（含酒精）; 米酒; 食用酒精</t>
    </r>
  </si>
  <si>
    <r>
      <t>盛生七宝</t>
    </r>
    <r>
      <rPr>
        <sz val="11"/>
        <color theme="1"/>
        <rFont val="ＭＳ Ｐゴシック"/>
        <family val="3"/>
        <charset val="134"/>
        <scheme val="minor"/>
      </rPr>
      <t>凤</t>
    </r>
  </si>
  <si>
    <t>香港盛生堂健康有限公司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</si>
  <si>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青梅酒; 露酒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</si>
  <si>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云永遇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</si>
  <si>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蒸煮提取物（利口酒和烈酒）;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</si>
  <si>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唯35古藤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</si>
  <si>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甜酒; 白葡萄酒;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加烈葡萄酒; 混合威士忌酒; 葡萄酒</t>
    </r>
  </si>
  <si>
    <r>
      <t>秉池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</si>
  <si>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麦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雁</t>
    </r>
  </si>
  <si>
    <r>
      <t>开胃酒; 清酒; 葡萄酒; 烈酒;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</si>
  <si>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纳维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</si>
  <si>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纳维</t>
    </r>
    <r>
      <rPr>
        <sz val="11"/>
        <color theme="1"/>
        <rFont val="ＭＳ Ｐゴシック"/>
        <family val="3"/>
        <charset val="128"/>
        <scheme val="minor"/>
      </rPr>
      <t>大健康管理有限公司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</si>
  <si>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苹果酒; 白酒</t>
    </r>
  </si>
  <si>
    <t>宗晋台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</si>
  <si>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</si>
  <si>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元宝山</t>
  </si>
  <si>
    <r>
      <t>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</si>
  <si>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加德琳</t>
  </si>
  <si>
    <t>揭阳市博森斯科技有限公司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</si>
  <si>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</si>
  <si>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甄潭春</t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</si>
  <si>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苹果酒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</si>
  <si>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</si>
  <si>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蜂蜜酒; 威士忌; 白酒</t>
    </r>
  </si>
  <si>
    <t>粮家班</t>
  </si>
  <si>
    <r>
      <t>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</si>
  <si>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</si>
  <si>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玄成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</si>
  <si>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</si>
  <si>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额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</si>
  <si>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青海</t>
    </r>
    <r>
      <rPr>
        <sz val="11"/>
        <color theme="1"/>
        <rFont val="ＭＳ Ｐゴシック"/>
        <family val="3"/>
        <charset val="134"/>
        <scheme val="minor"/>
      </rPr>
      <t>额</t>
    </r>
    <r>
      <rPr>
        <sz val="11"/>
        <color theme="1"/>
        <rFont val="ＭＳ Ｐゴシック"/>
        <family val="3"/>
        <charset val="128"/>
        <scheme val="minor"/>
      </rPr>
      <t>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</si>
  <si>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米酒; 白酒; 果酒;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</si>
  <si>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小姐</t>
    </r>
  </si>
  <si>
    <r>
      <t>平潭翔洲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</si>
  <si>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蜂蜜酒; 白酒; 果酒; 葡萄酒;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</si>
  <si>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馗大咖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</si>
  <si>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州左藏酒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</si>
  <si>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烈性干酒;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</si>
  <si>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庭坦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</si>
  <si>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烈性干酒; 烈酒; 高粱酒; 米酒</t>
    </r>
  </si>
  <si>
    <r>
      <t>么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蜜</t>
    </r>
    <r>
      <rPr>
        <sz val="11"/>
        <color theme="1"/>
        <rFont val="ＭＳ Ｐゴシック"/>
        <family val="3"/>
        <charset val="134"/>
        <scheme val="minor"/>
      </rPr>
      <t>见</t>
    </r>
  </si>
  <si>
    <t>葛然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</si>
  <si>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</si>
  <si>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食德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</si>
  <si>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食德品牌管理有限公司</t>
    </r>
  </si>
  <si>
    <r>
      <t xml:space="preserve">烈酒; 白酒; 高粱酒; 甜酒; 黄酒;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</si>
  <si>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厚生慧</t>
  </si>
  <si>
    <r>
      <t>浙江大厚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</si>
  <si>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 xml:space="preserve">白酒; 汽酒;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青稞酒</t>
    </r>
  </si>
  <si>
    <t>邯行天下</t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</si>
  <si>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</si>
  <si>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俯天地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</si>
  <si>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省广生惠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</si>
  <si>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</si>
  <si>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潮翊</t>
  </si>
  <si>
    <r>
      <t>朗姆酒; 葡萄酒; 米酒;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</si>
  <si>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遵匠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</si>
  <si>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黄酒;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米酒</t>
    </r>
  </si>
  <si>
    <t>邹发财</t>
  </si>
  <si>
    <r>
      <t>邹</t>
    </r>
    <r>
      <rPr>
        <sz val="11"/>
        <color theme="1"/>
        <rFont val="ＭＳ Ｐゴシック"/>
        <family val="3"/>
        <charset val="128"/>
        <scheme val="minor"/>
      </rPr>
      <t>厚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</si>
  <si>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</si>
  <si>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行天下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</si>
  <si>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梨酒;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</si>
  <si>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大巷7号 N/7</t>
  </si>
  <si>
    <r>
      <t>倪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</si>
  <si>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威士忌; 葡萄酒</t>
    </r>
  </si>
  <si>
    <r>
      <t>张红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</si>
  <si>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 xml:space="preserve">蜂蜜酒; 清酒;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果酒（含酒精）; 葡萄酒; 高粱酒; 白酒; 青稞酒</t>
    </r>
  </si>
  <si>
    <r>
      <t>葡萄酒; 利口酒; 蜂蜜酒;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</si>
  <si>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猕乐</t>
    </r>
    <r>
      <rPr>
        <sz val="11"/>
        <color theme="1"/>
        <rFont val="ＭＳ Ｐゴシック"/>
        <family val="3"/>
        <charset val="128"/>
        <scheme val="minor"/>
      </rPr>
      <t>果</t>
    </r>
  </si>
  <si>
    <r>
      <t>湖南洪塘生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</si>
  <si>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果酒（含酒精）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</si>
  <si>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芮</t>
    </r>
  </si>
  <si>
    <t>深圳突破者科技有限公司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</si>
  <si>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黄酒; 白酒; 清酒</t>
    </r>
  </si>
  <si>
    <t>宴金禧</t>
  </si>
  <si>
    <t>王立新</t>
  </si>
  <si>
    <r>
      <t xml:space="preserve">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</t>
    </r>
  </si>
  <si>
    <t>莱客多</t>
  </si>
  <si>
    <r>
      <t>莱客多食品科技重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</si>
  <si>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</t>
    </r>
  </si>
  <si>
    <t>XIN AO DI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</si>
  <si>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伏特加酒; 米酒</t>
    </r>
  </si>
  <si>
    <r>
      <t>葉定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</si>
  <si>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惠州鹿途文化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</si>
  <si>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</si>
  <si>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家宴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</si>
  <si>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荣幸</t>
    </r>
  </si>
  <si>
    <r>
      <t xml:space="preserve">果酒（含酒精）; 米酒;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食用酒精</t>
    </r>
  </si>
  <si>
    <t>七里春</t>
  </si>
  <si>
    <t>黄有生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</si>
  <si>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</si>
  <si>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健中家合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</si>
  <si>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河南家合</t>
    </r>
    <r>
      <rPr>
        <sz val="11"/>
        <color theme="1"/>
        <rFont val="ＭＳ Ｐゴシック"/>
        <family val="3"/>
        <charset val="134"/>
        <scheme val="minor"/>
      </rPr>
      <t>鲜农业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</si>
  <si>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葡萄酒; 利口酒; 食用酒精;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</si>
  <si>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寅德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</si>
  <si>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莞市寅德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</si>
  <si>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威士忌</t>
    </r>
  </si>
  <si>
    <t>上清静</t>
  </si>
  <si>
    <r>
      <t>洛阳和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心舍文化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</si>
  <si>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米酒; 高粱酒; 蝮蛇酒; 烈酒;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</si>
  <si>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州一合酒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</si>
  <si>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黄酒;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</si>
  <si>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璀璨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</si>
  <si>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</si>
  <si>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威士忌;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</si>
  <si>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杏仙梦</t>
  </si>
  <si>
    <r>
      <t>山西清花晋昇源酒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</si>
  <si>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烈酒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</si>
  <si>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英雄</t>
    </r>
  </si>
  <si>
    <r>
      <t>上海最安健康管理咨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</si>
  <si>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威士忌;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清酒（日本米酒）</t>
    </r>
  </si>
  <si>
    <t>EVER RED 安菲格</t>
  </si>
  <si>
    <r>
      <t>圆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食品（上海）有限公司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</si>
  <si>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葡萄酒;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</si>
  <si>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槟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</si>
  <si>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槟</t>
    </r>
    <r>
      <rPr>
        <sz val="11"/>
        <color theme="1"/>
        <rFont val="ＭＳ Ｐゴシック"/>
        <family val="3"/>
        <charset val="128"/>
        <scheme val="minor"/>
      </rPr>
      <t>客文化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</si>
  <si>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</si>
  <si>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峥嵘</t>
    </r>
    <r>
      <rPr>
        <sz val="11"/>
        <color theme="1"/>
        <rFont val="ＭＳ Ｐゴシック"/>
        <family val="3"/>
        <charset val="128"/>
        <scheme val="minor"/>
      </rPr>
      <t>梦</t>
    </r>
  </si>
  <si>
    <t>刘伊然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</si>
  <si>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汽酒;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</si>
  <si>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靓虾</t>
    </r>
    <r>
      <rPr>
        <sz val="11"/>
        <color theme="1"/>
        <rFont val="ＭＳ Ｐゴシック"/>
        <family val="3"/>
        <charset val="128"/>
        <scheme val="minor"/>
      </rPr>
      <t>二哥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</si>
  <si>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靓虾</t>
    </r>
    <r>
      <rPr>
        <sz val="11"/>
        <color theme="1"/>
        <rFont val="ＭＳ Ｐゴシック"/>
        <family val="3"/>
        <charset val="128"/>
        <scheme val="minor"/>
      </rPr>
      <t>二哥餐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</si>
  <si>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</si>
  <si>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晋豫成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</si>
  <si>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晋豫成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</si>
  <si>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</t>
    </r>
  </si>
  <si>
    <t>京院</t>
  </si>
  <si>
    <r>
      <t>北京众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</si>
  <si>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米酒; 黄酒</t>
    </r>
  </si>
  <si>
    <r>
      <t>爱兰</t>
    </r>
    <r>
      <rPr>
        <sz val="11"/>
        <color theme="1"/>
        <rFont val="ＭＳ Ｐゴシック"/>
        <family val="3"/>
        <charset val="128"/>
        <scheme val="minor"/>
      </rPr>
      <t>迪卡 ELANDICA</t>
    </r>
  </si>
  <si>
    <r>
      <t>兄弟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易（深圳）有限公司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</si>
  <si>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</si>
  <si>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IMIQING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</si>
  <si>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露酒;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</si>
  <si>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碗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</si>
  <si>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</si>
  <si>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 xml:space="preserve">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</si>
  <si>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上海久事演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</si>
  <si>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</si>
  <si>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郁瑶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</si>
  <si>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</si>
  <si>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开胃酒; 葡萄酒; 利口酒; 白酒; 青稞酒; 甜酒; 水果汽酒;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</si>
  <si>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豫大牛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</si>
  <si>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谋创</t>
    </r>
    <r>
      <rPr>
        <sz val="11"/>
        <color theme="1"/>
        <rFont val="ＭＳ Ｐゴシック"/>
        <family val="3"/>
        <charset val="128"/>
        <scheme val="minor"/>
      </rPr>
      <t>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</si>
  <si>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食用酒精;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</si>
  <si>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谷愿望</t>
  </si>
  <si>
    <t>成都雪蓉食品科技有限公司</t>
  </si>
  <si>
    <r>
      <t>米酒;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</si>
  <si>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润东</t>
    </r>
  </si>
  <si>
    <r>
      <t>鞭策酒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展（广州）有限公司</t>
    </r>
  </si>
  <si>
    <r>
      <t xml:space="preserve">白酒; 葡萄酒;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</si>
  <si>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饶乡</t>
    </r>
    <r>
      <rPr>
        <sz val="11"/>
        <color theme="1"/>
        <rFont val="ＭＳ Ｐゴシック"/>
        <family val="3"/>
        <charset val="128"/>
        <scheme val="minor"/>
      </rPr>
      <t>韵</t>
    </r>
  </si>
  <si>
    <t>魏欣</t>
  </si>
  <si>
    <r>
      <t>甜酒; 蜂蜜酒; 开胃酒; 茴芹酒（利口酒）;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黄酒; 米酒</t>
    </r>
  </si>
  <si>
    <t>丙中光合落</t>
  </si>
  <si>
    <r>
      <t>上海曦典文化旅游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</si>
  <si>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利口酒;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</si>
  <si>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古月泠韵</t>
  </si>
  <si>
    <t>曹燕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</si>
  <si>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果酒（含酒精）; 高粱酒; 梨酒; 威士忌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</si>
  <si>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江老尊</t>
    </r>
  </si>
  <si>
    <r>
      <t>陈剑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</si>
  <si>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果酒; 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</si>
  <si>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盛三分</t>
    </r>
  </si>
  <si>
    <r>
      <t>山西汾老大酒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</si>
  <si>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葡萄酒; 果酒（含酒精）; 米酒; 黄酒; 梅酒; 高粱酒</t>
    </r>
  </si>
  <si>
    <t>江泉宏</t>
  </si>
  <si>
    <r>
      <t>江西江泉宏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</si>
  <si>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</t>
    </r>
  </si>
  <si>
    <t>白云礼悦</t>
  </si>
  <si>
    <r>
      <t>新昌白云人家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品配送服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</si>
  <si>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</si>
  <si>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德琦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</si>
  <si>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倪德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</si>
  <si>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</si>
  <si>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渝百草</t>
  </si>
  <si>
    <r>
      <t>渝百草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</si>
  <si>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</si>
  <si>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乐动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</si>
  <si>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中山市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</si>
  <si>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黄酒</t>
    </r>
  </si>
  <si>
    <t>逍竹林</t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</si>
  <si>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甜果酒; 清酒;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</si>
  <si>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梵又</t>
  </si>
  <si>
    <r>
      <t>湖南国大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茶叶技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研究院有限公司</t>
    </r>
  </si>
  <si>
    <r>
      <t xml:space="preserve">青稞酒; 黄酒; 葡萄酒;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</si>
  <si>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t>猪旺福</t>
  </si>
  <si>
    <r>
      <t>陆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县兴凤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</si>
  <si>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</si>
  <si>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鹿寿臣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</si>
  <si>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麦瑟威酒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</si>
  <si>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</si>
  <si>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晋香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</si>
  <si>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尹耀春酒水有限公司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</si>
  <si>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</si>
  <si>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稷昌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</si>
  <si>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四川高旺科技集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</si>
  <si>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</si>
  <si>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绩忆</t>
  </si>
  <si>
    <r>
      <t>天津瀚程国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</si>
  <si>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黄酒; 白酒; 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汽酒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</si>
  <si>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</si>
  <si>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</si>
  <si>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花渊</t>
    </r>
  </si>
  <si>
    <r>
      <t>靳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</si>
  <si>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伏特加酒; 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开胃酒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</si>
  <si>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泷</t>
    </r>
  </si>
  <si>
    <r>
      <t>上海墨</t>
    </r>
    <r>
      <rPr>
        <sz val="11"/>
        <color theme="1"/>
        <rFont val="ＭＳ Ｐゴシック"/>
        <family val="3"/>
        <charset val="134"/>
        <scheme val="minor"/>
      </rPr>
      <t>泷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</si>
  <si>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</si>
  <si>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EGOWILL</t>
  </si>
  <si>
    <r>
      <t>北京高伊高服装商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</si>
  <si>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开胃酒; 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</si>
  <si>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瓦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</si>
  <si>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温州瓦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家品牌管理有限公司</t>
    </r>
  </si>
  <si>
    <r>
      <t xml:space="preserve">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</si>
  <si>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云上山礼山外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</si>
  <si>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州山鼎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</si>
  <si>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</si>
  <si>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粤兆昌</t>
  </si>
  <si>
    <r>
      <t>阳江市粤兆昌酒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</si>
  <si>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</si>
  <si>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德商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采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</si>
  <si>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德商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采企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</si>
  <si>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开胃酒;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</si>
  <si>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胐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</si>
  <si>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昆明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野科技有限公司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</si>
  <si>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</si>
  <si>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京全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</si>
  <si>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开封德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</si>
  <si>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</si>
  <si>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伏特加酒; 果酒（含酒精）; 利口酒</t>
    </r>
  </si>
  <si>
    <t>曲震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</si>
  <si>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宁隆欣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</si>
  <si>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汽酒; 白酒; 黄酒; 葡萄酒</t>
    </r>
  </si>
  <si>
    <t>将渊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</si>
  <si>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州金慎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</si>
  <si>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果酒; 葡萄酒;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</si>
  <si>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四季坐</t>
    </r>
    <r>
      <rPr>
        <sz val="11"/>
        <color theme="1"/>
        <rFont val="ＭＳ Ｐゴシック"/>
        <family val="3"/>
        <charset val="134"/>
        <scheme val="minor"/>
      </rPr>
      <t>标</t>
    </r>
  </si>
  <si>
    <t>符宝灵</t>
  </si>
  <si>
    <t>开胃酒; 清酒; 甜酒; 米酒; 果酒; 黄酒; 汽酒; 白酒; 葡萄酒; 食用酒精</t>
  </si>
  <si>
    <t>福巳</t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</si>
  <si>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烈酒; 威士忌</t>
    </r>
  </si>
  <si>
    <t>鼎峪河</t>
  </si>
  <si>
    <t>陶健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</si>
  <si>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</t>
    </r>
  </si>
  <si>
    <t>干沟渊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</si>
  <si>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紫藤食品有限公司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</si>
  <si>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高粱酒; 果酒（含酒精）; 白干酒（中国白酒）; 开胃酒; 甜酒;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</si>
  <si>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慕皖森</t>
  </si>
  <si>
    <r>
      <t>程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</si>
  <si>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</si>
  <si>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氿氿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</si>
  <si>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霍牡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</si>
  <si>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露酒; 食用酒精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</si>
  <si>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宏康</t>
    </r>
  </si>
  <si>
    <r>
      <t>杭州正清源网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</si>
  <si>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清酒;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高粱酒; 烈酒; 米酒</t>
    </r>
  </si>
  <si>
    <t>鈊魅力</t>
  </si>
  <si>
    <r>
      <t>抚顺</t>
    </r>
    <r>
      <rPr>
        <sz val="11"/>
        <color theme="1"/>
        <rFont val="ＭＳ Ｐゴシック"/>
        <family val="3"/>
        <charset val="128"/>
        <scheme val="minor"/>
      </rPr>
      <t>鈊魅力网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</si>
  <si>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开胃酒;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</si>
  <si>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北咖</t>
  </si>
  <si>
    <r>
      <t>宁安市</t>
    </r>
    <r>
      <rPr>
        <sz val="11"/>
        <color theme="1"/>
        <rFont val="ＭＳ Ｐゴシック"/>
        <family val="3"/>
        <charset val="134"/>
        <scheme val="minor"/>
      </rPr>
      <t>悯农农业发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</si>
  <si>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伏特加酒</t>
    </r>
  </si>
  <si>
    <t>尉然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</si>
  <si>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泉康酒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</si>
  <si>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蜂蜜酒;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</si>
  <si>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翊德</t>
    </r>
  </si>
  <si>
    <r>
      <t>云南滇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翊德数字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</si>
  <si>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</si>
  <si>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晋鼎天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</si>
  <si>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</si>
  <si>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龙驹</t>
    </r>
    <r>
      <rPr>
        <sz val="11"/>
        <color theme="1"/>
        <rFont val="ＭＳ Ｐゴシック"/>
        <family val="3"/>
        <charset val="128"/>
        <scheme val="minor"/>
      </rPr>
      <t>寨在水一方</t>
    </r>
  </si>
  <si>
    <r>
      <t xml:space="preserve">黄酒; 清酒（日本米酒）;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</si>
  <si>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</si>
  <si>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口北方天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</si>
  <si>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高粱酒;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白酒; 米酒</t>
    </r>
  </si>
  <si>
    <r>
      <t>大卿山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</si>
  <si>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州百里杜</t>
    </r>
    <r>
      <rPr>
        <sz val="11"/>
        <color theme="1"/>
        <rFont val="ＭＳ Ｐゴシック"/>
        <family val="3"/>
        <charset val="134"/>
        <scheme val="minor"/>
      </rPr>
      <t>鹃</t>
    </r>
    <r>
      <rPr>
        <sz val="11"/>
        <color theme="1"/>
        <rFont val="ＭＳ Ｐゴシック"/>
        <family val="3"/>
        <charset val="128"/>
        <scheme val="minor"/>
      </rPr>
      <t>大卿山酒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</si>
  <si>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梨酒; 米酒; 白酒;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茴香酒（利口酒）; 苹果酒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</si>
  <si>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芮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</si>
  <si>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简乐贸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</si>
  <si>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清酒; 米酒; 蒸煮提取物（利口酒和烈酒）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</si>
  <si>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水到府</t>
    </r>
  </si>
  <si>
    <t>吴斌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</si>
  <si>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黄酒; 开胃酒; 葡萄酒</t>
    </r>
  </si>
  <si>
    <t>金之禧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</si>
  <si>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青稞酒; 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</si>
  <si>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宸</t>
    </r>
    <r>
      <rPr>
        <sz val="11"/>
        <color theme="1"/>
        <rFont val="ＭＳ Ｐゴシック"/>
        <family val="3"/>
        <charset val="134"/>
        <scheme val="minor"/>
      </rPr>
      <t>颢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</si>
  <si>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成都宸睿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博科技有限公司</t>
    </r>
  </si>
  <si>
    <r>
      <t>清酒（日本米酒）; 黄酒; 开胃酒;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</si>
  <si>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樽守</t>
  </si>
  <si>
    <r>
      <t>陈</t>
    </r>
    <r>
      <rPr>
        <sz val="11"/>
        <color theme="1"/>
        <rFont val="ＭＳ Ｐゴシック"/>
        <family val="3"/>
        <charset val="128"/>
        <scheme val="minor"/>
      </rPr>
      <t>静怡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</si>
  <si>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汽酒;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</si>
  <si>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龙钻</t>
  </si>
  <si>
    <t>高俊恩</t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</si>
  <si>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</si>
  <si>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江桃花源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</si>
  <si>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火餐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</si>
  <si>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</si>
  <si>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蒲翁</t>
  </si>
  <si>
    <r>
      <t>董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</si>
  <si>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果酒（含酒精）;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</si>
  <si>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</si>
  <si>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茴香酒（利口酒）; 米酒</t>
    </r>
  </si>
  <si>
    <t>圳得圳</t>
  </si>
  <si>
    <r>
      <t>康吉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</si>
  <si>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白干酒（中国白酒）;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</si>
  <si>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京祥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</si>
  <si>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汽酒; 葡萄酒; 清酒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</si>
  <si>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九朝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</si>
  <si>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</si>
  <si>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父</t>
    </r>
  </si>
  <si>
    <t>王文君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</si>
  <si>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青稞酒;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</si>
  <si>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阿秀秀（武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</si>
  <si>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果酒（含酒精）;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苦味酒</t>
    </r>
  </si>
  <si>
    <t>谭队长</t>
  </si>
  <si>
    <t>林蕊</t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</si>
  <si>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麦芽威士忌;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梅酒</t>
    </r>
  </si>
  <si>
    <r>
      <t>龙腾</t>
    </r>
    <r>
      <rPr>
        <sz val="11"/>
        <color theme="1"/>
        <rFont val="ＭＳ Ｐゴシック"/>
        <family val="3"/>
        <charset val="128"/>
        <scheme val="minor"/>
      </rPr>
      <t>三湘</t>
    </r>
  </si>
  <si>
    <r>
      <t>姜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</si>
  <si>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果酒（含酒精）; 米酒; 蜂蜜酒;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</si>
  <si>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虎城烽火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</si>
  <si>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州杏仁桉商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</si>
  <si>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白酒</t>
    </r>
  </si>
  <si>
    <t>弓丁</t>
  </si>
  <si>
    <t>深圳市益万信科技有限公司</t>
  </si>
  <si>
    <r>
      <t>清酒（日本米酒）;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开胃酒; 米酒;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</si>
  <si>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越影清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</si>
  <si>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杨飞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</si>
  <si>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</si>
  <si>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火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</si>
  <si>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</si>
  <si>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进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伍柒</t>
    </r>
  </si>
  <si>
    <t>王嘉琪</t>
  </si>
  <si>
    <r>
      <t>葡萄酒;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</si>
  <si>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丹甘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露</t>
    </r>
  </si>
  <si>
    <t>中投芳源（北京）教育科技有限公司</t>
  </si>
  <si>
    <r>
      <t>米酒; 葡萄酒; 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</si>
  <si>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t>皇金翰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</si>
  <si>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盛依翰商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</si>
  <si>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</si>
  <si>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r>
      <t>彼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河伴</t>
    </r>
  </si>
  <si>
    <r>
      <t>河口瑶族自治</t>
    </r>
    <r>
      <rPr>
        <sz val="11"/>
        <color theme="1"/>
        <rFont val="ＭＳ Ｐゴシック"/>
        <family val="3"/>
        <charset val="134"/>
        <scheme val="minor"/>
      </rPr>
      <t>县边</t>
    </r>
    <r>
      <rPr>
        <sz val="11"/>
        <color theme="1"/>
        <rFont val="ＭＳ Ｐゴシック"/>
        <family val="3"/>
        <charset val="128"/>
        <scheme val="minor"/>
      </rPr>
      <t>民互市服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</si>
  <si>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米酒; 果酒; 高粱酒; 白酒; 白干酒（中国白酒）;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烈性干酒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</si>
  <si>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</si>
  <si>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吉林省有运因私出入境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</si>
  <si>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梨酒; 威士忌;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白酒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</si>
  <si>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缘</t>
    </r>
  </si>
  <si>
    <t>李志梅</t>
  </si>
  <si>
    <r>
      <t>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清酒</t>
    </r>
  </si>
  <si>
    <t>梦幻仲夏 DREAMZOSUN</t>
  </si>
  <si>
    <t>刘蓬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</si>
  <si>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威士忌; 开胃酒; 烈酒; 清酒（日本米酒）; 白酒; 果酒（含酒精）</t>
    </r>
  </si>
  <si>
    <r>
      <t>占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</si>
  <si>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</si>
  <si>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鸽</t>
    </r>
    <r>
      <rPr>
        <sz val="11"/>
        <color theme="1"/>
        <rFont val="ＭＳ Ｐゴシック"/>
        <family val="3"/>
        <charset val="128"/>
        <scheme val="minor"/>
      </rPr>
      <t>运恒通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</si>
  <si>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鸽庆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</si>
  <si>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苹果酒; 露酒</t>
    </r>
  </si>
  <si>
    <r>
      <t>腓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</si>
  <si>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</si>
  <si>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健养全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</si>
  <si>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奇果恋</t>
    </r>
    <r>
      <rPr>
        <sz val="11"/>
        <color theme="1"/>
        <rFont val="ＭＳ Ｐゴシック"/>
        <family val="3"/>
        <charset val="134"/>
        <scheme val="minor"/>
      </rPr>
      <t>栈</t>
    </r>
    <r>
      <rPr>
        <sz val="11"/>
        <color theme="1"/>
        <rFont val="ＭＳ Ｐゴシック"/>
        <family val="3"/>
        <charset val="128"/>
        <scheme val="minor"/>
      </rPr>
      <t>酒水有限公司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</si>
  <si>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</si>
  <si>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隋的天空</t>
  </si>
  <si>
    <t>隋金福</t>
  </si>
  <si>
    <r>
      <t>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</si>
  <si>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白云姥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</si>
  <si>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米酒;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</si>
  <si>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泥富宴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</si>
  <si>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恩柱</t>
    </r>
  </si>
  <si>
    <r>
      <t>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果酒; 高粱酒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</si>
  <si>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三秋</t>
    </r>
  </si>
  <si>
    <r>
      <t>花溪区</t>
    </r>
    <r>
      <rPr>
        <sz val="11"/>
        <color theme="1"/>
        <rFont val="ＭＳ Ｐゴシック"/>
        <family val="3"/>
        <charset val="134"/>
        <scheme val="minor"/>
      </rPr>
      <t>邓师</t>
    </r>
    <r>
      <rPr>
        <sz val="11"/>
        <color theme="1"/>
        <rFont val="ＭＳ Ｐゴシック"/>
        <family val="3"/>
        <charset val="128"/>
        <scheme val="minor"/>
      </rPr>
      <t>傅</t>
    </r>
    <r>
      <rPr>
        <sz val="11"/>
        <color theme="1"/>
        <rFont val="ＭＳ Ｐゴシック"/>
        <family val="3"/>
        <charset val="134"/>
        <scheme val="minor"/>
      </rPr>
      <t>纯酿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</si>
  <si>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果酒</t>
    </r>
  </si>
  <si>
    <t>吉坊富所</t>
  </si>
  <si>
    <r>
      <t>冯</t>
    </r>
    <r>
      <rPr>
        <sz val="11"/>
        <color theme="1"/>
        <rFont val="ＭＳ Ｐゴシック"/>
        <family val="3"/>
        <charset val="128"/>
        <scheme val="minor"/>
      </rPr>
      <t>文俊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</si>
  <si>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</si>
  <si>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绣</t>
    </r>
    <r>
      <rPr>
        <sz val="11"/>
        <color theme="1"/>
        <rFont val="ＭＳ Ｐゴシック"/>
        <family val="3"/>
        <charset val="128"/>
        <scheme val="minor"/>
      </rPr>
      <t>意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</si>
  <si>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成丞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</si>
  <si>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朗姆酒; 开胃酒; 米酒; 果酒（含酒精）;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</si>
  <si>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鸽庆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</si>
  <si>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露酒; 苹果酒; 果酒（含酒精）</t>
    </r>
  </si>
  <si>
    <r>
      <t>胭脂山小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</si>
  <si>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山白鹿茗源茶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</si>
  <si>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</si>
  <si>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州山里</t>
    </r>
    <r>
      <rPr>
        <sz val="11"/>
        <color theme="1"/>
        <rFont val="ＭＳ Ｐゴシック"/>
        <family val="3"/>
        <charset val="134"/>
        <scheme val="minor"/>
      </rPr>
      <t>捞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</si>
  <si>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</si>
  <si>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暖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</si>
  <si>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彦玲</t>
    </r>
  </si>
  <si>
    <r>
      <t>高粱酒;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</si>
  <si>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皆佳</t>
  </si>
  <si>
    <r>
      <t>广州皆佳商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</si>
  <si>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混合威士忌酒; 开胃酒;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</si>
  <si>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有兮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</si>
  <si>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沙像素壹佰教育科技有限公司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</si>
  <si>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</si>
  <si>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祁韵堂</t>
  </si>
  <si>
    <r>
      <t>唐河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香珍坊酒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</si>
  <si>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</si>
  <si>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粮翁</t>
    </r>
  </si>
  <si>
    <t>邸敬如</t>
  </si>
  <si>
    <r>
      <t>清酒（日本米酒）;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</si>
  <si>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伊今伴</t>
  </si>
  <si>
    <r>
      <t>保定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棠箱包有限公司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</si>
  <si>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</si>
  <si>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之派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</si>
  <si>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威士忌</t>
    </r>
  </si>
  <si>
    <r>
      <t>岩笙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谷</t>
    </r>
  </si>
  <si>
    <t>谢鹏飞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</si>
  <si>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苹果酒; 苦味酒; 蜂蜜酒; 威士忌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</si>
  <si>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</si>
  <si>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州丰兄酒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</si>
  <si>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苹果酒; 果酒（含酒精）</t>
    </r>
  </si>
  <si>
    <t>漠疆南</t>
  </si>
  <si>
    <t>朱崇春</t>
  </si>
  <si>
    <r>
      <t>葡萄酒; 白酒; 葡萄潘趣酒;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蜂蜜酒; 米酒; 开胃酒; 甜酒</t>
    </r>
  </si>
  <si>
    <r>
      <t>勐海阿摩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</si>
  <si>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苦味酒</t>
    </r>
  </si>
  <si>
    <t>蜀也</t>
  </si>
  <si>
    <r>
      <t>会理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邦主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</si>
  <si>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果酒（含酒精）; 高粱酒;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</si>
  <si>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</si>
  <si>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州市卡蒂城堡酒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</si>
  <si>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</si>
  <si>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蜀中南羌</t>
  </si>
  <si>
    <r>
      <t>戴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</si>
  <si>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</si>
  <si>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静</t>
    </r>
    <r>
      <rPr>
        <sz val="11"/>
        <color theme="1"/>
        <rFont val="ＭＳ Ｐゴシック"/>
        <family val="3"/>
        <charset val="134"/>
        <scheme val="minor"/>
      </rPr>
      <t>执</t>
    </r>
    <r>
      <rPr>
        <sz val="11"/>
        <color theme="1"/>
        <rFont val="ＭＳ Ｐゴシック"/>
        <family val="3"/>
        <charset val="128"/>
        <scheme val="minor"/>
      </rPr>
      <t>此笙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</si>
  <si>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沙蔚籽文化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</si>
  <si>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梅酒; 高粱酒; 果酒（含酒精）; 葡萄酒;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</si>
  <si>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万增鹿园</t>
  </si>
  <si>
    <r>
      <t>安阳</t>
    </r>
    <r>
      <rPr>
        <sz val="11"/>
        <color theme="1"/>
        <rFont val="ＭＳ Ｐゴシック"/>
        <family val="3"/>
        <charset val="134"/>
        <scheme val="minor"/>
      </rPr>
      <t>县伦</t>
    </r>
    <r>
      <rPr>
        <sz val="11"/>
        <color theme="1"/>
        <rFont val="ＭＳ Ｐゴシック"/>
        <family val="3"/>
        <charset val="128"/>
        <scheme val="minor"/>
      </rPr>
      <t>掌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杜家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万增养殖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</si>
  <si>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蝮蛇酒; 青梅酒; 含酒精的气泡水;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</si>
  <si>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董樾</t>
  </si>
  <si>
    <r>
      <t>山西宏</t>
    </r>
    <r>
      <rPr>
        <sz val="11"/>
        <color theme="1"/>
        <rFont val="ＭＳ Ｐゴシック"/>
        <family val="3"/>
        <charset val="134"/>
        <scheme val="minor"/>
      </rPr>
      <t>啸</t>
    </r>
    <r>
      <rPr>
        <sz val="11"/>
        <color theme="1"/>
        <rFont val="ＭＳ Ｐゴシック"/>
        <family val="3"/>
        <charset val="128"/>
        <scheme val="minor"/>
      </rPr>
      <t>建筑工程有限公司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</si>
  <si>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</si>
  <si>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r>
      <t>耕本味土菜</t>
    </r>
    <r>
      <rPr>
        <sz val="11"/>
        <color theme="1"/>
        <rFont val="ＭＳ Ｐゴシック"/>
        <family val="3"/>
        <charset val="134"/>
        <scheme val="minor"/>
      </rPr>
      <t>馆</t>
    </r>
  </si>
  <si>
    <t>熊淑民</t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</si>
  <si>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</si>
  <si>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阿惠妹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</si>
  <si>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州未加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</si>
  <si>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露酒; 黄酒; 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米酒</t>
    </r>
  </si>
  <si>
    <t>黔味隆</t>
  </si>
  <si>
    <r>
      <t>饰鱼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</si>
  <si>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</si>
  <si>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甲和宴鼎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</si>
  <si>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鼎恒商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</si>
  <si>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白酒; 黄酒;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</si>
  <si>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衡山圣</t>
  </si>
  <si>
    <r>
      <t>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</si>
  <si>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米酒;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</si>
  <si>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好苗子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</si>
  <si>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高粱酒; 果酒; 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</si>
  <si>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圣梵希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</si>
  <si>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方万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（深圳）生物科技有限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</si>
  <si>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日本梅子酒;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青梅酒</t>
    </r>
  </si>
  <si>
    <t>宁盟</t>
  </si>
  <si>
    <r>
      <t>银</t>
    </r>
    <r>
      <rPr>
        <sz val="11"/>
        <color theme="1"/>
        <rFont val="ＭＳ Ｐゴシック"/>
        <family val="3"/>
        <charset val="128"/>
        <scheme val="minor"/>
      </rPr>
      <t>川宁盟佳人酒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</si>
  <si>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青稞酒; 水果汽酒; 甜酒; 白酒; 葡萄酒; 露酒;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</si>
  <si>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梵帝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</si>
  <si>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水果汽酒; 果酒; 甜酒; 白酒; 露酒; 开胃酒; 葡萄酒; 利口酒</t>
    </r>
  </si>
  <si>
    <t>容章</t>
  </si>
  <si>
    <t>程天昊</t>
  </si>
  <si>
    <r>
      <t>烈酒;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威士忌; 高粱酒</t>
    </r>
  </si>
  <si>
    <t>DOMAINE VALJULIUS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</si>
  <si>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东飞</t>
    </r>
    <r>
      <rPr>
        <sz val="11"/>
        <color theme="1"/>
        <rFont val="ＭＳ Ｐゴシック"/>
        <family val="3"/>
        <charset val="128"/>
        <scheme val="minor"/>
      </rPr>
      <t>卓品牌管理有限公司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</si>
  <si>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</si>
  <si>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</si>
  <si>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蔡良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</si>
  <si>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 xml:space="preserve">果酒; 露酒; 清酒; 米酒; 开胃酒;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</si>
  <si>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素五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</si>
  <si>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天吉文旅（北京）有限公司</t>
    </r>
  </si>
  <si>
    <r>
      <t>白酒; 白干酒（中国白酒）; 青稞酒; 米酒;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高粱酒</t>
    </r>
  </si>
  <si>
    <t>梦四方</t>
  </si>
  <si>
    <t>孙飞</t>
  </si>
  <si>
    <r>
      <t>米酒; 葡萄酒;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</si>
  <si>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楚天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</si>
  <si>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湖北楚天香酒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</si>
  <si>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</si>
  <si>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倚天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·愈</t>
    </r>
  </si>
  <si>
    <t>佛山市中易堂健康管理有限公司</t>
  </si>
  <si>
    <r>
      <t>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威士忌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</si>
  <si>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</si>
  <si>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 xml:space="preserve">食用酒精; 黄酒;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</si>
  <si>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甲和焱鼎</t>
  </si>
  <si>
    <r>
      <t xml:space="preserve">米酒; 白酒; 葡萄酒; 高粱酒;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</si>
  <si>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效堂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</si>
  <si>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</si>
  <si>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太豫</t>
  </si>
  <si>
    <r>
      <t>天津市上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</si>
  <si>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米酒; 白酒; 烈酒</t>
    </r>
  </si>
  <si>
    <t>湘辣嫂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</si>
  <si>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</si>
  <si>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</si>
  <si>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灵韵天成</t>
  </si>
  <si>
    <t>徐靖</t>
  </si>
  <si>
    <r>
      <t xml:space="preserve">果酒（含酒精）; 食用酒精; 甜果酒;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</si>
  <si>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福家</t>
    </r>
    <r>
      <rPr>
        <sz val="11"/>
        <color theme="1"/>
        <rFont val="ＭＳ Ｐゴシック"/>
        <family val="3"/>
        <charset val="134"/>
        <scheme val="minor"/>
      </rPr>
      <t>汇</t>
    </r>
  </si>
  <si>
    <t>李学江</t>
  </si>
  <si>
    <r>
      <t>米酒;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</si>
  <si>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谷谷合</t>
  </si>
  <si>
    <t>吉林鑫泰高生物科技有限公司</t>
  </si>
  <si>
    <r>
      <t>葡萄酒; 米酒;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</si>
  <si>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极味亨</t>
  </si>
  <si>
    <r>
      <t>浙江云豹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</si>
  <si>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</si>
  <si>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</si>
  <si>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海南和木文化投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</si>
  <si>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</si>
  <si>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珈事</t>
  </si>
  <si>
    <r>
      <t>深圳市宝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</si>
  <si>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</si>
  <si>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蒂</t>
    </r>
    <r>
      <rPr>
        <sz val="11"/>
        <color theme="1"/>
        <rFont val="ＭＳ Ｐゴシック"/>
        <family val="3"/>
        <charset val="134"/>
        <scheme val="minor"/>
      </rPr>
      <t>爱侬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</si>
  <si>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瑞沃品牌管理有限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</si>
  <si>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梨酒; 苹果酒; 柑香酒; 黄酒;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</si>
  <si>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荩坛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</si>
  <si>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印玉</t>
    </r>
  </si>
  <si>
    <r>
      <t>果酒; 利口酒;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食用酒精; 葡萄酒</t>
    </r>
  </si>
  <si>
    <t>楠山舒苑</t>
  </si>
  <si>
    <r>
      <t>深圳市楠山小苑文化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</si>
  <si>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白酒; 果酒（含酒精）; 黄酒;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</si>
  <si>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兄雄</t>
  </si>
  <si>
    <t>和田三雄建筑有限公司</t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</si>
  <si>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黄酒; 水果汽酒; 果酒（含酒精）; 葡萄汽酒;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</si>
  <si>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在天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</si>
  <si>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米酒</t>
    </r>
  </si>
  <si>
    <t>珠崖瑞沉</t>
  </si>
  <si>
    <r>
      <t>海南金沉生香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</si>
  <si>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</si>
  <si>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宁盟佳人</t>
  </si>
  <si>
    <r>
      <t>果酒; 开胃酒;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水果汽酒; 露酒; 葡萄酒; 青稞酒</t>
    </r>
  </si>
  <si>
    <r>
      <t>景</t>
    </r>
    <r>
      <rPr>
        <sz val="11"/>
        <color theme="1"/>
        <rFont val="ＭＳ Ｐゴシック"/>
        <family val="3"/>
        <charset val="134"/>
        <scheme val="minor"/>
      </rPr>
      <t>鼋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</si>
  <si>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赫日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</si>
  <si>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威士忌</t>
    </r>
  </si>
  <si>
    <r>
      <t>晋山桓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</si>
  <si>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清香源住宿服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</si>
  <si>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烈酒</t>
    </r>
  </si>
  <si>
    <r>
      <t>彭大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</si>
  <si>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阳市蒸</t>
    </r>
    <r>
      <rPr>
        <sz val="11"/>
        <color theme="1"/>
        <rFont val="ＭＳ Ｐゴシック"/>
        <family val="3"/>
        <charset val="134"/>
        <scheme val="minor"/>
      </rPr>
      <t>浏记</t>
    </r>
    <r>
      <rPr>
        <sz val="11"/>
        <color theme="1"/>
        <rFont val="ＭＳ Ｐゴシック"/>
        <family val="3"/>
        <charset val="128"/>
        <scheme val="minor"/>
      </rPr>
      <t>蒸菜文化有限公司</t>
    </r>
  </si>
  <si>
    <r>
      <t>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甜酒; 白酒; 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</si>
  <si>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黔匠公</t>
  </si>
  <si>
    <t>王忠冬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</si>
  <si>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</si>
  <si>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潭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</si>
  <si>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诗颖</t>
    </r>
  </si>
  <si>
    <r>
      <t xml:space="preserve">烈酒; 清酒（日本米酒）; 果酒（含酒精）; 黄酒; 葡萄酒;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</t>
    </r>
  </si>
  <si>
    <t>丹彩伊</t>
  </si>
  <si>
    <r>
      <t>中阳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泰信印章科技有限公司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</si>
  <si>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露酒; 梨酒;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</si>
  <si>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</si>
  <si>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 xml:space="preserve">威士忌; 葡萄酒; 清酒（日本米酒）; 果酒（含酒精）;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茴香酒; 米酒; 黄酒</t>
    </r>
  </si>
  <si>
    <r>
      <t>托拉索企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</si>
  <si>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烈酒;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</si>
  <si>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晏州云鼎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</si>
  <si>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金樽月酒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</si>
  <si>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伏特加酒;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米酒; 食用酒精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</si>
  <si>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裕神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</si>
  <si>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东赛</t>
    </r>
    <r>
      <rPr>
        <sz val="11"/>
        <color theme="1"/>
        <rFont val="ＭＳ Ｐゴシック"/>
        <family val="3"/>
        <charset val="128"/>
        <scheme val="minor"/>
      </rPr>
      <t>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</si>
  <si>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</si>
  <si>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铜钹峦</t>
  </si>
  <si>
    <r>
      <t>上</t>
    </r>
    <r>
      <rPr>
        <sz val="11"/>
        <color theme="1"/>
        <rFont val="ＭＳ Ｐゴシック"/>
        <family val="3"/>
        <charset val="134"/>
        <scheme val="minor"/>
      </rPr>
      <t>饶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</si>
  <si>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清酒;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</si>
  <si>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五洲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</si>
  <si>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</si>
  <si>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艾</t>
    </r>
  </si>
  <si>
    <r>
      <t>双丰和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</si>
  <si>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利口酒</t>
    </r>
  </si>
  <si>
    <r>
      <t>海南山河云咨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</si>
  <si>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米酒; 甜酒; 黄酒; 葡萄酒;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</si>
  <si>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川邯</t>
  </si>
  <si>
    <r>
      <t>帅谋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</si>
  <si>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</si>
  <si>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秋雁羽茂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</si>
  <si>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食用酒精</t>
    </r>
  </si>
  <si>
    <t>恒之最</t>
  </si>
  <si>
    <t>徐超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</si>
  <si>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甜酒; 食用酒精;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</t>
    </r>
  </si>
  <si>
    <t>洎水丹川</t>
  </si>
  <si>
    <r>
      <t>晋城市青禾谷科技服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</si>
  <si>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白酒; 果酒（含酒精）</t>
    </r>
  </si>
  <si>
    <t>臻庭怡美</t>
  </si>
  <si>
    <r>
      <t>湖南臻庭怡美商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</si>
  <si>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</si>
  <si>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方物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</si>
  <si>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秋杰</t>
    </r>
  </si>
  <si>
    <r>
      <t>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白酒; 葡萄酒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</si>
  <si>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可</t>
    </r>
    <r>
      <rPr>
        <sz val="11"/>
        <color theme="1"/>
        <rFont val="ＭＳ Ｐゴシック"/>
        <family val="3"/>
        <charset val="134"/>
        <scheme val="minor"/>
      </rPr>
      <t>诗</t>
    </r>
  </si>
  <si>
    <t>曹孟雅</t>
  </si>
  <si>
    <r>
      <t xml:space="preserve">食用酒精; 果酒（含酒精）; 白酒;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</si>
  <si>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峰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九州</t>
    </r>
  </si>
  <si>
    <r>
      <t>山西杏香青花汾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</si>
  <si>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</si>
  <si>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曲盟</t>
  </si>
  <si>
    <r>
      <t>沈</t>
    </r>
    <r>
      <rPr>
        <sz val="11"/>
        <color theme="1"/>
        <rFont val="ＭＳ Ｐゴシック"/>
        <family val="3"/>
        <charset val="134"/>
        <scheme val="minor"/>
      </rPr>
      <t>艳红</t>
    </r>
  </si>
  <si>
    <r>
      <t>米酒;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</si>
  <si>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五粮酒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</si>
  <si>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</si>
  <si>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古北道</t>
  </si>
  <si>
    <r>
      <t>上海山合澎湃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</si>
  <si>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含酒精蛋奶酒;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</si>
  <si>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盈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</si>
  <si>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餐后酒（利口酒和烈酒）;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</si>
  <si>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裕四岳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</si>
  <si>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</si>
  <si>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合玉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</si>
  <si>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山西志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</si>
  <si>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白干酒（中国白酒）; 米酒; 白酒; 果酒（含酒精）; 黄酒; 葡萄酒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</si>
  <si>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祥永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</si>
  <si>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祥永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</si>
  <si>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</si>
  <si>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卒</t>
    </r>
  </si>
  <si>
    <r>
      <t>复酒酒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</si>
  <si>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苦味酒; 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</si>
  <si>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LAUBAAN</t>
  </si>
  <si>
    <t>丁炬</t>
  </si>
  <si>
    <r>
      <t>薄荷酒; 葡萄酒; 威士忌; 白干酒（中国白酒）;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</si>
  <si>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夏虫</t>
    </r>
    <r>
      <rPr>
        <sz val="11"/>
        <color theme="1"/>
        <rFont val="ＭＳ Ｐゴシック"/>
        <family val="3"/>
        <charset val="134"/>
        <scheme val="minor"/>
      </rPr>
      <t>唤</t>
    </r>
    <r>
      <rPr>
        <sz val="11"/>
        <color theme="1"/>
        <rFont val="ＭＳ Ｐゴシック"/>
        <family val="3"/>
        <charset val="128"/>
        <scheme val="minor"/>
      </rPr>
      <t>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</si>
  <si>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</si>
  <si>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深圳市仙之宝食品有限公司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</si>
  <si>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</si>
  <si>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春桃李开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</si>
  <si>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</si>
  <si>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春万象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</si>
  <si>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</si>
  <si>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申辰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</si>
  <si>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申辰（河南）能源开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</si>
  <si>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</si>
  <si>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</si>
  <si>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宁波良朋健康科技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</si>
  <si>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柑香酒;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开胃酒; 刺五加酒</t>
    </r>
  </si>
  <si>
    <r>
      <t>明月雪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</si>
  <si>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北京矩</t>
    </r>
    <r>
      <rPr>
        <sz val="11"/>
        <color theme="1"/>
        <rFont val="ＭＳ Ｐゴシック"/>
        <family val="3"/>
        <charset val="134"/>
        <scheme val="minor"/>
      </rPr>
      <t>阵</t>
    </r>
    <r>
      <rPr>
        <sz val="11"/>
        <color theme="1"/>
        <rFont val="ＭＳ Ｐゴシック"/>
        <family val="3"/>
        <charset val="128"/>
        <scheme val="minor"/>
      </rPr>
      <t>众合文化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</si>
  <si>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威士忌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</si>
  <si>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</si>
  <si>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盛参茸有限公司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</si>
  <si>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刺五加酒; 露酒; 高粱酒</t>
    </r>
  </si>
  <si>
    <r>
      <t>鹊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飞</t>
    </r>
  </si>
  <si>
    <t>季旭</t>
  </si>
  <si>
    <r>
      <t>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青稞酒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</si>
  <si>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板青春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</si>
  <si>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蜂蜜酒; 甜酒;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</si>
  <si>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健之佳医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</si>
  <si>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烈酒;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</si>
  <si>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谢啸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</si>
  <si>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州南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</si>
  <si>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</si>
  <si>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赫海云台</t>
    </r>
  </si>
  <si>
    <r>
      <t>威海三体鼎力供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</si>
  <si>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伏特加酒; 葡萄酒; 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</si>
  <si>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啖睒睒</t>
  </si>
  <si>
    <r>
      <t>浙江禾御康生物技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</si>
  <si>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</si>
  <si>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静阳</t>
    </r>
  </si>
  <si>
    <t>温州静阳科技有限公司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</si>
  <si>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</si>
  <si>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之箸</t>
    </r>
  </si>
  <si>
    <r>
      <t>浙江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</si>
  <si>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</si>
  <si>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晋仙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</si>
  <si>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</si>
  <si>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白酒; 黄酒; 葡萄酒; 烈酒; 威士忌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</si>
  <si>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穆</t>
    </r>
  </si>
  <si>
    <t>徐定坤</t>
  </si>
  <si>
    <t>白酒; 米酒; 葡萄酒; 黄酒; 清酒; 甜酒; 开胃酒; 汽酒; 食用酒精; 果酒</t>
  </si>
  <si>
    <r>
      <t>北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雁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</si>
  <si>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黄酒; 果酒</t>
    </r>
  </si>
  <si>
    <t>荔瑶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</si>
  <si>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州荔波富荔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</si>
  <si>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酸酒（低等葡萄酒）</t>
    </r>
  </si>
  <si>
    <r>
      <t>君祥燕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来</t>
    </r>
  </si>
  <si>
    <t>宁夏君祥葡萄酒庄有限公司</t>
  </si>
  <si>
    <r>
      <t>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</t>
    </r>
  </si>
  <si>
    <r>
      <t>跃龙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</si>
  <si>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鑫海源酒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</si>
  <si>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</si>
  <si>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妈</t>
    </r>
  </si>
  <si>
    <r>
      <t>湖南省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</si>
  <si>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开胃酒</t>
    </r>
  </si>
  <si>
    <t>深翠堂</t>
  </si>
  <si>
    <t>新化深翠堂科技有限公司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</si>
  <si>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</si>
  <si>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北吉雄</t>
  </si>
  <si>
    <r>
      <t>孙</t>
    </r>
    <r>
      <rPr>
        <sz val="11"/>
        <color theme="1"/>
        <rFont val="ＭＳ Ｐゴシック"/>
        <family val="3"/>
        <charset val="128"/>
        <scheme val="minor"/>
      </rPr>
      <t>大舟</t>
    </r>
  </si>
  <si>
    <r>
      <t>白酒; 黄酒; 米酒; 葡萄酒;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</si>
  <si>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媞</t>
    </r>
    <r>
      <rPr>
        <sz val="11"/>
        <color theme="1"/>
        <rFont val="ＭＳ Ｐゴシック"/>
        <family val="3"/>
        <charset val="134"/>
        <scheme val="minor"/>
      </rPr>
      <t>鸟</t>
    </r>
  </si>
  <si>
    <t>泉州豪朗科技有限公司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</si>
  <si>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威士忌</t>
    </r>
  </si>
  <si>
    <r>
      <t>含山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头镇张</t>
    </r>
    <r>
      <rPr>
        <sz val="11"/>
        <color theme="1"/>
        <rFont val="ＭＳ Ｐゴシック"/>
        <family val="3"/>
        <charset val="128"/>
        <scheme val="minor"/>
      </rPr>
      <t>正广酒窖（个体工商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</si>
  <si>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米酒;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</si>
  <si>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沙道金樽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</si>
  <si>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汽酒;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葡萄酒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</si>
  <si>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趣</t>
    </r>
  </si>
  <si>
    <t>四川省策熊科技有限公司</t>
  </si>
  <si>
    <r>
      <t>葡萄酒;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</si>
  <si>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左圣天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</si>
  <si>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佛山中</t>
    </r>
    <r>
      <rPr>
        <sz val="11"/>
        <color theme="1"/>
        <rFont val="ＭＳ Ｐゴシック"/>
        <family val="3"/>
        <charset val="134"/>
        <scheme val="minor"/>
      </rPr>
      <t>创华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</si>
  <si>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黄酒;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</si>
  <si>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千千桃小</t>
    </r>
    <r>
      <rPr>
        <sz val="11"/>
        <color theme="1"/>
        <rFont val="ＭＳ Ｐゴシック"/>
        <family val="3"/>
        <charset val="134"/>
        <scheme val="minor"/>
      </rPr>
      <t>锅锅</t>
    </r>
  </si>
  <si>
    <r>
      <t>深圳市野妹投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</si>
  <si>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薄荷酒;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葡萄酒; 苹果酒</t>
    </r>
  </si>
  <si>
    <r>
      <t>逆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</si>
  <si>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苹果酒;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</t>
    </r>
  </si>
  <si>
    <r>
      <t>获泽</t>
    </r>
    <r>
      <rPr>
        <sz val="11"/>
        <color theme="1"/>
        <rFont val="ＭＳ Ｐゴシック"/>
        <family val="3"/>
        <charset val="128"/>
        <scheme val="minor"/>
      </rPr>
      <t>河</t>
    </r>
  </si>
  <si>
    <t>吉建平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</si>
  <si>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</si>
  <si>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合中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</si>
  <si>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黄酒; 白酒; 清酒;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</si>
  <si>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悯</t>
    </r>
    <r>
      <rPr>
        <sz val="11"/>
        <color theme="1"/>
        <rFont val="ＭＳ Ｐゴシック"/>
        <family val="3"/>
        <charset val="128"/>
        <scheme val="minor"/>
      </rPr>
      <t>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</si>
  <si>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晓聪农业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</si>
  <si>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白酒; 果酒（含酒精）; 果酒</t>
  </si>
  <si>
    <r>
      <t>龙</t>
    </r>
    <r>
      <rPr>
        <sz val="11"/>
        <color theme="1"/>
        <rFont val="ＭＳ Ｐゴシック"/>
        <family val="3"/>
        <charset val="128"/>
        <scheme val="minor"/>
      </rPr>
      <t>商有信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</si>
  <si>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江鼎信合信用管理有限公司</t>
    </r>
  </si>
  <si>
    <r>
      <t xml:space="preserve">葡萄酒;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</si>
  <si>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桃香醇</t>
  </si>
  <si>
    <t>宁波弥香源果酒有限公司</t>
  </si>
  <si>
    <r>
      <t>汽酒; 果酒; 清酒;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柑香酒; 刺五加酒; 利口酒; 露酒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</si>
  <si>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李</t>
    </r>
  </si>
  <si>
    <t>李光付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</si>
  <si>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烈性干酒; 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果酒; 烈酒</t>
    </r>
  </si>
  <si>
    <t>云尹</t>
  </si>
  <si>
    <r>
      <t xml:space="preserve">米酒; 葡萄酒; 青稞酒; 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</si>
  <si>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凌四岳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</si>
  <si>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开胃酒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</si>
  <si>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仙今朝</t>
    </r>
  </si>
  <si>
    <r>
      <t>唐振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</si>
  <si>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</si>
  <si>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r>
      <t>沙漠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</si>
  <si>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</si>
  <si>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</si>
  <si>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恭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材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</si>
  <si>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丰木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网科技股份有限公司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</si>
  <si>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</si>
  <si>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缦</t>
    </r>
    <r>
      <rPr>
        <sz val="11"/>
        <color theme="1"/>
        <rFont val="ＭＳ Ｐゴシック"/>
        <family val="3"/>
        <charset val="128"/>
        <scheme val="minor"/>
      </rPr>
      <t>小院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</si>
  <si>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缦</t>
    </r>
    <r>
      <rPr>
        <sz val="11"/>
        <color theme="1"/>
        <rFont val="ＭＳ Ｐゴシック"/>
        <family val="3"/>
        <charset val="128"/>
        <scheme val="minor"/>
      </rPr>
      <t>客教育科技有限公司</t>
    </r>
  </si>
  <si>
    <r>
      <t>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</si>
  <si>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伊刘王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</si>
  <si>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州明宣德酒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</si>
  <si>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甜果酒; 果酒（含酒精）; 威士忌; 蒸煮提取物（利口酒和烈酒）; 葡萄酒</t>
    </r>
  </si>
  <si>
    <t>窖尹</t>
  </si>
  <si>
    <r>
      <t xml:space="preserve">葡萄酒; 青稞酒; 米酒;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</si>
  <si>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酸色心情</t>
  </si>
  <si>
    <r>
      <t>元阳中</t>
    </r>
    <r>
      <rPr>
        <sz val="11"/>
        <color theme="1"/>
        <rFont val="ＭＳ Ｐゴシック"/>
        <family val="3"/>
        <charset val="134"/>
        <scheme val="minor"/>
      </rPr>
      <t>试</t>
    </r>
    <r>
      <rPr>
        <sz val="11"/>
        <color theme="1"/>
        <rFont val="ＭＳ Ｐゴシック"/>
        <family val="3"/>
        <charset val="128"/>
        <scheme val="minor"/>
      </rPr>
      <t>城科技有限公司</t>
    </r>
  </si>
  <si>
    <r>
      <t>薄荷酒; 苹果酒; 米酒; 白酒; 葡萄酒; 梨酒;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果酒</t>
    </r>
  </si>
  <si>
    <t>尹藏</t>
  </si>
  <si>
    <r>
      <t xml:space="preserve">烈酒;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米酒</t>
    </r>
  </si>
  <si>
    <t>尹唐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</si>
  <si>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威士忌; 黄酒; 米酒; 青稞酒;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</si>
  <si>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</si>
  <si>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 xml:space="preserve">白酒; 汽酒;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</si>
  <si>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泓易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</si>
  <si>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泓易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播(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家口)有限公司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</si>
  <si>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果酒（含酒精）; 米酒; 黄酒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</si>
  <si>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</si>
  <si>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</si>
  <si>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威士忌;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</si>
  <si>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HATUDIG</t>
  </si>
  <si>
    <t>翁光佑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</si>
  <si>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威士忌;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果酒（含酒精）</t>
    </r>
  </si>
  <si>
    <r>
      <t>追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烟</t>
    </r>
  </si>
  <si>
    <t>夏碎文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</si>
  <si>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露酒; 苹果酒</t>
    </r>
  </si>
  <si>
    <r>
      <t>欣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</si>
  <si>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安福有礼酒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</si>
  <si>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</si>
  <si>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集制</t>
  </si>
  <si>
    <r>
      <t>四川集和坊科技有限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</si>
  <si>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食用酒精; 黄酒; 葡萄酒; 汽酒; 佐餐酒;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</si>
  <si>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缤纷</t>
    </r>
  </si>
  <si>
    <t>张鹏</t>
  </si>
  <si>
    <r>
      <t>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</si>
  <si>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</si>
  <si>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</si>
  <si>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清酒;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</si>
  <si>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AURORAFOX 极光狐</t>
  </si>
  <si>
    <r>
      <t>陈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</si>
  <si>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 xml:space="preserve">清酒（日本米酒）; 葡萄酒;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黄酒</t>
    </r>
  </si>
  <si>
    <t>ISEDOUYA</t>
  </si>
  <si>
    <r>
      <t>河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希波国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株式会社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</si>
  <si>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</si>
  <si>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禧福</t>
    </r>
  </si>
  <si>
    <r>
      <t>曲靖市荣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</si>
  <si>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杜松子酒;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</si>
  <si>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天助呼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</si>
  <si>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米酒; 薄荷酒; 杜松子酒;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</si>
  <si>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相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巴蜀</t>
    </r>
  </si>
  <si>
    <r>
      <t>四川一片天建材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</si>
  <si>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</si>
  <si>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曾太守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</si>
  <si>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博杏霖中医</t>
    </r>
    <r>
      <rPr>
        <sz val="11"/>
        <color theme="1"/>
        <rFont val="ＭＳ Ｐゴシック"/>
        <family val="3"/>
        <charset val="134"/>
        <scheme val="minor"/>
      </rPr>
      <t>门诊连锁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</si>
  <si>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</si>
  <si>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莱博隆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</si>
  <si>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白干酒（中国白酒）; 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</t>
    </r>
  </si>
  <si>
    <r>
      <t>鎏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</si>
  <si>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廊坊市鎏世家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糖烟酒有限公司</t>
    </r>
  </si>
  <si>
    <r>
      <t xml:space="preserve">葡萄酒; 开胃酒;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梨酒; 米酒; 青稞酒; 黄酒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</si>
  <si>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汀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</si>
  <si>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果酒（含酒精）</t>
    </r>
  </si>
  <si>
    <t>王富春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</si>
  <si>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黄酒; 威士忌;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</si>
  <si>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屋企西岸品牌管理（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</si>
  <si>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</si>
  <si>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r>
      <t>慧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</si>
  <si>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苏妈</t>
    </r>
    <r>
      <rPr>
        <sz val="11"/>
        <color theme="1"/>
        <rFont val="ＭＳ Ｐゴシック"/>
        <family val="3"/>
        <charset val="128"/>
        <scheme val="minor"/>
      </rPr>
      <t>咪宝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</si>
  <si>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黄酒; 葡萄酒;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</si>
  <si>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笙</t>
    </r>
  </si>
  <si>
    <t>崔江河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</si>
  <si>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</si>
  <si>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宁小潭</t>
  </si>
  <si>
    <r>
      <t>新疆伊犁</t>
    </r>
    <r>
      <rPr>
        <sz val="11"/>
        <color theme="1"/>
        <rFont val="ＭＳ Ｐゴシック"/>
        <family val="3"/>
        <charset val="134"/>
        <scheme val="minor"/>
      </rPr>
      <t>库尔</t>
    </r>
    <r>
      <rPr>
        <sz val="11"/>
        <color theme="1"/>
        <rFont val="ＭＳ Ｐゴシック"/>
        <family val="3"/>
        <charset val="128"/>
        <scheme val="minor"/>
      </rPr>
      <t>德宁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</si>
  <si>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</si>
  <si>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蓁宸</t>
  </si>
  <si>
    <t>四川蓁宸食品有限公司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</si>
  <si>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白酒; 黄酒</t>
    </r>
  </si>
  <si>
    <r>
      <t>坪上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象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</si>
  <si>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巧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</si>
  <si>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青稞酒; 清酒; 梅酒; 白酒</t>
    </r>
  </si>
  <si>
    <r>
      <t>暮</t>
    </r>
    <r>
      <rPr>
        <sz val="11"/>
        <color theme="1"/>
        <rFont val="ＭＳ Ｐゴシック"/>
        <family val="3"/>
        <charset val="134"/>
        <scheme val="minor"/>
      </rPr>
      <t>赏龙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</si>
  <si>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</si>
  <si>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</si>
  <si>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塞儿女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</si>
  <si>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</si>
  <si>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>果酒（含酒精）; 黄酒; 威士忌;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</si>
  <si>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默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斯科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</si>
  <si>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默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斯科生物科技有限公司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</si>
  <si>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</si>
  <si>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</si>
  <si>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闺</t>
    </r>
    <r>
      <rPr>
        <sz val="11"/>
        <color theme="1"/>
        <rFont val="ＭＳ Ｐゴシック"/>
        <family val="3"/>
        <charset val="128"/>
        <scheme val="minor"/>
      </rPr>
      <t>蜜之恋品牌管理有限公司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</si>
  <si>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烈酒</t>
    </r>
  </si>
  <si>
    <r>
      <t>豫九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</si>
  <si>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果酒（含酒精）; 食用酒精;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</si>
  <si>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月虹韵藏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</si>
  <si>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州君品韵藏品牌管理有限公司</t>
    </r>
  </si>
  <si>
    <r>
      <t xml:space="preserve">米酒;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</si>
  <si>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鸽</t>
    </r>
    <r>
      <rPr>
        <sz val="11"/>
        <color theme="1"/>
        <rFont val="ＭＳ Ｐゴシック"/>
        <family val="3"/>
        <charset val="128"/>
        <scheme val="minor"/>
      </rPr>
      <t>子侯</t>
    </r>
  </si>
  <si>
    <r>
      <t>西安侯氏博文餐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</si>
  <si>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果酒; 葡萄酒; 甜酒; 汽酒</t>
    </r>
  </si>
  <si>
    <t>碰湘地</t>
  </si>
  <si>
    <t>肖勇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</si>
  <si>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果酒（含酒精）; 白葡萄酒;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佐餐酒; 米酒</t>
    </r>
  </si>
  <si>
    <r>
      <t>疆九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</si>
  <si>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</si>
  <si>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江河母</t>
    </r>
    <r>
      <rPr>
        <sz val="11"/>
        <color theme="1"/>
        <rFont val="ＭＳ Ｐゴシック"/>
        <family val="3"/>
        <charset val="134"/>
        <scheme val="minor"/>
      </rPr>
      <t>亲</t>
    </r>
  </si>
  <si>
    <t>李利萍</t>
  </si>
  <si>
    <r>
      <t>白酒; 黄酒;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</si>
  <si>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谋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</si>
  <si>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万禹</t>
    </r>
  </si>
  <si>
    <r>
      <t xml:space="preserve">葡萄酒; 苹果酒;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</si>
  <si>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</si>
  <si>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</si>
  <si>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威士忌;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</si>
  <si>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久酒恋</t>
  </si>
  <si>
    <r>
      <t>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果酒（含酒精）; 葡萄酒</t>
    </r>
  </si>
  <si>
    <t>天禾惠</t>
  </si>
  <si>
    <r>
      <t>河南省极味邦商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</si>
  <si>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烈酒; 高粱酒; 葡萄酒</t>
    </r>
  </si>
  <si>
    <t>天佑呼</t>
  </si>
  <si>
    <r>
      <t xml:space="preserve">薄荷酒;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</si>
  <si>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天佑梦</t>
  </si>
  <si>
    <r>
      <t xml:space="preserve">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食用酒精; 米酒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</si>
  <si>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智杞</t>
    </r>
  </si>
  <si>
    <r>
      <t>商丘市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普生商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</si>
  <si>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开胃酒; 葡萄酒; 米酒; 食用酒精; 果酒（含酒精）; 白酒; 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</si>
  <si>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妍伊夫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</si>
  <si>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之城（广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</si>
  <si>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果酒; 烈酒; 白酒; 白干酒（中国白酒）;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</si>
  <si>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</si>
  <si>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河北大国医道养心堂生物科技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</si>
  <si>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含酒精的气泡水;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</si>
  <si>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</si>
  <si>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</si>
  <si>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</si>
  <si>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米酒;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</si>
  <si>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LOS LEAVES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</si>
  <si>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</si>
  <si>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晟世榴芳</t>
  </si>
  <si>
    <r>
      <t>晟世榴芳（山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）健康科技有限公司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</si>
  <si>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苹果酒;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</si>
  <si>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</si>
  <si>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烈酒; 伏特加酒;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威士忌; 食用酒精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</si>
  <si>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秋</t>
    </r>
  </si>
  <si>
    <r>
      <t>福建省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</si>
  <si>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</si>
  <si>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古晋美瑜</t>
  </si>
  <si>
    <r>
      <t>山西晋瑜酒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</si>
  <si>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</t>
    </r>
  </si>
  <si>
    <r>
      <t>雾锁鳌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</si>
  <si>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威士忌;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</si>
  <si>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</si>
  <si>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</t>
    </r>
    <r>
      <rPr>
        <sz val="11"/>
        <color theme="1"/>
        <rFont val="ＭＳ Ｐゴシック"/>
        <family val="3"/>
        <charset val="134"/>
        <scheme val="minor"/>
      </rPr>
      <t>鸥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</si>
  <si>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</si>
  <si>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蒙启源</t>
  </si>
  <si>
    <r>
      <t>内蒙古天启源食品有限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</si>
  <si>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</si>
  <si>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幻若仙境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</si>
  <si>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威士忌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</si>
  <si>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</si>
  <si>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>果酒（含酒精）; 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</si>
  <si>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勝</t>
    </r>
  </si>
  <si>
    <r>
      <t>果酒（含酒精）;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</si>
  <si>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最北海</t>
  </si>
  <si>
    <r>
      <t>锦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海旅游服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</si>
  <si>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葡萄酒</t>
    </r>
  </si>
  <si>
    <t>花枝棠</t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</si>
  <si>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</si>
  <si>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</si>
  <si>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 xml:space="preserve">利口酒; 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</si>
  <si>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CLOUD ORIGINAL</t>
  </si>
  <si>
    <r>
      <t>汕尾市云上珠宝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</si>
  <si>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高粱酒; 威士忌; 果酒（含酒精）; 白葡萄酒;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</si>
  <si>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</si>
  <si>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州黔亦峰酒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</si>
  <si>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</t>
    </r>
  </si>
  <si>
    <t>辜浪</t>
  </si>
  <si>
    <r>
      <t>潮州市无繁茶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</si>
  <si>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含酒精的气泡水;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</si>
  <si>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TASTYTAI</t>
  </si>
  <si>
    <r>
      <t>瑞祥中泰（深圳）商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</si>
  <si>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黄酒;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</si>
  <si>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恰中南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</si>
  <si>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莹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</si>
  <si>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</si>
  <si>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福淮春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</si>
  <si>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州福淮春餐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</si>
  <si>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果酒（含酒精）;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</si>
  <si>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西施浦</t>
  </si>
  <si>
    <r>
      <t>戚立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</si>
  <si>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蜂蜜酒; 米酒;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</si>
  <si>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今手指</t>
  </si>
  <si>
    <t>芦晨</t>
  </si>
  <si>
    <t>白酒; 开胃酒; 果酒; 汽酒; 食用酒精; 甜酒; 葡萄酒; 米酒; 黄酒; 清酒</t>
  </si>
  <si>
    <r>
      <t>乐</t>
    </r>
    <r>
      <rPr>
        <sz val="11"/>
        <color theme="1"/>
        <rFont val="ＭＳ Ｐゴシック"/>
        <family val="3"/>
        <charset val="128"/>
        <scheme val="minor"/>
      </rPr>
      <t>就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</si>
  <si>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市晴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</si>
  <si>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开胃酒;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</si>
  <si>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米开源</t>
  </si>
  <si>
    <r>
      <t>呼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</si>
  <si>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黄酒;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</si>
  <si>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汀塞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</si>
  <si>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</si>
  <si>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利德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</si>
  <si>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</si>
  <si>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青稞酒; 威士忌</t>
    </r>
  </si>
  <si>
    <r>
      <t>开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美</t>
    </r>
  </si>
  <si>
    <t>胡小文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</si>
  <si>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</si>
  <si>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董事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</si>
  <si>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苦味酒</t>
    </r>
  </si>
  <si>
    <t>夏之舞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</si>
  <si>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熙酒庄有限公司</t>
    </r>
  </si>
  <si>
    <r>
      <t>开胃酒;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酸酒（低等葡萄酒）...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</si>
  <si>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型瓶</t>
    </r>
  </si>
  <si>
    <r>
      <t xml:space="preserve">米酒;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</si>
  <si>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赴桂</t>
  </si>
  <si>
    <r>
      <t>南宁麦众文化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</si>
  <si>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</si>
  <si>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和新元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</si>
  <si>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德公司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</si>
  <si>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</si>
  <si>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</si>
  <si>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为华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</si>
  <si>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</si>
  <si>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开元益林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</si>
  <si>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州益林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</si>
  <si>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</si>
  <si>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渭吉仙</t>
  </si>
  <si>
    <r>
      <t>四川省泉佛土窖酒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</si>
  <si>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</si>
  <si>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黄德彪</t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</si>
  <si>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利口酒; 米酒;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</t>
    </r>
  </si>
  <si>
    <t>郢秀才</t>
  </si>
  <si>
    <t>安少林</t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</si>
  <si>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食用酒精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</si>
  <si>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和金</t>
    </r>
    <r>
      <rPr>
        <sz val="11"/>
        <color theme="1"/>
        <rFont val="ＭＳ Ｐゴシック"/>
        <family val="3"/>
        <charset val="134"/>
        <scheme val="minor"/>
      </rPr>
      <t>刚</t>
    </r>
  </si>
  <si>
    <t>肖智丹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</si>
  <si>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威士忌; 伏特加酒</t>
    </r>
  </si>
  <si>
    <t>谷中美</t>
  </si>
  <si>
    <t>安徽中谷生物科技有限公司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</si>
  <si>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黄酒; 伏特加酒;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蜂蜜酒; 白酒</t>
    </r>
  </si>
  <si>
    <t>慕·守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</si>
  <si>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市百家福商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</si>
  <si>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</si>
  <si>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虔韵山河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</si>
  <si>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州市啤酷企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</si>
  <si>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甜酒; 葡萄酒; 烈酒;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</si>
  <si>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聚永盛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</si>
  <si>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</si>
  <si>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</si>
  <si>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t>果小酷</t>
  </si>
  <si>
    <r>
      <t>张</t>
    </r>
    <r>
      <rPr>
        <sz val="11"/>
        <color theme="1"/>
        <rFont val="ＭＳ Ｐゴシック"/>
        <family val="3"/>
        <charset val="128"/>
        <scheme val="minor"/>
      </rPr>
      <t>万福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</si>
  <si>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</t>
    </r>
  </si>
  <si>
    <r>
      <t>相聚</t>
    </r>
    <r>
      <rPr>
        <sz val="11"/>
        <color theme="1"/>
        <rFont val="ＭＳ Ｐゴシック"/>
        <family val="3"/>
        <charset val="134"/>
        <scheme val="minor"/>
      </rPr>
      <t>欢</t>
    </r>
  </si>
  <si>
    <t>范敏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</si>
  <si>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</si>
  <si>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</si>
  <si>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 xml:space="preserve">果酒（含酒精）; 黄酒; 清酒（日本米酒）; 烈酒; 葡萄酒;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</si>
  <si>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慕·者</t>
  </si>
  <si>
    <r>
      <t xml:space="preserve">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</si>
  <si>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千里</t>
    </r>
  </si>
  <si>
    <r>
      <t>濮阳至千里商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</si>
  <si>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</si>
  <si>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坤棒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</si>
  <si>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州坤棒酒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</si>
  <si>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葡萄酒;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</si>
  <si>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人聚才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</si>
  <si>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</si>
  <si>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白酒</t>
    </r>
  </si>
  <si>
    <r>
      <t>飒</t>
    </r>
    <r>
      <rPr>
        <sz val="11"/>
        <color theme="1"/>
        <rFont val="ＭＳ Ｐゴシック"/>
        <family val="3"/>
        <charset val="128"/>
        <scheme val="minor"/>
      </rPr>
      <t>楚</t>
    </r>
    <r>
      <rPr>
        <sz val="11"/>
        <color theme="1"/>
        <rFont val="ＭＳ Ｐゴシック"/>
        <family val="3"/>
        <charset val="134"/>
        <scheme val="minor"/>
      </rPr>
      <t>纯</t>
    </r>
  </si>
  <si>
    <t>江西佩宇科技有限公司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</si>
  <si>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果酒（含酒精）; 开胃酒; 食用酒精;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</si>
  <si>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那伽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</si>
  <si>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北京超姆影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</si>
  <si>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</si>
  <si>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轼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</si>
  <si>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轼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方健康科技有限公司</t>
    </r>
  </si>
  <si>
    <r>
      <t xml:space="preserve">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葡萄酒; 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</si>
  <si>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亦遇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</si>
  <si>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</si>
  <si>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晋杏聚</t>
  </si>
  <si>
    <r>
      <t>汾阳市鼎程酒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</si>
  <si>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伏特加酒; 白酒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</si>
  <si>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九暹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</si>
  <si>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</si>
  <si>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黄酒; 清酒（日本米酒）; 米酒; 果酒（含酒精）; 葡萄酒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</si>
  <si>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迪卡塞堡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</si>
  <si>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</t>
    </r>
  </si>
  <si>
    <r>
      <t>燃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的月亮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</si>
  <si>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天下（浙江）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</si>
  <si>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蜂蜜酒;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</si>
  <si>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的源</t>
    </r>
  </si>
  <si>
    <t>欧阳文逵</t>
  </si>
  <si>
    <r>
      <t>清酒（日本米酒）; 米酒; 露酒;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</si>
  <si>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国恋</t>
    </r>
  </si>
  <si>
    <r>
      <t>乌审</t>
    </r>
    <r>
      <rPr>
        <sz val="11"/>
        <color theme="1"/>
        <rFont val="ＭＳ Ｐゴシック"/>
        <family val="3"/>
        <charset val="128"/>
        <scheme val="minor"/>
      </rPr>
      <t>旗塔来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</si>
  <si>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蜂蜜酒; 黄酒; 白酒; 米酒; 青稞酒;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果酒</t>
    </r>
  </si>
  <si>
    <r>
      <t>惠成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</si>
  <si>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洛阳共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机械科技有限公司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</si>
  <si>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开胃酒; 米酒; 薄荷酒</t>
    </r>
  </si>
  <si>
    <t>夏夜星辰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</si>
  <si>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料（啤酒除外）;...</t>
    </r>
  </si>
  <si>
    <r>
      <t>养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</si>
  <si>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</si>
  <si>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致中南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</si>
  <si>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餐后酒（利口酒和烈酒）; 果酒（含酒精）; 葡萄酒; 苹果酒</t>
    </r>
  </si>
  <si>
    <r>
      <t>无野有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</si>
  <si>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佛山市无野餐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</si>
  <si>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利口酒; 开胃酒;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威士忌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</si>
  <si>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杜</t>
    </r>
  </si>
  <si>
    <r>
      <t>纳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酒庄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化股份有限公司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</si>
  <si>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</si>
  <si>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福觥</t>
  </si>
  <si>
    <r>
      <t xml:space="preserve">开胃酒; 清酒（日本米酒）;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威士忌; 黄酒</t>
    </r>
  </si>
  <si>
    <r>
      <t>开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</si>
  <si>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</si>
  <si>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盟</t>
    </r>
    <r>
      <rPr>
        <sz val="11"/>
        <color theme="1"/>
        <rFont val="ＭＳ Ｐゴシック"/>
        <family val="3"/>
        <charset val="134"/>
        <scheme val="minor"/>
      </rPr>
      <t>约烧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</si>
  <si>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</si>
  <si>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疆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迩</t>
    </r>
  </si>
  <si>
    <r>
      <t>海南疆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迩生物科技有限公司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</si>
  <si>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</si>
  <si>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杏韵隆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</si>
  <si>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</si>
  <si>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赣农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赵</t>
    </r>
  </si>
  <si>
    <r>
      <t>泰和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深山土特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</si>
  <si>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</si>
  <si>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圈途</t>
  </si>
  <si>
    <r>
      <t>深圳市达慕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</si>
  <si>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白葡萄酒; 含酒精的气泡水; 朗姆酒; 麦芽威士忌; 苹果酒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</si>
  <si>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和欣元</t>
    </r>
  </si>
  <si>
    <t>言而友</t>
  </si>
  <si>
    <r>
      <t>中管世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管理（河南）有限公司</t>
    </r>
  </si>
  <si>
    <r>
      <t xml:space="preserve">利口酒; 米酒;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</si>
  <si>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玄盾</t>
  </si>
  <si>
    <t>周立民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</si>
  <si>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</si>
  <si>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小番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</si>
  <si>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辉农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</si>
  <si>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威士忌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</si>
  <si>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</si>
  <si>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捷程（青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</si>
  <si>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</si>
  <si>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娜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</si>
  <si>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欣茂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</si>
  <si>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甜果酒;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水果汽酒; 果酒（含酒精）; 白酒; 果酒</t>
    </r>
  </si>
  <si>
    <r>
      <t>港航母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河</t>
    </r>
  </si>
  <si>
    <t>洛阳市黄河小浪底港航有限公司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</si>
  <si>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</si>
  <si>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</si>
  <si>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州雅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漫酒店管理有限公司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</si>
  <si>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果酒（含酒精）; 葡萄酒; 白酒</t>
    </r>
  </si>
  <si>
    <t>念菲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</si>
  <si>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菲商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</si>
  <si>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青稞酒; 葡萄酒</t>
    </r>
  </si>
  <si>
    <t>英岭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</si>
  <si>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谷食品有限公司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</si>
  <si>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</si>
  <si>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锦汇农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</si>
  <si>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锦汇农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</si>
  <si>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</si>
  <si>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芮</t>
    </r>
  </si>
  <si>
    <r>
      <t>北京梦垚区</t>
    </r>
    <r>
      <rPr>
        <sz val="11"/>
        <color theme="1"/>
        <rFont val="ＭＳ Ｐゴシック"/>
        <family val="3"/>
        <charset val="134"/>
        <scheme val="minor"/>
      </rPr>
      <t>块链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</si>
  <si>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</si>
  <si>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WUPOK</t>
  </si>
  <si>
    <r>
      <t>滨</t>
    </r>
    <r>
      <rPr>
        <sz val="11"/>
        <color theme="1"/>
        <rFont val="ＭＳ Ｐゴシック"/>
        <family val="3"/>
        <charset val="128"/>
        <scheme val="minor"/>
      </rPr>
      <t>海昌正企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</si>
  <si>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</si>
  <si>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舏酒</t>
  </si>
  <si>
    <r>
      <t>白酒;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开胃酒; 水果汽酒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</si>
  <si>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华跃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</si>
  <si>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</si>
  <si>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洋洪杰</t>
  </si>
  <si>
    <r>
      <t>杨红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</si>
  <si>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威士忌;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</si>
  <si>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GDUPTER</t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</si>
  <si>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</si>
  <si>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 xml:space="preserve">白干酒（中国白酒）;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青稞酒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</si>
  <si>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登魁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</si>
  <si>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白酒</t>
    </r>
  </si>
  <si>
    <t>RAGING FIRE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</si>
  <si>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</si>
  <si>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</si>
  <si>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</si>
  <si>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武夷山蒂王牛茶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</si>
  <si>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白酒; 黄酒</t>
    </r>
  </si>
  <si>
    <t>逸品西域</t>
  </si>
  <si>
    <t>刘莉萍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</si>
  <si>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食用酒精; 清酒（日本米酒）; 白酒; 果酒（含酒精）; 黄酒; 青稞酒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</si>
  <si>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改</t>
    </r>
  </si>
  <si>
    <t>海南中安科技有限公司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</si>
  <si>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餐后酒（利口酒和烈酒）;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</t>
    </r>
  </si>
  <si>
    <t>哥瑞恩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</si>
  <si>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利丰玖和酒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</si>
  <si>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利口酒; 食用酒精</t>
    </r>
  </si>
  <si>
    <t>BETHLEEM</t>
  </si>
  <si>
    <r>
      <t>上海超媛工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</si>
  <si>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甘蔗制烈酒;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</si>
  <si>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特菲酷客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</si>
  <si>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德道合供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</si>
  <si>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青梅酒;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</si>
  <si>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t>瑰漠</t>
  </si>
  <si>
    <r>
      <t>新疆和</t>
    </r>
    <r>
      <rPr>
        <sz val="11"/>
        <color theme="1"/>
        <rFont val="ＭＳ Ｐゴシック"/>
        <family val="3"/>
        <charset val="134"/>
        <scheme val="minor"/>
      </rPr>
      <t>阗</t>
    </r>
    <r>
      <rPr>
        <sz val="11"/>
        <color theme="1"/>
        <rFont val="ＭＳ Ｐゴシック"/>
        <family val="3"/>
        <charset val="128"/>
        <scheme val="minor"/>
      </rPr>
      <t>玫瑰酒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</si>
  <si>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茴芹酒（利口酒）</t>
    </r>
  </si>
  <si>
    <t>乃格沙</t>
  </si>
  <si>
    <r>
      <t>刘</t>
    </r>
    <r>
      <rPr>
        <sz val="11"/>
        <color theme="1"/>
        <rFont val="ＭＳ Ｐゴシック"/>
        <family val="3"/>
        <charset val="134"/>
        <scheme val="minor"/>
      </rPr>
      <t>红丽</t>
    </r>
  </si>
  <si>
    <r>
      <t xml:space="preserve">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</si>
  <si>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河海盛景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</si>
  <si>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东陆</t>
    </r>
    <r>
      <rPr>
        <sz val="11"/>
        <color theme="1"/>
        <rFont val="ＭＳ Ｐゴシック"/>
        <family val="3"/>
        <charset val="128"/>
        <scheme val="minor"/>
      </rPr>
      <t>航生物科技有限公司</t>
    </r>
  </si>
  <si>
    <r>
      <t>果酒（含酒精）; 米酒;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</si>
  <si>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美添康</t>
  </si>
  <si>
    <r>
      <t>海南城四柒号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</si>
  <si>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</si>
  <si>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瑰羽</t>
  </si>
  <si>
    <r>
      <t>茴芹酒（利口酒）; 苦味酒;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开胃酒; 果酒（含酒精）</t>
    </r>
  </si>
  <si>
    <t>忐兔</t>
  </si>
  <si>
    <t>高清波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</si>
  <si>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</si>
  <si>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</si>
  <si>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娜儿</t>
  </si>
  <si>
    <r>
      <t xml:space="preserve">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果酒</t>
    </r>
  </si>
  <si>
    <t>云自生</t>
  </si>
  <si>
    <r>
      <t>云南谷自生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</si>
  <si>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苹果酒; 果酒（含酒精）; 开胃酒; 青梅酒; 烈酒; 白酒;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</si>
  <si>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水天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</si>
  <si>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河北天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</si>
  <si>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</si>
  <si>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AOMI SEASON 傲蜜季</t>
    </r>
    <r>
      <rPr>
        <sz val="11"/>
        <color theme="1"/>
        <rFont val="ＭＳ Ｐゴシック"/>
        <family val="3"/>
        <charset val="134"/>
        <scheme val="minor"/>
      </rPr>
      <t>节</t>
    </r>
  </si>
  <si>
    <t>檀焜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</si>
  <si>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</si>
  <si>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小町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</si>
  <si>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</si>
  <si>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</si>
  <si>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飞龙</t>
    </r>
    <r>
      <rPr>
        <sz val="11"/>
        <color theme="1"/>
        <rFont val="ＭＳ Ｐゴシック"/>
        <family val="3"/>
        <charset val="128"/>
        <scheme val="minor"/>
      </rPr>
      <t>峡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</si>
  <si>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</si>
  <si>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四方碑</t>
  </si>
  <si>
    <t>娄冬梅</t>
  </si>
  <si>
    <r>
      <t>果酒（含酒精）;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</si>
  <si>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舞春</t>
    </r>
  </si>
  <si>
    <r>
      <t>期福（厦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</si>
  <si>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高粱酒;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</si>
  <si>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丁二宝</t>
  </si>
  <si>
    <r>
      <t>抚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百晟特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</si>
  <si>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黄酒; 米酒; 果酒; 蒸煮提取物（利口酒和烈酒）; 薄荷酒;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</si>
  <si>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t>物珀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</si>
  <si>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</si>
  <si>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安立天一</t>
  </si>
  <si>
    <r>
      <t>深圳市安立邦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</si>
  <si>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米酒; 清酒（日本米酒）;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</si>
  <si>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滋游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</si>
  <si>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海口艾斯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</si>
  <si>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</si>
  <si>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活力峰</t>
  </si>
  <si>
    <r>
      <t>郝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</si>
  <si>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果酒;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烈酒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</si>
  <si>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芯麦</t>
    </r>
  </si>
  <si>
    <r>
      <t xml:space="preserve">白酒; 果酒;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</si>
  <si>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绩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</si>
  <si>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绩</t>
    </r>
    <r>
      <rPr>
        <sz val="11"/>
        <color theme="1"/>
        <rFont val="ＭＳ Ｐゴシック"/>
        <family val="3"/>
        <charset val="128"/>
        <scheme val="minor"/>
      </rPr>
      <t>科技(广州)有限公司</t>
    </r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</si>
  <si>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</si>
  <si>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鸿颜</t>
    </r>
    <r>
      <rPr>
        <sz val="11"/>
        <color theme="1"/>
        <rFont val="ＭＳ Ｐゴシック"/>
        <family val="3"/>
        <charset val="128"/>
        <scheme val="minor"/>
      </rPr>
      <t>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</si>
  <si>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</si>
  <si>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首星 SOETSAR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</si>
  <si>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首星投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</si>
  <si>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</t>
    </r>
  </si>
  <si>
    <r>
      <t>客怡客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</si>
  <si>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锅锅鲜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</si>
  <si>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</t>
    </r>
  </si>
  <si>
    <t>皇城鼎</t>
  </si>
  <si>
    <t>王利平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</si>
  <si>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汽酒;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果酒</t>
    </r>
  </si>
  <si>
    <t>瑰灵</t>
  </si>
  <si>
    <r>
      <t>茴芹酒（利口酒）; 果酒（含酒精）; 开胃酒; 米酒;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</t>
    </r>
  </si>
  <si>
    <t>博夫曼</t>
  </si>
  <si>
    <t>李慧</t>
  </si>
  <si>
    <r>
      <t>葡萄酒; 果酒; 高粱酒;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</si>
  <si>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言茂源</t>
  </si>
  <si>
    <r>
      <t>李友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</si>
  <si>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</t>
    </r>
  </si>
  <si>
    <t>牛道夫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</si>
  <si>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市牛宗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</si>
  <si>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清酒; 果酒（含酒精）;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</si>
  <si>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客礼斯托富</t>
  </si>
  <si>
    <t>客礼司多福有限公司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</si>
  <si>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果酒（含酒精）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</si>
  <si>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道金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</si>
  <si>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芝罘区慧慧云日用百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</si>
  <si>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露酒; 餐后酒（利口酒和烈酒）;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</si>
  <si>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气恒</t>
    </r>
    <r>
      <rPr>
        <sz val="11"/>
        <color theme="1"/>
        <rFont val="ＭＳ Ｐゴシック"/>
        <family val="3"/>
        <charset val="134"/>
        <scheme val="minor"/>
      </rPr>
      <t>谐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</si>
  <si>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清酒; 烈酒; 黄酒</t>
    </r>
  </si>
  <si>
    <t>安浅</t>
  </si>
  <si>
    <r>
      <t>于文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</si>
  <si>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食用酒精</t>
    </r>
  </si>
  <si>
    <t>两宋两河</t>
  </si>
  <si>
    <r>
      <t>淮安市大厨管家供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</si>
  <si>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</si>
  <si>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r>
      <t>荞兰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</si>
  <si>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云南友川商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</si>
  <si>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清酒;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</si>
  <si>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众力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</si>
  <si>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深圳市天合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</si>
  <si>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威士忌; 果酒（含酒精）; 伏特加酒</t>
    </r>
  </si>
  <si>
    <t>川届</t>
  </si>
  <si>
    <t>朱云来</t>
  </si>
  <si>
    <r>
      <t>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</si>
  <si>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杜与甫</t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</si>
  <si>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薄荷酒;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</si>
  <si>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浙百福</t>
  </si>
  <si>
    <t>黄志彬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</si>
  <si>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黄酒; 果酒（含酒精）; 清酒（日本米酒）;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</si>
  <si>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黔源</t>
    </r>
  </si>
  <si>
    <t>方承云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</si>
  <si>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</si>
  <si>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鲁栈</t>
  </si>
  <si>
    <r>
      <t>李</t>
    </r>
    <r>
      <rPr>
        <sz val="11"/>
        <color theme="1"/>
        <rFont val="ＭＳ Ｐゴシック"/>
        <family val="3"/>
        <charset val="134"/>
        <scheme val="minor"/>
      </rPr>
      <t>继华</t>
    </r>
  </si>
  <si>
    <r>
      <t>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白酒</t>
    </r>
  </si>
  <si>
    <t>意欧莱庄园</t>
  </si>
  <si>
    <r>
      <t>上海君尚酒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</si>
  <si>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</si>
  <si>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秦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</si>
  <si>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米酒; 露酒; 餐后酒（利口酒和烈酒）; 果酒（含酒精）</t>
    </r>
  </si>
  <si>
    <t>红钳钳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</si>
  <si>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州市大</t>
    </r>
    <r>
      <rPr>
        <sz val="11"/>
        <color theme="1"/>
        <rFont val="ＭＳ Ｐゴシック"/>
        <family val="3"/>
        <charset val="134"/>
        <scheme val="minor"/>
      </rPr>
      <t>鸾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</si>
  <si>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黄酒; 葡萄酒; 利口酒; 白酒; 汽酒; 米酒; 开胃酒;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</si>
  <si>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怡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</si>
  <si>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（佛山）有限公司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</si>
  <si>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</si>
  <si>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力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</si>
  <si>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</si>
  <si>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 xml:space="preserve">白酒; 果酒（含酒精）;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</si>
  <si>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满丽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</si>
  <si>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</si>
  <si>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奶油利口酒;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清酒; 苹果酒; 水果汽酒;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</t>
    </r>
  </si>
  <si>
    <t>清花御酒村</t>
  </si>
  <si>
    <t>牛冠陶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</si>
  <si>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苹果酒; 清酒;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</si>
  <si>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METROCASA</t>
  </si>
  <si>
    <r>
      <t>苏</t>
    </r>
    <r>
      <rPr>
        <sz val="11"/>
        <color theme="1"/>
        <rFont val="ＭＳ Ｐゴシック"/>
        <family val="3"/>
        <charset val="128"/>
        <scheme val="minor"/>
      </rPr>
      <t>美达国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</si>
  <si>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白酒; 甜酒; 果酒; 葡萄酒; 清酒; 青梅酒;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</si>
  <si>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婍</t>
    </r>
    <r>
      <rPr>
        <sz val="11"/>
        <color theme="1"/>
        <rFont val="ＭＳ Ｐゴシック"/>
        <family val="3"/>
        <charset val="128"/>
        <scheme val="minor"/>
      </rPr>
      <t>妙堂</t>
    </r>
  </si>
  <si>
    <r>
      <t>广州安</t>
    </r>
    <r>
      <rPr>
        <sz val="11"/>
        <color theme="1"/>
        <rFont val="ＭＳ Ｐゴシック"/>
        <family val="3"/>
        <charset val="129"/>
        <scheme val="minor"/>
      </rPr>
      <t>婍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</si>
  <si>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苦艾酒;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</t>
    </r>
  </si>
  <si>
    <t>JU YUAN FANG</t>
  </si>
  <si>
    <r>
      <t>浙江益哥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</si>
  <si>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 xml:space="preserve">黄酒; 白酒; 甜酒;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</si>
  <si>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喜化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</si>
  <si>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米酒</t>
    </r>
  </si>
  <si>
    <r>
      <t>荞兰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</si>
  <si>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葡萄酒; 烈酒; 白酒; 米酒; 清酒;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</si>
  <si>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杜香杜甫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</si>
  <si>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威士忌</t>
    </r>
  </si>
  <si>
    <t>半笑光年</t>
  </si>
  <si>
    <r>
      <t>上海逅果文化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</si>
  <si>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</t>
    </r>
  </si>
  <si>
    <t>ZUI XING FU</t>
  </si>
  <si>
    <r>
      <t xml:space="preserve">果酒（含酒精）; 葡萄酒; 黄酒; 白酒; 烈酒;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</si>
  <si>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JUYUAN FANG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</si>
  <si>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烈酒; 果酒（含酒精）;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</t>
    </r>
  </si>
  <si>
    <r>
      <t>怿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</si>
  <si>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湖北依科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</si>
  <si>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</si>
  <si>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麻花小仙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</si>
  <si>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泛科技有限公司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</si>
  <si>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奶油利口酒;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白酒; 烈酒; 果酒; 威士忌</t>
    </r>
  </si>
  <si>
    <r>
      <t>后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先秦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</si>
  <si>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米酒; 苹果酒</t>
    </r>
  </si>
  <si>
    <t>皇窖天下</t>
  </si>
  <si>
    <t>田秋菊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</si>
  <si>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</si>
  <si>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洪武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窄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</si>
  <si>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露酒</t>
    </r>
  </si>
  <si>
    <t>三金盛</t>
  </si>
  <si>
    <r>
      <t>北京中市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</si>
  <si>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</si>
  <si>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宣修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</si>
  <si>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</si>
  <si>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彩窖天下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</si>
  <si>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果酒; 高粱酒</t>
    </r>
  </si>
  <si>
    <t>禾谷岩</t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</si>
  <si>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</si>
  <si>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清酒（日本米酒）; 米酒; 食用酒精; 葡萄酒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</si>
  <si>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夫子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</si>
  <si>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露酒; 果酒（含酒精）; 白酒; 葡萄汽酒; 高粱酒; 清酒; 烈酒; 白干酒（中国白酒）</t>
    </r>
  </si>
  <si>
    <t>大盈里</t>
  </si>
  <si>
    <r>
      <t>内丘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起文化旅游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</si>
  <si>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</si>
  <si>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t>SOZIKO</t>
  </si>
  <si>
    <r>
      <t>松子壳（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州）云商科技有限公司</t>
    </r>
  </si>
  <si>
    <r>
      <t xml:space="preserve">开胃酒; 柑香酒;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</si>
  <si>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科福馨源</t>
    </r>
  </si>
  <si>
    <r>
      <t>太原市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科馨源福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</si>
  <si>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</si>
  <si>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中府池</t>
  </si>
  <si>
    <r>
      <t>露酒;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</si>
  <si>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毓花</t>
    </r>
    <r>
      <rPr>
        <sz val="11"/>
        <color theme="1"/>
        <rFont val="ＭＳ Ｐゴシック"/>
        <family val="3"/>
        <charset val="134"/>
        <scheme val="minor"/>
      </rPr>
      <t>词</t>
    </r>
  </si>
  <si>
    <t>廖平珍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</si>
  <si>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</si>
  <si>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千城</t>
    </r>
    <r>
      <rPr>
        <sz val="11"/>
        <color theme="1"/>
        <rFont val="ＭＳ Ｐゴシック"/>
        <family val="3"/>
        <charset val="134"/>
        <scheme val="minor"/>
      </rPr>
      <t>牵缘</t>
    </r>
  </si>
  <si>
    <r>
      <t>芯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网科技（深圳）有限公司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</si>
  <si>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</si>
  <si>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</si>
  <si>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李君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</si>
  <si>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白酒;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</si>
  <si>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</si>
  <si>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深圳市康家佳品智能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</si>
  <si>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</si>
  <si>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世福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</si>
  <si>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与略咨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</si>
  <si>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</t>
    </r>
  </si>
  <si>
    <r>
      <t>斯尼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</si>
  <si>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张联</t>
    </r>
    <r>
      <rPr>
        <sz val="11"/>
        <color theme="1"/>
        <rFont val="ＭＳ Ｐゴシック"/>
        <family val="3"/>
        <charset val="128"/>
        <scheme val="minor"/>
      </rPr>
      <t>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</si>
  <si>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蒸煮提取物（利口酒和烈酒）; 果酒（含酒精）;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</si>
  <si>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海山楼臻玖</t>
  </si>
  <si>
    <r>
      <t>广州海山文化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</si>
  <si>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清酒; 果酒;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米酒; 高粱酒</t>
    </r>
  </si>
  <si>
    <t>火山之眼</t>
  </si>
  <si>
    <r>
      <t>左天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</si>
  <si>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威士忌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</si>
  <si>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摘酒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</si>
  <si>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</si>
  <si>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</t>
    </r>
  </si>
  <si>
    <r>
      <t>丰氏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</si>
  <si>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</si>
  <si>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</si>
  <si>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普拉仕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</si>
  <si>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</si>
  <si>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白酒;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青梅酒; 松叶酒; 草莓酒; 米酒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</si>
  <si>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竺</t>
    </r>
  </si>
  <si>
    <t>金正福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</si>
  <si>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</t>
    </r>
  </si>
  <si>
    <t>LANTEALANG</t>
  </si>
  <si>
    <t>林双泉******************</t>
  </si>
  <si>
    <r>
      <t>葡萄酒; 开胃酒; 果酒（含酒精）; 黄酒;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</si>
  <si>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自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游仙子</t>
    </r>
  </si>
  <si>
    <t>王金河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</si>
  <si>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</si>
  <si>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骞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</si>
  <si>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天津市北辰区餐盟央厨食品批</t>
    </r>
    <r>
      <rPr>
        <sz val="11"/>
        <color theme="1"/>
        <rFont val="ＭＳ Ｐゴシック"/>
        <family val="3"/>
        <charset val="134"/>
        <scheme val="minor"/>
      </rPr>
      <t>发经营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</si>
  <si>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</si>
  <si>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楚君子</t>
  </si>
  <si>
    <r>
      <t>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</si>
  <si>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威士忌; 果酒（含酒精）; 白酒;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</si>
  <si>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陀螺山</t>
  </si>
  <si>
    <t>山西省汾阳市水粮源酒厂有限公司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</si>
  <si>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</si>
  <si>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世禄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</si>
  <si>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</si>
  <si>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京伊尚</t>
  </si>
  <si>
    <r>
      <t>分宜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弘宇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</si>
  <si>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加烈葡萄酒;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露酒;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混合威士忌酒</t>
    </r>
  </si>
  <si>
    <r>
      <t>贯</t>
    </r>
    <r>
      <rPr>
        <sz val="11"/>
        <color theme="1"/>
        <rFont val="ＭＳ Ｐゴシック"/>
        <family val="3"/>
        <charset val="128"/>
        <scheme val="minor"/>
      </rPr>
      <t>棠春</t>
    </r>
  </si>
  <si>
    <r>
      <t>张艳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</si>
  <si>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威士忌; 白酒; 黄酒; 果酒;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</si>
  <si>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世寿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</si>
  <si>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清酒（日本米酒）; 米酒; 食用酒精; 果酒（含酒精）</t>
    </r>
  </si>
  <si>
    <t>臣夫子</t>
  </si>
  <si>
    <r>
      <t>利口酒; 果酒（含酒精）; 米酒; 黄酒;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</si>
  <si>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申請日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</si>
</sst>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 wrapText="1"/>
    </xf>
    <xf numFmtId="176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7CF4-CE6D-4DE6-B48E-0CFABFFCA2FF}">
  <dimension ref="A1:I2581"/>
  <sheetViews>
    <sheetView tabSelected="1" workbookViewId="0"/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1.625" style="12" bestFit="1" customWidth="1"/>
  </cols>
  <sheetData>
    <row r="1" spans="1:9" x14ac:dyDescent="0.15">
      <c r="A1" s="1" t="s">
        <v>7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7031</v>
      </c>
    </row>
    <row r="2" spans="1:9" x14ac:dyDescent="0.15">
      <c r="A2" s="6">
        <v>1</v>
      </c>
      <c r="B2" s="7" t="s">
        <v>8</v>
      </c>
      <c r="C2" s="8">
        <v>1887</v>
      </c>
      <c r="D2" s="9">
        <v>45425</v>
      </c>
      <c r="E2" s="13" t="str">
        <f>+HYPERLINK("http://trademark.i-assist.jp/data/china/image_1887th/50736740.pdf","50736740")</f>
        <v>50736740</v>
      </c>
      <c r="F2" s="7" t="s">
        <v>10</v>
      </c>
      <c r="G2" s="7" t="s">
        <v>11</v>
      </c>
      <c r="H2" s="7" t="s">
        <v>12</v>
      </c>
      <c r="I2" s="9">
        <v>44130</v>
      </c>
    </row>
    <row r="3" spans="1:9" ht="27" x14ac:dyDescent="0.15">
      <c r="A3" s="6">
        <v>2</v>
      </c>
      <c r="B3" s="7" t="s">
        <v>8</v>
      </c>
      <c r="C3" s="8">
        <v>1887</v>
      </c>
      <c r="D3" s="9">
        <v>45425</v>
      </c>
      <c r="E3" s="13" t="str">
        <f>+HYPERLINK("http://trademark.i-assist.jp/data/china/image_1887th/50871351.pdf","50871351")</f>
        <v>50871351</v>
      </c>
      <c r="F3" s="7" t="s">
        <v>13</v>
      </c>
      <c r="G3" s="7" t="s">
        <v>14</v>
      </c>
      <c r="H3" s="7" t="s">
        <v>15</v>
      </c>
      <c r="I3" s="9">
        <v>44134</v>
      </c>
    </row>
    <row r="4" spans="1:9" x14ac:dyDescent="0.15">
      <c r="A4" s="6">
        <v>3</v>
      </c>
      <c r="B4" s="7" t="s">
        <v>8</v>
      </c>
      <c r="C4" s="8">
        <v>1887</v>
      </c>
      <c r="D4" s="9">
        <v>45425</v>
      </c>
      <c r="E4" s="13" t="str">
        <f>+HYPERLINK("http://trademark.i-assist.jp/data/china/image_1887th/56924549.pdf","56924549")</f>
        <v>56924549</v>
      </c>
      <c r="F4" s="7" t="s">
        <v>16</v>
      </c>
      <c r="G4" s="7" t="s">
        <v>17</v>
      </c>
      <c r="H4" s="7" t="s">
        <v>18</v>
      </c>
      <c r="I4" s="9">
        <v>44363</v>
      </c>
    </row>
    <row r="5" spans="1:9" x14ac:dyDescent="0.15">
      <c r="A5" s="6">
        <v>4</v>
      </c>
      <c r="B5" s="7" t="s">
        <v>8</v>
      </c>
      <c r="C5" s="8">
        <v>1887</v>
      </c>
      <c r="D5" s="9">
        <v>45425</v>
      </c>
      <c r="E5" s="13" t="str">
        <f>+HYPERLINK("http://trademark.i-assist.jp/data/china/image_1887th/57474616.pdf","57474616")</f>
        <v>57474616</v>
      </c>
      <c r="F5" s="7" t="s">
        <v>19</v>
      </c>
      <c r="G5" s="7" t="s">
        <v>17</v>
      </c>
      <c r="H5" s="7" t="s">
        <v>18</v>
      </c>
      <c r="I5" s="9">
        <v>44383</v>
      </c>
    </row>
    <row r="6" spans="1:9" x14ac:dyDescent="0.15">
      <c r="A6" s="6">
        <v>5</v>
      </c>
      <c r="B6" s="7" t="s">
        <v>8</v>
      </c>
      <c r="C6" s="8">
        <v>1887</v>
      </c>
      <c r="D6" s="9">
        <v>45425</v>
      </c>
      <c r="E6" s="13" t="str">
        <f>+HYPERLINK("http://trademark.i-assist.jp/data/china/image_1887th/61540216.pdf","61540216")</f>
        <v>61540216</v>
      </c>
      <c r="F6" s="7" t="s">
        <v>20</v>
      </c>
      <c r="G6" s="7" t="s">
        <v>21</v>
      </c>
      <c r="H6" s="7" t="s">
        <v>22</v>
      </c>
      <c r="I6" s="9">
        <v>44550</v>
      </c>
    </row>
    <row r="7" spans="1:9" x14ac:dyDescent="0.15">
      <c r="A7" s="6">
        <v>6</v>
      </c>
      <c r="B7" s="7" t="s">
        <v>8</v>
      </c>
      <c r="C7" s="8">
        <v>1887</v>
      </c>
      <c r="D7" s="9">
        <v>45425</v>
      </c>
      <c r="E7" s="13" t="str">
        <f>+HYPERLINK("http://trademark.i-assist.jp/data/china/image_1887th/63124314.pdf","63124314")</f>
        <v>63124314</v>
      </c>
      <c r="F7" s="7" t="s">
        <v>23</v>
      </c>
      <c r="G7" s="7" t="s">
        <v>24</v>
      </c>
      <c r="H7" s="7" t="s">
        <v>25</v>
      </c>
      <c r="I7" s="9">
        <v>44629</v>
      </c>
    </row>
    <row r="8" spans="1:9" x14ac:dyDescent="0.15">
      <c r="A8" s="6">
        <v>7</v>
      </c>
      <c r="B8" s="7" t="s">
        <v>8</v>
      </c>
      <c r="C8" s="8">
        <v>1887</v>
      </c>
      <c r="D8" s="9">
        <v>45425</v>
      </c>
      <c r="E8" s="13" t="str">
        <f>+HYPERLINK("http://trademark.i-assist.jp/data/china/image_1887th/63130056.pdf","63130056")</f>
        <v>63130056</v>
      </c>
      <c r="F8" s="7" t="s">
        <v>26</v>
      </c>
      <c r="G8" s="7" t="s">
        <v>24</v>
      </c>
      <c r="H8" s="7" t="s">
        <v>25</v>
      </c>
      <c r="I8" s="9">
        <v>44629</v>
      </c>
    </row>
    <row r="9" spans="1:9" x14ac:dyDescent="0.15">
      <c r="A9" s="6">
        <v>8</v>
      </c>
      <c r="B9" s="7" t="s">
        <v>8</v>
      </c>
      <c r="C9" s="8">
        <v>1887</v>
      </c>
      <c r="D9" s="9">
        <v>45425</v>
      </c>
      <c r="E9" s="13" t="str">
        <f>+HYPERLINK("http://trademark.i-assist.jp/data/china/image_1887th/63147875.pdf","63147875")</f>
        <v>63147875</v>
      </c>
      <c r="F9" s="7" t="s">
        <v>27</v>
      </c>
      <c r="G9" s="7" t="s">
        <v>24</v>
      </c>
      <c r="H9" s="7" t="s">
        <v>25</v>
      </c>
      <c r="I9" s="9">
        <v>44629</v>
      </c>
    </row>
    <row r="10" spans="1:9" x14ac:dyDescent="0.15">
      <c r="A10" s="6">
        <v>9</v>
      </c>
      <c r="B10" s="7" t="s">
        <v>8</v>
      </c>
      <c r="C10" s="8">
        <v>1887</v>
      </c>
      <c r="D10" s="9">
        <v>45425</v>
      </c>
      <c r="E10" s="13" t="str">
        <f>+HYPERLINK("http://trademark.i-assist.jp/data/china/image_1887th/63147881.pdf","63147881")</f>
        <v>63147881</v>
      </c>
      <c r="F10" s="7" t="s">
        <v>28</v>
      </c>
      <c r="G10" s="7" t="s">
        <v>24</v>
      </c>
      <c r="H10" s="7" t="s">
        <v>25</v>
      </c>
      <c r="I10" s="9">
        <v>44629</v>
      </c>
    </row>
    <row r="11" spans="1:9" x14ac:dyDescent="0.15">
      <c r="A11" s="6">
        <v>10</v>
      </c>
      <c r="B11" s="7" t="s">
        <v>8</v>
      </c>
      <c r="C11" s="8">
        <v>1887</v>
      </c>
      <c r="D11" s="9">
        <v>45425</v>
      </c>
      <c r="E11" s="13" t="str">
        <f>+HYPERLINK("http://trademark.i-assist.jp/data/china/image_1887th/66369566.pdf","66369566")</f>
        <v>66369566</v>
      </c>
      <c r="F11" s="7" t="s">
        <v>29</v>
      </c>
      <c r="G11" s="7" t="s">
        <v>30</v>
      </c>
      <c r="H11" s="7" t="s">
        <v>31</v>
      </c>
      <c r="I11" s="9">
        <v>44776</v>
      </c>
    </row>
    <row r="12" spans="1:9" ht="27" x14ac:dyDescent="0.15">
      <c r="A12" s="6">
        <v>11</v>
      </c>
      <c r="B12" s="7" t="s">
        <v>8</v>
      </c>
      <c r="C12" s="8">
        <v>1887</v>
      </c>
      <c r="D12" s="9">
        <v>45425</v>
      </c>
      <c r="E12" s="13" t="str">
        <f>+HYPERLINK("http://trademark.i-assist.jp/data/china/image_1887th/66412722.pdf","66412722")</f>
        <v>66412722</v>
      </c>
      <c r="F12" s="7" t="s">
        <v>32</v>
      </c>
      <c r="G12" s="7" t="s">
        <v>33</v>
      </c>
      <c r="H12" s="7" t="s">
        <v>34</v>
      </c>
      <c r="I12" s="9">
        <v>44777</v>
      </c>
    </row>
    <row r="13" spans="1:9" ht="27" x14ac:dyDescent="0.15">
      <c r="A13" s="6">
        <v>12</v>
      </c>
      <c r="B13" s="7" t="s">
        <v>8</v>
      </c>
      <c r="C13" s="8">
        <v>1887</v>
      </c>
      <c r="D13" s="9">
        <v>45425</v>
      </c>
      <c r="E13" s="13" t="str">
        <f>+HYPERLINK("http://trademark.i-assist.jp/data/china/image_1887th/66592782.pdf","66592782")</f>
        <v>66592782</v>
      </c>
      <c r="F13" s="7" t="s">
        <v>35</v>
      </c>
      <c r="G13" s="7" t="s">
        <v>36</v>
      </c>
      <c r="H13" s="7" t="s">
        <v>34</v>
      </c>
      <c r="I13" s="9">
        <v>44788</v>
      </c>
    </row>
    <row r="14" spans="1:9" ht="40.5" x14ac:dyDescent="0.15">
      <c r="A14" s="6">
        <v>13</v>
      </c>
      <c r="B14" s="7" t="s">
        <v>8</v>
      </c>
      <c r="C14" s="8">
        <v>1887</v>
      </c>
      <c r="D14" s="9">
        <v>45425</v>
      </c>
      <c r="E14" s="13" t="str">
        <f>+HYPERLINK("http://trademark.i-assist.jp/data/china/image_1887th/66994445.pdf","66994445")</f>
        <v>66994445</v>
      </c>
      <c r="F14" s="7" t="s">
        <v>37</v>
      </c>
      <c r="G14" s="7" t="s">
        <v>38</v>
      </c>
      <c r="H14" s="7" t="s">
        <v>39</v>
      </c>
      <c r="I14" s="9">
        <v>44806</v>
      </c>
    </row>
    <row r="15" spans="1:9" ht="27" x14ac:dyDescent="0.15">
      <c r="A15" s="6">
        <v>14</v>
      </c>
      <c r="B15" s="7" t="s">
        <v>8</v>
      </c>
      <c r="C15" s="8">
        <v>1887</v>
      </c>
      <c r="D15" s="9">
        <v>45425</v>
      </c>
      <c r="E15" s="13" t="str">
        <f>+HYPERLINK("http://trademark.i-assist.jp/data/china/image_1887th/67473270.pdf","67473270")</f>
        <v>67473270</v>
      </c>
      <c r="F15" s="7" t="s">
        <v>40</v>
      </c>
      <c r="G15" s="7" t="s">
        <v>41</v>
      </c>
      <c r="H15" s="7" t="s">
        <v>42</v>
      </c>
      <c r="I15" s="9">
        <v>44832</v>
      </c>
    </row>
    <row r="16" spans="1:9" ht="27" x14ac:dyDescent="0.15">
      <c r="A16" s="6">
        <v>15</v>
      </c>
      <c r="B16" s="7" t="s">
        <v>8</v>
      </c>
      <c r="C16" s="8">
        <v>1887</v>
      </c>
      <c r="D16" s="9">
        <v>45425</v>
      </c>
      <c r="E16" s="13" t="str">
        <f>+HYPERLINK("http://trademark.i-assist.jp/data/china/image_1887th/68122222.pdf","68122222")</f>
        <v>68122222</v>
      </c>
      <c r="F16" s="7" t="s">
        <v>43</v>
      </c>
      <c r="G16" s="7" t="s">
        <v>44</v>
      </c>
      <c r="H16" s="7" t="s">
        <v>45</v>
      </c>
      <c r="I16" s="9">
        <v>44868</v>
      </c>
    </row>
    <row r="17" spans="1:9" ht="27" x14ac:dyDescent="0.15">
      <c r="A17" s="6">
        <v>16</v>
      </c>
      <c r="B17" s="7" t="s">
        <v>8</v>
      </c>
      <c r="C17" s="8">
        <v>1887</v>
      </c>
      <c r="D17" s="9">
        <v>45425</v>
      </c>
      <c r="E17" s="13" t="str">
        <f>+HYPERLINK("http://trademark.i-assist.jp/data/china/image_1887th/68872916.pdf","68872916")</f>
        <v>68872916</v>
      </c>
      <c r="F17" s="7" t="s">
        <v>46</v>
      </c>
      <c r="G17" s="7" t="s">
        <v>47</v>
      </c>
      <c r="H17" s="7" t="s">
        <v>48</v>
      </c>
      <c r="I17" s="9">
        <v>44910</v>
      </c>
    </row>
    <row r="18" spans="1:9" x14ac:dyDescent="0.15">
      <c r="A18" s="6">
        <v>17</v>
      </c>
      <c r="B18" s="7" t="s">
        <v>8</v>
      </c>
      <c r="C18" s="8">
        <v>1887</v>
      </c>
      <c r="D18" s="9">
        <v>45425</v>
      </c>
      <c r="E18" s="13" t="str">
        <f>+HYPERLINK("http://trademark.i-assist.jp/data/china/image_1887th/68929487.pdf","68929487")</f>
        <v>68929487</v>
      </c>
      <c r="F18" s="7" t="s">
        <v>49</v>
      </c>
      <c r="G18" s="7" t="s">
        <v>50</v>
      </c>
      <c r="H18" s="7" t="s">
        <v>51</v>
      </c>
      <c r="I18" s="9">
        <v>44915</v>
      </c>
    </row>
    <row r="19" spans="1:9" ht="27" x14ac:dyDescent="0.15">
      <c r="A19" s="6">
        <v>18</v>
      </c>
      <c r="B19" s="7" t="s">
        <v>8</v>
      </c>
      <c r="C19" s="8">
        <v>1887</v>
      </c>
      <c r="D19" s="9">
        <v>45425</v>
      </c>
      <c r="E19" s="13" t="str">
        <f>+HYPERLINK("http://trademark.i-assist.jp/data/china/image_1887th/68995127.pdf","68995127")</f>
        <v>68995127</v>
      </c>
      <c r="F19" s="7" t="s">
        <v>52</v>
      </c>
      <c r="G19" s="7" t="s">
        <v>53</v>
      </c>
      <c r="H19" s="7" t="s">
        <v>34</v>
      </c>
      <c r="I19" s="9">
        <v>44921</v>
      </c>
    </row>
    <row r="20" spans="1:9" x14ac:dyDescent="0.15">
      <c r="A20" s="6">
        <v>19</v>
      </c>
      <c r="B20" s="7" t="s">
        <v>8</v>
      </c>
      <c r="C20" s="8">
        <v>1887</v>
      </c>
      <c r="D20" s="9">
        <v>45425</v>
      </c>
      <c r="E20" s="13" t="str">
        <f>+HYPERLINK("http://trademark.i-assist.jp/data/china/image_1887th/69052203.pdf","69052203")</f>
        <v>69052203</v>
      </c>
      <c r="F20" s="7" t="s">
        <v>54</v>
      </c>
      <c r="G20" s="7" t="s">
        <v>55</v>
      </c>
      <c r="H20" s="7" t="s">
        <v>56</v>
      </c>
      <c r="I20" s="9">
        <v>44925</v>
      </c>
    </row>
    <row r="21" spans="1:9" x14ac:dyDescent="0.15">
      <c r="A21" s="6">
        <v>20</v>
      </c>
      <c r="B21" s="7" t="s">
        <v>8</v>
      </c>
      <c r="C21" s="8">
        <v>1887</v>
      </c>
      <c r="D21" s="9">
        <v>45425</v>
      </c>
      <c r="E21" s="13" t="str">
        <f>+HYPERLINK("http://trademark.i-assist.jp/data/china/image_1887th/69078769.pdf","69078769")</f>
        <v>69078769</v>
      </c>
      <c r="F21" s="7" t="s">
        <v>57</v>
      </c>
      <c r="G21" s="7" t="s">
        <v>58</v>
      </c>
      <c r="H21" s="7" t="s">
        <v>59</v>
      </c>
      <c r="I21" s="9">
        <v>44929</v>
      </c>
    </row>
    <row r="22" spans="1:9" x14ac:dyDescent="0.15">
      <c r="A22" s="6">
        <v>21</v>
      </c>
      <c r="B22" s="7" t="s">
        <v>8</v>
      </c>
      <c r="C22" s="8">
        <v>1887</v>
      </c>
      <c r="D22" s="9">
        <v>45425</v>
      </c>
      <c r="E22" s="13" t="str">
        <f>+HYPERLINK("http://trademark.i-assist.jp/data/china/image_1887th/69173600.pdf","69173600")</f>
        <v>69173600</v>
      </c>
      <c r="F22" s="7" t="s">
        <v>60</v>
      </c>
      <c r="G22" s="7" t="s">
        <v>61</v>
      </c>
      <c r="H22" s="7" t="s">
        <v>62</v>
      </c>
      <c r="I22" s="9">
        <v>44936</v>
      </c>
    </row>
    <row r="23" spans="1:9" ht="27" x14ac:dyDescent="0.15">
      <c r="A23" s="6">
        <v>22</v>
      </c>
      <c r="B23" s="7" t="s">
        <v>8</v>
      </c>
      <c r="C23" s="8">
        <v>1887</v>
      </c>
      <c r="D23" s="9">
        <v>45425</v>
      </c>
      <c r="E23" s="13" t="str">
        <f>+HYPERLINK("http://trademark.i-assist.jp/data/china/image_1887th/69198389.pdf","69198389")</f>
        <v>69198389</v>
      </c>
      <c r="F23" s="7" t="s">
        <v>63</v>
      </c>
      <c r="G23" s="7" t="s">
        <v>64</v>
      </c>
      <c r="H23" s="7" t="s">
        <v>65</v>
      </c>
      <c r="I23" s="9">
        <v>44938</v>
      </c>
    </row>
    <row r="24" spans="1:9" x14ac:dyDescent="0.15">
      <c r="A24" s="6">
        <v>23</v>
      </c>
      <c r="B24" s="7" t="s">
        <v>8</v>
      </c>
      <c r="C24" s="8">
        <v>1887</v>
      </c>
      <c r="D24" s="9">
        <v>45425</v>
      </c>
      <c r="E24" s="13" t="str">
        <f>+HYPERLINK("http://trademark.i-assist.jp/data/china/image_1887th/69268547.pdf","69268547")</f>
        <v>69268547</v>
      </c>
      <c r="F24" s="7" t="s">
        <v>66</v>
      </c>
      <c r="G24" s="7" t="s">
        <v>67</v>
      </c>
      <c r="H24" s="7" t="s">
        <v>9</v>
      </c>
      <c r="I24" s="9">
        <v>44943</v>
      </c>
    </row>
    <row r="25" spans="1:9" ht="27" x14ac:dyDescent="0.15">
      <c r="A25" s="6">
        <v>24</v>
      </c>
      <c r="B25" s="7" t="s">
        <v>8</v>
      </c>
      <c r="C25" s="8">
        <v>1887</v>
      </c>
      <c r="D25" s="9">
        <v>45425</v>
      </c>
      <c r="E25" s="13" t="str">
        <f>+HYPERLINK("http://trademark.i-assist.jp/data/china/image_1887th/69448370.pdf","69448370")</f>
        <v>69448370</v>
      </c>
      <c r="F25" s="7" t="s">
        <v>68</v>
      </c>
      <c r="G25" s="7" t="s">
        <v>36</v>
      </c>
      <c r="H25" s="7" t="s">
        <v>34</v>
      </c>
      <c r="I25" s="9">
        <v>44965</v>
      </c>
    </row>
    <row r="26" spans="1:9" x14ac:dyDescent="0.15">
      <c r="A26" s="6">
        <v>25</v>
      </c>
      <c r="B26" s="7" t="s">
        <v>8</v>
      </c>
      <c r="C26" s="8">
        <v>1887</v>
      </c>
      <c r="D26" s="9">
        <v>45425</v>
      </c>
      <c r="E26" s="13" t="str">
        <f>+HYPERLINK("http://trademark.i-assist.jp/data/china/image_1887th/69470571.pdf","69470571")</f>
        <v>69470571</v>
      </c>
      <c r="F26" s="7" t="s">
        <v>69</v>
      </c>
      <c r="G26" s="7" t="s">
        <v>70</v>
      </c>
      <c r="H26" s="7" t="s">
        <v>71</v>
      </c>
      <c r="I26" s="9">
        <v>44966</v>
      </c>
    </row>
    <row r="27" spans="1:9" x14ac:dyDescent="0.15">
      <c r="A27" s="6">
        <v>26</v>
      </c>
      <c r="B27" s="7" t="s">
        <v>8</v>
      </c>
      <c r="C27" s="8">
        <v>1887</v>
      </c>
      <c r="D27" s="9">
        <v>45425</v>
      </c>
      <c r="E27" s="13" t="str">
        <f>+HYPERLINK("http://trademark.i-assist.jp/data/china/image_1887th/69506576.pdf","69506576")</f>
        <v>69506576</v>
      </c>
      <c r="F27" s="7" t="s">
        <v>72</v>
      </c>
      <c r="G27" s="7" t="s">
        <v>73</v>
      </c>
      <c r="H27" s="7" t="s">
        <v>74</v>
      </c>
      <c r="I27" s="9">
        <v>44967</v>
      </c>
    </row>
    <row r="28" spans="1:9" ht="27" x14ac:dyDescent="0.15">
      <c r="A28" s="6">
        <v>27</v>
      </c>
      <c r="B28" s="7" t="s">
        <v>8</v>
      </c>
      <c r="C28" s="8">
        <v>1887</v>
      </c>
      <c r="D28" s="9">
        <v>45425</v>
      </c>
      <c r="E28" s="13" t="str">
        <f>+HYPERLINK("http://trademark.i-assist.jp/data/china/image_1887th/69689831.pdf","69689831")</f>
        <v>69689831</v>
      </c>
      <c r="F28" s="7" t="s">
        <v>75</v>
      </c>
      <c r="G28" s="7" t="s">
        <v>76</v>
      </c>
      <c r="H28" s="7" t="s">
        <v>34</v>
      </c>
      <c r="I28" s="9">
        <v>44977</v>
      </c>
    </row>
    <row r="29" spans="1:9" x14ac:dyDescent="0.15">
      <c r="A29" s="6">
        <v>28</v>
      </c>
      <c r="B29" s="7" t="s">
        <v>8</v>
      </c>
      <c r="C29" s="8">
        <v>1887</v>
      </c>
      <c r="D29" s="9">
        <v>45425</v>
      </c>
      <c r="E29" s="13" t="str">
        <f>+HYPERLINK("http://trademark.i-assist.jp/data/china/image_1887th/69902305.pdf","69902305")</f>
        <v>69902305</v>
      </c>
      <c r="F29" s="7" t="s">
        <v>77</v>
      </c>
      <c r="G29" s="7" t="s">
        <v>78</v>
      </c>
      <c r="H29" s="7" t="s">
        <v>79</v>
      </c>
      <c r="I29" s="9">
        <v>44987</v>
      </c>
    </row>
    <row r="30" spans="1:9" x14ac:dyDescent="0.15">
      <c r="A30" s="6">
        <v>29</v>
      </c>
      <c r="B30" s="7" t="s">
        <v>8</v>
      </c>
      <c r="C30" s="8">
        <v>1887</v>
      </c>
      <c r="D30" s="9">
        <v>45425</v>
      </c>
      <c r="E30" s="13" t="str">
        <f>+HYPERLINK("http://trademark.i-assist.jp/data/china/image_1887th/69903751.pdf","69903751")</f>
        <v>69903751</v>
      </c>
      <c r="F30" s="7" t="s">
        <v>80</v>
      </c>
      <c r="G30" s="7" t="s">
        <v>81</v>
      </c>
      <c r="H30" s="7" t="s">
        <v>82</v>
      </c>
      <c r="I30" s="9">
        <v>44987</v>
      </c>
    </row>
    <row r="31" spans="1:9" ht="27" x14ac:dyDescent="0.15">
      <c r="A31" s="6">
        <v>30</v>
      </c>
      <c r="B31" s="7" t="s">
        <v>8</v>
      </c>
      <c r="C31" s="8">
        <v>1887</v>
      </c>
      <c r="D31" s="9">
        <v>45425</v>
      </c>
      <c r="E31" s="13" t="str">
        <f>+HYPERLINK("http://trademark.i-assist.jp/data/china/image_1887th/70018033.pdf","70018033")</f>
        <v>70018033</v>
      </c>
      <c r="F31" s="7" t="s">
        <v>83</v>
      </c>
      <c r="G31" s="7" t="s">
        <v>84</v>
      </c>
      <c r="H31" s="7" t="s">
        <v>85</v>
      </c>
      <c r="I31" s="9">
        <v>44992</v>
      </c>
    </row>
    <row r="32" spans="1:9" x14ac:dyDescent="0.15">
      <c r="A32" s="6">
        <v>31</v>
      </c>
      <c r="B32" s="7" t="s">
        <v>8</v>
      </c>
      <c r="C32" s="8">
        <v>1887</v>
      </c>
      <c r="D32" s="9">
        <v>45425</v>
      </c>
      <c r="E32" s="13" t="str">
        <f>+HYPERLINK("http://trademark.i-assist.jp/data/china/image_1887th/70057050.pdf","70057050")</f>
        <v>70057050</v>
      </c>
      <c r="F32" s="7" t="s">
        <v>86</v>
      </c>
      <c r="G32" s="7" t="s">
        <v>87</v>
      </c>
      <c r="H32" s="7" t="s">
        <v>88</v>
      </c>
      <c r="I32" s="9">
        <v>44993</v>
      </c>
    </row>
    <row r="33" spans="1:9" ht="27" x14ac:dyDescent="0.15">
      <c r="A33" s="6">
        <v>32</v>
      </c>
      <c r="B33" s="7" t="s">
        <v>8</v>
      </c>
      <c r="C33" s="8">
        <v>1887</v>
      </c>
      <c r="D33" s="9">
        <v>45425</v>
      </c>
      <c r="E33" s="13" t="str">
        <f>+HYPERLINK("http://trademark.i-assist.jp/data/china/image_1887th/70098293.pdf","70098293")</f>
        <v>70098293</v>
      </c>
      <c r="F33" s="7" t="s">
        <v>54</v>
      </c>
      <c r="G33" s="7" t="s">
        <v>89</v>
      </c>
      <c r="H33" s="7" t="s">
        <v>90</v>
      </c>
      <c r="I33" s="9">
        <v>44995</v>
      </c>
    </row>
    <row r="34" spans="1:9" x14ac:dyDescent="0.15">
      <c r="A34" s="6">
        <v>33</v>
      </c>
      <c r="B34" s="7" t="s">
        <v>8</v>
      </c>
      <c r="C34" s="8">
        <v>1887</v>
      </c>
      <c r="D34" s="9">
        <v>45425</v>
      </c>
      <c r="E34" s="13" t="str">
        <f>+HYPERLINK("http://trademark.i-assist.jp/data/china/image_1887th/70133431.pdf","70133431")</f>
        <v>70133431</v>
      </c>
      <c r="F34" s="7" t="s">
        <v>91</v>
      </c>
      <c r="G34" s="7" t="s">
        <v>92</v>
      </c>
      <c r="H34" s="7" t="s">
        <v>93</v>
      </c>
      <c r="I34" s="9">
        <v>44998</v>
      </c>
    </row>
    <row r="35" spans="1:9" x14ac:dyDescent="0.15">
      <c r="A35" s="6">
        <v>34</v>
      </c>
      <c r="B35" s="7" t="s">
        <v>8</v>
      </c>
      <c r="C35" s="8">
        <v>1887</v>
      </c>
      <c r="D35" s="9">
        <v>45425</v>
      </c>
      <c r="E35" s="13" t="str">
        <f>+HYPERLINK("http://trademark.i-assist.jp/data/china/image_1887th/70202924.pdf","70202924")</f>
        <v>70202924</v>
      </c>
      <c r="F35" s="7" t="s">
        <v>94</v>
      </c>
      <c r="G35" s="7" t="s">
        <v>95</v>
      </c>
      <c r="H35" s="7" t="s">
        <v>96</v>
      </c>
      <c r="I35" s="9">
        <v>45000</v>
      </c>
    </row>
    <row r="36" spans="1:9" x14ac:dyDescent="0.15">
      <c r="A36" s="6">
        <v>35</v>
      </c>
      <c r="B36" s="7" t="s">
        <v>8</v>
      </c>
      <c r="C36" s="8">
        <v>1887</v>
      </c>
      <c r="D36" s="9">
        <v>45425</v>
      </c>
      <c r="E36" s="13" t="str">
        <f>+HYPERLINK("http://trademark.i-assist.jp/data/china/image_1887th/70236676.pdf","70236676")</f>
        <v>70236676</v>
      </c>
      <c r="F36" s="7" t="s">
        <v>97</v>
      </c>
      <c r="G36" s="7" t="s">
        <v>98</v>
      </c>
      <c r="H36" s="7" t="s">
        <v>99</v>
      </c>
      <c r="I36" s="9">
        <v>45001</v>
      </c>
    </row>
    <row r="37" spans="1:9" x14ac:dyDescent="0.15">
      <c r="A37" s="6">
        <v>36</v>
      </c>
      <c r="B37" s="7" t="s">
        <v>8</v>
      </c>
      <c r="C37" s="8">
        <v>1887</v>
      </c>
      <c r="D37" s="9">
        <v>45425</v>
      </c>
      <c r="E37" s="13" t="str">
        <f>+HYPERLINK("http://trademark.i-assist.jp/data/china/image_1887th/70243263.pdf","70243263")</f>
        <v>70243263</v>
      </c>
      <c r="F37" s="7" t="s">
        <v>100</v>
      </c>
      <c r="G37" s="7" t="s">
        <v>98</v>
      </c>
      <c r="H37" s="7" t="s">
        <v>101</v>
      </c>
      <c r="I37" s="9">
        <v>45001</v>
      </c>
    </row>
    <row r="38" spans="1:9" x14ac:dyDescent="0.15">
      <c r="A38" s="6">
        <v>37</v>
      </c>
      <c r="B38" s="7" t="s">
        <v>8</v>
      </c>
      <c r="C38" s="8">
        <v>1887</v>
      </c>
      <c r="D38" s="9">
        <v>45425</v>
      </c>
      <c r="E38" s="13" t="str">
        <f>+HYPERLINK("http://trademark.i-assist.jp/data/china/image_1887th/70333223.pdf","70333223")</f>
        <v>70333223</v>
      </c>
      <c r="F38" s="7" t="s">
        <v>102</v>
      </c>
      <c r="G38" s="7" t="s">
        <v>103</v>
      </c>
      <c r="H38" s="7" t="s">
        <v>104</v>
      </c>
      <c r="I38" s="9">
        <v>45006</v>
      </c>
    </row>
    <row r="39" spans="1:9" x14ac:dyDescent="0.15">
      <c r="A39" s="6">
        <v>38</v>
      </c>
      <c r="B39" s="7" t="s">
        <v>8</v>
      </c>
      <c r="C39" s="8">
        <v>1887</v>
      </c>
      <c r="D39" s="9">
        <v>45425</v>
      </c>
      <c r="E39" s="13" t="str">
        <f>+HYPERLINK("http://trademark.i-assist.jp/data/china/image_1887th/70452403.pdf","70452403")</f>
        <v>70452403</v>
      </c>
      <c r="F39" s="7" t="s">
        <v>105</v>
      </c>
      <c r="G39" s="7" t="s">
        <v>106</v>
      </c>
      <c r="H39" s="7" t="s">
        <v>107</v>
      </c>
      <c r="I39" s="9">
        <v>45010</v>
      </c>
    </row>
    <row r="40" spans="1:9" ht="27" x14ac:dyDescent="0.15">
      <c r="A40" s="6">
        <v>39</v>
      </c>
      <c r="B40" s="7" t="s">
        <v>8</v>
      </c>
      <c r="C40" s="8">
        <v>1887</v>
      </c>
      <c r="D40" s="9">
        <v>45425</v>
      </c>
      <c r="E40" s="13" t="str">
        <f>+HYPERLINK("http://trademark.i-assist.jp/data/china/image_1887th/70882548.pdf","70882548")</f>
        <v>70882548</v>
      </c>
      <c r="F40" s="7" t="s">
        <v>108</v>
      </c>
      <c r="G40" s="7" t="s">
        <v>109</v>
      </c>
      <c r="H40" s="7" t="s">
        <v>110</v>
      </c>
      <c r="I40" s="9">
        <v>45029</v>
      </c>
    </row>
    <row r="41" spans="1:9" x14ac:dyDescent="0.15">
      <c r="A41" s="6">
        <v>40</v>
      </c>
      <c r="B41" s="7" t="s">
        <v>8</v>
      </c>
      <c r="C41" s="8">
        <v>1887</v>
      </c>
      <c r="D41" s="9">
        <v>45425</v>
      </c>
      <c r="E41" s="13" t="str">
        <f>+HYPERLINK("http://trademark.i-assist.jp/data/china/image_1887th/71411287.pdf","71411287")</f>
        <v>71411287</v>
      </c>
      <c r="F41" s="7" t="s">
        <v>111</v>
      </c>
      <c r="G41" s="7" t="s">
        <v>112</v>
      </c>
      <c r="H41" s="7" t="s">
        <v>113</v>
      </c>
      <c r="I41" s="9">
        <v>45055</v>
      </c>
    </row>
    <row r="42" spans="1:9" x14ac:dyDescent="0.15">
      <c r="A42" s="6">
        <v>41</v>
      </c>
      <c r="B42" s="7" t="s">
        <v>8</v>
      </c>
      <c r="C42" s="8">
        <v>1887</v>
      </c>
      <c r="D42" s="9">
        <v>45425</v>
      </c>
      <c r="E42" s="13" t="str">
        <f>+HYPERLINK("http://trademark.i-assist.jp/data/china/image_1887th/71427335.pdf","71427335")</f>
        <v>71427335</v>
      </c>
      <c r="F42" s="7" t="s">
        <v>114</v>
      </c>
      <c r="G42" s="7" t="s">
        <v>115</v>
      </c>
      <c r="H42" s="7" t="s">
        <v>116</v>
      </c>
      <c r="I42" s="9">
        <v>45055</v>
      </c>
    </row>
    <row r="43" spans="1:9" x14ac:dyDescent="0.15">
      <c r="A43" s="6">
        <v>42</v>
      </c>
      <c r="B43" s="7" t="s">
        <v>8</v>
      </c>
      <c r="C43" s="8">
        <v>1887</v>
      </c>
      <c r="D43" s="9">
        <v>45425</v>
      </c>
      <c r="E43" s="13" t="str">
        <f>+HYPERLINK("http://trademark.i-assist.jp/data/china/image_1887th/71492194.pdf","71492194")</f>
        <v>71492194</v>
      </c>
      <c r="F43" s="7" t="s">
        <v>117</v>
      </c>
      <c r="G43" s="7" t="s">
        <v>118</v>
      </c>
      <c r="H43" s="7" t="s">
        <v>119</v>
      </c>
      <c r="I43" s="9">
        <v>45057</v>
      </c>
    </row>
    <row r="44" spans="1:9" ht="40.5" x14ac:dyDescent="0.15">
      <c r="A44" s="6">
        <v>43</v>
      </c>
      <c r="B44" s="7" t="s">
        <v>8</v>
      </c>
      <c r="C44" s="8">
        <v>1887</v>
      </c>
      <c r="D44" s="9">
        <v>45425</v>
      </c>
      <c r="E44" s="13" t="str">
        <f>+HYPERLINK("http://trademark.i-assist.jp/data/china/image_1887th/71500999.pdf","71500999")</f>
        <v>71500999</v>
      </c>
      <c r="F44" s="7" t="s">
        <v>54</v>
      </c>
      <c r="G44" s="7" t="s">
        <v>120</v>
      </c>
      <c r="H44" s="7" t="s">
        <v>121</v>
      </c>
      <c r="I44" s="9">
        <v>45057</v>
      </c>
    </row>
    <row r="45" spans="1:9" x14ac:dyDescent="0.15">
      <c r="A45" s="6">
        <v>44</v>
      </c>
      <c r="B45" s="7" t="s">
        <v>8</v>
      </c>
      <c r="C45" s="8">
        <v>1887</v>
      </c>
      <c r="D45" s="9">
        <v>45425</v>
      </c>
      <c r="E45" s="13" t="str">
        <f>+HYPERLINK("http://trademark.i-assist.jp/data/china/image_1887th/71519131.pdf","71519131")</f>
        <v>71519131</v>
      </c>
      <c r="F45" s="7" t="s">
        <v>122</v>
      </c>
      <c r="G45" s="7" t="s">
        <v>123</v>
      </c>
      <c r="H45" s="7" t="s">
        <v>124</v>
      </c>
      <c r="I45" s="9">
        <v>45058</v>
      </c>
    </row>
    <row r="46" spans="1:9" x14ac:dyDescent="0.15">
      <c r="A46" s="6">
        <v>45</v>
      </c>
      <c r="B46" s="7" t="s">
        <v>8</v>
      </c>
      <c r="C46" s="8">
        <v>1887</v>
      </c>
      <c r="D46" s="9">
        <v>45425</v>
      </c>
      <c r="E46" s="13" t="str">
        <f>+HYPERLINK("http://trademark.i-assist.jp/data/china/image_1887th/71561400.pdf","71561400")</f>
        <v>71561400</v>
      </c>
      <c r="F46" s="7" t="s">
        <v>125</v>
      </c>
      <c r="G46" s="7" t="s">
        <v>126</v>
      </c>
      <c r="H46" s="7" t="s">
        <v>127</v>
      </c>
      <c r="I46" s="9">
        <v>45061</v>
      </c>
    </row>
    <row r="47" spans="1:9" x14ac:dyDescent="0.15">
      <c r="A47" s="6">
        <v>46</v>
      </c>
      <c r="B47" s="7" t="s">
        <v>8</v>
      </c>
      <c r="C47" s="8">
        <v>1887</v>
      </c>
      <c r="D47" s="9">
        <v>45425</v>
      </c>
      <c r="E47" s="13" t="str">
        <f>+HYPERLINK("http://trademark.i-assist.jp/data/china/image_1887th/71655727.pdf","71655727")</f>
        <v>71655727</v>
      </c>
      <c r="F47" s="7" t="s">
        <v>128</v>
      </c>
      <c r="G47" s="7" t="s">
        <v>129</v>
      </c>
      <c r="H47" s="7" t="s">
        <v>130</v>
      </c>
      <c r="I47" s="9">
        <v>45064</v>
      </c>
    </row>
    <row r="48" spans="1:9" ht="27" x14ac:dyDescent="0.15">
      <c r="A48" s="6">
        <v>47</v>
      </c>
      <c r="B48" s="7" t="s">
        <v>8</v>
      </c>
      <c r="C48" s="8">
        <v>1887</v>
      </c>
      <c r="D48" s="9">
        <v>45425</v>
      </c>
      <c r="E48" s="13" t="str">
        <f>+HYPERLINK("http://trademark.i-assist.jp/data/china/image_1887th/71729994.pdf","71729994")</f>
        <v>71729994</v>
      </c>
      <c r="F48" s="7" t="s">
        <v>131</v>
      </c>
      <c r="G48" s="7" t="s">
        <v>132</v>
      </c>
      <c r="H48" s="7" t="s">
        <v>133</v>
      </c>
      <c r="I48" s="9">
        <v>45068</v>
      </c>
    </row>
    <row r="49" spans="1:9" ht="27" x14ac:dyDescent="0.15">
      <c r="A49" s="6">
        <v>48</v>
      </c>
      <c r="B49" s="7" t="s">
        <v>8</v>
      </c>
      <c r="C49" s="8">
        <v>1887</v>
      </c>
      <c r="D49" s="9">
        <v>45425</v>
      </c>
      <c r="E49" s="13" t="str">
        <f>+HYPERLINK("http://trademark.i-assist.jp/data/china/image_1887th/71731373.pdf","71731373")</f>
        <v>71731373</v>
      </c>
      <c r="F49" s="7" t="s">
        <v>134</v>
      </c>
      <c r="G49" s="7" t="s">
        <v>135</v>
      </c>
      <c r="H49" s="7" t="s">
        <v>136</v>
      </c>
      <c r="I49" s="9">
        <v>45068</v>
      </c>
    </row>
    <row r="50" spans="1:9" x14ac:dyDescent="0.15">
      <c r="A50" s="6">
        <v>49</v>
      </c>
      <c r="B50" s="7" t="s">
        <v>8</v>
      </c>
      <c r="C50" s="8">
        <v>1887</v>
      </c>
      <c r="D50" s="9">
        <v>45425</v>
      </c>
      <c r="E50" s="13" t="str">
        <f>+HYPERLINK("http://trademark.i-assist.jp/data/china/image_1887th/71827795.pdf","71827795")</f>
        <v>71827795</v>
      </c>
      <c r="F50" s="7" t="s">
        <v>54</v>
      </c>
      <c r="G50" s="7" t="s">
        <v>137</v>
      </c>
      <c r="H50" s="7" t="s">
        <v>138</v>
      </c>
      <c r="I50" s="9">
        <v>45072</v>
      </c>
    </row>
    <row r="51" spans="1:9" x14ac:dyDescent="0.15">
      <c r="A51" s="6">
        <v>50</v>
      </c>
      <c r="B51" s="7" t="s">
        <v>8</v>
      </c>
      <c r="C51" s="8">
        <v>1887</v>
      </c>
      <c r="D51" s="9">
        <v>45425</v>
      </c>
      <c r="E51" s="13" t="str">
        <f>+HYPERLINK("http://trademark.i-assist.jp/data/china/image_1887th/71843602.pdf","71843602")</f>
        <v>71843602</v>
      </c>
      <c r="F51" s="7" t="s">
        <v>139</v>
      </c>
      <c r="G51" s="7" t="s">
        <v>140</v>
      </c>
      <c r="H51" s="7" t="s">
        <v>141</v>
      </c>
      <c r="I51" s="9">
        <v>45072</v>
      </c>
    </row>
    <row r="52" spans="1:9" x14ac:dyDescent="0.15">
      <c r="A52" s="6">
        <v>51</v>
      </c>
      <c r="B52" s="7" t="s">
        <v>8</v>
      </c>
      <c r="C52" s="8">
        <v>1887</v>
      </c>
      <c r="D52" s="9">
        <v>45425</v>
      </c>
      <c r="E52" s="13" t="str">
        <f>+HYPERLINK("http://trademark.i-assist.jp/data/china/image_1887th/71856746.pdf","71856746")</f>
        <v>71856746</v>
      </c>
      <c r="F52" s="7" t="s">
        <v>142</v>
      </c>
      <c r="G52" s="7" t="s">
        <v>143</v>
      </c>
      <c r="H52" s="7" t="s">
        <v>144</v>
      </c>
      <c r="I52" s="9">
        <v>45073</v>
      </c>
    </row>
    <row r="53" spans="1:9" x14ac:dyDescent="0.15">
      <c r="A53" s="6">
        <v>52</v>
      </c>
      <c r="B53" s="7" t="s">
        <v>8</v>
      </c>
      <c r="C53" s="8">
        <v>1887</v>
      </c>
      <c r="D53" s="9">
        <v>45425</v>
      </c>
      <c r="E53" s="13" t="str">
        <f>+HYPERLINK("http://trademark.i-assist.jp/data/china/image_1887th/71881321.pdf","71881321")</f>
        <v>71881321</v>
      </c>
      <c r="F53" s="7" t="s">
        <v>145</v>
      </c>
      <c r="G53" s="7" t="s">
        <v>146</v>
      </c>
      <c r="H53" s="7" t="s">
        <v>147</v>
      </c>
      <c r="I53" s="9">
        <v>45075</v>
      </c>
    </row>
    <row r="54" spans="1:9" ht="27" x14ac:dyDescent="0.15">
      <c r="A54" s="6">
        <v>53</v>
      </c>
      <c r="B54" s="7" t="s">
        <v>8</v>
      </c>
      <c r="C54" s="8">
        <v>1887</v>
      </c>
      <c r="D54" s="9">
        <v>45425</v>
      </c>
      <c r="E54" s="13" t="str">
        <f>+HYPERLINK("http://trademark.i-assist.jp/data/china/image_1887th/71890151.pdf","71890151")</f>
        <v>71890151</v>
      </c>
      <c r="F54" s="7" t="s">
        <v>148</v>
      </c>
      <c r="G54" s="7" t="s">
        <v>149</v>
      </c>
      <c r="H54" s="7" t="s">
        <v>150</v>
      </c>
      <c r="I54" s="9">
        <v>45075</v>
      </c>
    </row>
    <row r="55" spans="1:9" ht="27" x14ac:dyDescent="0.15">
      <c r="A55" s="6">
        <v>54</v>
      </c>
      <c r="B55" s="7" t="s">
        <v>8</v>
      </c>
      <c r="C55" s="8">
        <v>1887</v>
      </c>
      <c r="D55" s="9">
        <v>45425</v>
      </c>
      <c r="E55" s="13" t="str">
        <f>+HYPERLINK("http://trademark.i-assist.jp/data/china/image_1887th/71941531.pdf","71941531")</f>
        <v>71941531</v>
      </c>
      <c r="F55" s="7" t="s">
        <v>151</v>
      </c>
      <c r="G55" s="7" t="s">
        <v>152</v>
      </c>
      <c r="H55" s="7" t="s">
        <v>153</v>
      </c>
      <c r="I55" s="9">
        <v>45077</v>
      </c>
    </row>
    <row r="56" spans="1:9" x14ac:dyDescent="0.15">
      <c r="A56" s="6">
        <v>55</v>
      </c>
      <c r="B56" s="7" t="s">
        <v>8</v>
      </c>
      <c r="C56" s="8">
        <v>1887</v>
      </c>
      <c r="D56" s="9">
        <v>45425</v>
      </c>
      <c r="E56" s="13" t="str">
        <f>+HYPERLINK("http://trademark.i-assist.jp/data/china/image_1887th/72071660.pdf","72071660")</f>
        <v>72071660</v>
      </c>
      <c r="F56" s="7" t="s">
        <v>154</v>
      </c>
      <c r="G56" s="7" t="s">
        <v>155</v>
      </c>
      <c r="H56" s="7" t="s">
        <v>156</v>
      </c>
      <c r="I56" s="9">
        <v>45084</v>
      </c>
    </row>
    <row r="57" spans="1:9" x14ac:dyDescent="0.15">
      <c r="A57" s="6">
        <v>56</v>
      </c>
      <c r="B57" s="7" t="s">
        <v>8</v>
      </c>
      <c r="C57" s="8">
        <v>1887</v>
      </c>
      <c r="D57" s="9">
        <v>45425</v>
      </c>
      <c r="E57" s="13" t="str">
        <f>+HYPERLINK("http://trademark.i-assist.jp/data/china/image_1887th/72073074.pdf","72073074")</f>
        <v>72073074</v>
      </c>
      <c r="F57" s="7" t="s">
        <v>157</v>
      </c>
      <c r="G57" s="7" t="s">
        <v>155</v>
      </c>
      <c r="H57" s="7" t="s">
        <v>158</v>
      </c>
      <c r="I57" s="9">
        <v>45084</v>
      </c>
    </row>
    <row r="58" spans="1:9" x14ac:dyDescent="0.15">
      <c r="A58" s="6">
        <v>57</v>
      </c>
      <c r="B58" s="7" t="s">
        <v>8</v>
      </c>
      <c r="C58" s="8">
        <v>1887</v>
      </c>
      <c r="D58" s="9">
        <v>45425</v>
      </c>
      <c r="E58" s="13" t="str">
        <f>+HYPERLINK("http://trademark.i-assist.jp/data/china/image_1887th/72082001.pdf","72082001")</f>
        <v>72082001</v>
      </c>
      <c r="F58" s="7" t="s">
        <v>159</v>
      </c>
      <c r="G58" s="7" t="s">
        <v>155</v>
      </c>
      <c r="H58" s="7" t="s">
        <v>160</v>
      </c>
      <c r="I58" s="9">
        <v>45084</v>
      </c>
    </row>
    <row r="59" spans="1:9" ht="27" x14ac:dyDescent="0.15">
      <c r="A59" s="6">
        <v>58</v>
      </c>
      <c r="B59" s="7" t="s">
        <v>8</v>
      </c>
      <c r="C59" s="8">
        <v>1887</v>
      </c>
      <c r="D59" s="9">
        <v>45425</v>
      </c>
      <c r="E59" s="13" t="str">
        <f>+HYPERLINK("http://trademark.i-assist.jp/data/china/image_1887th/72086351.pdf","72086351")</f>
        <v>72086351</v>
      </c>
      <c r="F59" s="7" t="s">
        <v>161</v>
      </c>
      <c r="G59" s="7" t="s">
        <v>162</v>
      </c>
      <c r="H59" s="7" t="s">
        <v>163</v>
      </c>
      <c r="I59" s="9">
        <v>45084</v>
      </c>
    </row>
    <row r="60" spans="1:9" ht="27" x14ac:dyDescent="0.15">
      <c r="A60" s="6">
        <v>59</v>
      </c>
      <c r="B60" s="7" t="s">
        <v>8</v>
      </c>
      <c r="C60" s="8">
        <v>1887</v>
      </c>
      <c r="D60" s="9">
        <v>45425</v>
      </c>
      <c r="E60" s="13" t="str">
        <f>+HYPERLINK("http://trademark.i-assist.jp/data/china/image_1887th/72130735.pdf","72130735")</f>
        <v>72130735</v>
      </c>
      <c r="F60" s="7" t="s">
        <v>164</v>
      </c>
      <c r="G60" s="7" t="s">
        <v>165</v>
      </c>
      <c r="H60" s="7" t="s">
        <v>166</v>
      </c>
      <c r="I60" s="9">
        <v>45086</v>
      </c>
    </row>
    <row r="61" spans="1:9" x14ac:dyDescent="0.15">
      <c r="A61" s="6">
        <v>60</v>
      </c>
      <c r="B61" s="7" t="s">
        <v>8</v>
      </c>
      <c r="C61" s="8">
        <v>1887</v>
      </c>
      <c r="D61" s="9">
        <v>45425</v>
      </c>
      <c r="E61" s="13" t="str">
        <f>+HYPERLINK("http://trademark.i-assist.jp/data/china/image_1887th/72148604.pdf","72148604")</f>
        <v>72148604</v>
      </c>
      <c r="F61" s="7" t="s">
        <v>167</v>
      </c>
      <c r="G61" s="7" t="s">
        <v>168</v>
      </c>
      <c r="H61" s="7" t="s">
        <v>169</v>
      </c>
      <c r="I61" s="9">
        <v>45087</v>
      </c>
    </row>
    <row r="62" spans="1:9" x14ac:dyDescent="0.15">
      <c r="A62" s="6">
        <v>61</v>
      </c>
      <c r="B62" s="7" t="s">
        <v>8</v>
      </c>
      <c r="C62" s="8">
        <v>1887</v>
      </c>
      <c r="D62" s="9">
        <v>45425</v>
      </c>
      <c r="E62" s="13" t="str">
        <f>+HYPERLINK("http://trademark.i-assist.jp/data/china/image_1887th/72210229.pdf","72210229")</f>
        <v>72210229</v>
      </c>
      <c r="F62" s="7" t="s">
        <v>170</v>
      </c>
      <c r="G62" s="7" t="s">
        <v>171</v>
      </c>
      <c r="H62" s="7" t="s">
        <v>172</v>
      </c>
      <c r="I62" s="9">
        <v>45091</v>
      </c>
    </row>
    <row r="63" spans="1:9" x14ac:dyDescent="0.15">
      <c r="A63" s="6">
        <v>62</v>
      </c>
      <c r="B63" s="7" t="s">
        <v>8</v>
      </c>
      <c r="C63" s="8">
        <v>1887</v>
      </c>
      <c r="D63" s="9">
        <v>45425</v>
      </c>
      <c r="E63" s="13" t="str">
        <f>+HYPERLINK("http://trademark.i-assist.jp/data/china/image_1887th/72253106.pdf","72253106")</f>
        <v>72253106</v>
      </c>
      <c r="F63" s="7" t="s">
        <v>173</v>
      </c>
      <c r="G63" s="7" t="s">
        <v>174</v>
      </c>
      <c r="H63" s="7" t="s">
        <v>175</v>
      </c>
      <c r="I63" s="9">
        <v>45092</v>
      </c>
    </row>
    <row r="64" spans="1:9" x14ac:dyDescent="0.15">
      <c r="A64" s="6">
        <v>63</v>
      </c>
      <c r="B64" s="7" t="s">
        <v>8</v>
      </c>
      <c r="C64" s="8">
        <v>1887</v>
      </c>
      <c r="D64" s="9">
        <v>45425</v>
      </c>
      <c r="E64" s="13" t="str">
        <f>+HYPERLINK("http://trademark.i-assist.jp/data/china/image_1887th/72305428.pdf","72305428")</f>
        <v>72305428</v>
      </c>
      <c r="F64" s="7" t="s">
        <v>176</v>
      </c>
      <c r="G64" s="7" t="s">
        <v>177</v>
      </c>
      <c r="H64" s="7" t="s">
        <v>178</v>
      </c>
      <c r="I64" s="9">
        <v>45096</v>
      </c>
    </row>
    <row r="65" spans="1:9" x14ac:dyDescent="0.15">
      <c r="A65" s="6">
        <v>64</v>
      </c>
      <c r="B65" s="7" t="s">
        <v>8</v>
      </c>
      <c r="C65" s="8">
        <v>1887</v>
      </c>
      <c r="D65" s="9">
        <v>45425</v>
      </c>
      <c r="E65" s="13" t="str">
        <f>+HYPERLINK("http://trademark.i-assist.jp/data/china/image_1887th/72404981.pdf","72404981")</f>
        <v>72404981</v>
      </c>
      <c r="F65" s="7" t="s">
        <v>179</v>
      </c>
      <c r="G65" s="7" t="s">
        <v>180</v>
      </c>
      <c r="H65" s="7" t="s">
        <v>181</v>
      </c>
      <c r="I65" s="9">
        <v>45102</v>
      </c>
    </row>
    <row r="66" spans="1:9" x14ac:dyDescent="0.15">
      <c r="A66" s="6">
        <v>65</v>
      </c>
      <c r="B66" s="7" t="s">
        <v>8</v>
      </c>
      <c r="C66" s="8">
        <v>1887</v>
      </c>
      <c r="D66" s="9">
        <v>45425</v>
      </c>
      <c r="E66" s="13" t="str">
        <f>+HYPERLINK("http://trademark.i-assist.jp/data/china/image_1887th/72473620.pdf","72473620")</f>
        <v>72473620</v>
      </c>
      <c r="F66" s="7" t="s">
        <v>54</v>
      </c>
      <c r="G66" s="7" t="s">
        <v>182</v>
      </c>
      <c r="H66" s="7" t="s">
        <v>183</v>
      </c>
      <c r="I66" s="9">
        <v>45104</v>
      </c>
    </row>
    <row r="67" spans="1:9" x14ac:dyDescent="0.15">
      <c r="A67" s="6">
        <v>66</v>
      </c>
      <c r="B67" s="7" t="s">
        <v>8</v>
      </c>
      <c r="C67" s="8">
        <v>1887</v>
      </c>
      <c r="D67" s="9">
        <v>45425</v>
      </c>
      <c r="E67" s="13" t="str">
        <f>+HYPERLINK("http://trademark.i-assist.jp/data/china/image_1887th/72493201.pdf","72493201")</f>
        <v>72493201</v>
      </c>
      <c r="F67" s="7" t="s">
        <v>184</v>
      </c>
      <c r="G67" s="7" t="s">
        <v>185</v>
      </c>
      <c r="H67" s="7" t="s">
        <v>186</v>
      </c>
      <c r="I67" s="9">
        <v>45105</v>
      </c>
    </row>
    <row r="68" spans="1:9" x14ac:dyDescent="0.15">
      <c r="A68" s="6">
        <v>67</v>
      </c>
      <c r="B68" s="7" t="s">
        <v>8</v>
      </c>
      <c r="C68" s="8">
        <v>1887</v>
      </c>
      <c r="D68" s="9">
        <v>45425</v>
      </c>
      <c r="E68" s="13" t="str">
        <f>+HYPERLINK("http://trademark.i-assist.jp/data/china/image_1887th/72516720.pdf","72516720")</f>
        <v>72516720</v>
      </c>
      <c r="F68" s="7" t="s">
        <v>187</v>
      </c>
      <c r="G68" s="7" t="s">
        <v>188</v>
      </c>
      <c r="H68" s="7" t="s">
        <v>189</v>
      </c>
      <c r="I68" s="9">
        <v>45106</v>
      </c>
    </row>
    <row r="69" spans="1:9" x14ac:dyDescent="0.15">
      <c r="A69" s="6">
        <v>68</v>
      </c>
      <c r="B69" s="7" t="s">
        <v>8</v>
      </c>
      <c r="C69" s="8">
        <v>1887</v>
      </c>
      <c r="D69" s="9">
        <v>45425</v>
      </c>
      <c r="E69" s="13" t="str">
        <f>+HYPERLINK("http://trademark.i-assist.jp/data/china/image_1887th/72705224.pdf","72705224")</f>
        <v>72705224</v>
      </c>
      <c r="F69" s="7" t="s">
        <v>190</v>
      </c>
      <c r="G69" s="7" t="s">
        <v>191</v>
      </c>
      <c r="H69" s="7" t="s">
        <v>192</v>
      </c>
      <c r="I69" s="9">
        <v>45114</v>
      </c>
    </row>
    <row r="70" spans="1:9" x14ac:dyDescent="0.15">
      <c r="A70" s="6">
        <v>69</v>
      </c>
      <c r="B70" s="7" t="s">
        <v>8</v>
      </c>
      <c r="C70" s="8">
        <v>1887</v>
      </c>
      <c r="D70" s="9">
        <v>45425</v>
      </c>
      <c r="E70" s="13" t="str">
        <f>+HYPERLINK("http://trademark.i-assist.jp/data/china/image_1887th/72774840.pdf","72774840")</f>
        <v>72774840</v>
      </c>
      <c r="F70" s="7" t="s">
        <v>193</v>
      </c>
      <c r="G70" s="7" t="s">
        <v>194</v>
      </c>
      <c r="H70" s="7" t="s">
        <v>195</v>
      </c>
      <c r="I70" s="9">
        <v>45118</v>
      </c>
    </row>
    <row r="71" spans="1:9" x14ac:dyDescent="0.15">
      <c r="A71" s="6">
        <v>70</v>
      </c>
      <c r="B71" s="7" t="s">
        <v>8</v>
      </c>
      <c r="C71" s="8">
        <v>1887</v>
      </c>
      <c r="D71" s="9">
        <v>45425</v>
      </c>
      <c r="E71" s="13" t="str">
        <f>+HYPERLINK("http://trademark.i-assist.jp/data/china/image_1887th/72896196.pdf","72896196")</f>
        <v>72896196</v>
      </c>
      <c r="F71" s="7" t="s">
        <v>196</v>
      </c>
      <c r="G71" s="7" t="s">
        <v>197</v>
      </c>
      <c r="H71" s="7" t="s">
        <v>198</v>
      </c>
      <c r="I71" s="9">
        <v>45125</v>
      </c>
    </row>
    <row r="72" spans="1:9" x14ac:dyDescent="0.15">
      <c r="A72" s="6">
        <v>71</v>
      </c>
      <c r="B72" s="7" t="s">
        <v>8</v>
      </c>
      <c r="C72" s="8">
        <v>1887</v>
      </c>
      <c r="D72" s="9">
        <v>45425</v>
      </c>
      <c r="E72" s="13" t="str">
        <f>+HYPERLINK("http://trademark.i-assist.jp/data/china/image_1887th/72898761.pdf","72898761")</f>
        <v>72898761</v>
      </c>
      <c r="F72" s="7" t="s">
        <v>199</v>
      </c>
      <c r="G72" s="7" t="s">
        <v>200</v>
      </c>
      <c r="H72" s="7" t="s">
        <v>201</v>
      </c>
      <c r="I72" s="9">
        <v>45125</v>
      </c>
    </row>
    <row r="73" spans="1:9" x14ac:dyDescent="0.15">
      <c r="A73" s="6">
        <v>72</v>
      </c>
      <c r="B73" s="7" t="s">
        <v>8</v>
      </c>
      <c r="C73" s="8">
        <v>1887</v>
      </c>
      <c r="D73" s="9">
        <v>45425</v>
      </c>
      <c r="E73" s="13" t="str">
        <f>+HYPERLINK("http://trademark.i-assist.jp/data/china/image_1887th/72900574.pdf","72900574")</f>
        <v>72900574</v>
      </c>
      <c r="F73" s="7" t="s">
        <v>202</v>
      </c>
      <c r="G73" s="7" t="s">
        <v>197</v>
      </c>
      <c r="H73" s="7" t="s">
        <v>203</v>
      </c>
      <c r="I73" s="9">
        <v>45125</v>
      </c>
    </row>
    <row r="74" spans="1:9" ht="27" x14ac:dyDescent="0.15">
      <c r="A74" s="6">
        <v>73</v>
      </c>
      <c r="B74" s="7" t="s">
        <v>8</v>
      </c>
      <c r="C74" s="8">
        <v>1887</v>
      </c>
      <c r="D74" s="9">
        <v>45425</v>
      </c>
      <c r="E74" s="13" t="str">
        <f>+HYPERLINK("http://trademark.i-assist.jp/data/china/image_1887th/73044487.pdf","73044487")</f>
        <v>73044487</v>
      </c>
      <c r="F74" s="7" t="s">
        <v>204</v>
      </c>
      <c r="G74" s="7" t="s">
        <v>205</v>
      </c>
      <c r="H74" s="7" t="s">
        <v>206</v>
      </c>
      <c r="I74" s="9">
        <v>45131</v>
      </c>
    </row>
    <row r="75" spans="1:9" x14ac:dyDescent="0.15">
      <c r="A75" s="6">
        <v>74</v>
      </c>
      <c r="B75" s="7" t="s">
        <v>8</v>
      </c>
      <c r="C75" s="8">
        <v>1887</v>
      </c>
      <c r="D75" s="9">
        <v>45425</v>
      </c>
      <c r="E75" s="13" t="str">
        <f>+HYPERLINK("http://trademark.i-assist.jp/data/china/image_1887th/73049458.pdf","73049458")</f>
        <v>73049458</v>
      </c>
      <c r="F75" s="7" t="s">
        <v>207</v>
      </c>
      <c r="G75" s="7" t="s">
        <v>208</v>
      </c>
      <c r="H75" s="7" t="s">
        <v>209</v>
      </c>
      <c r="I75" s="9">
        <v>45132</v>
      </c>
    </row>
    <row r="76" spans="1:9" ht="27" x14ac:dyDescent="0.15">
      <c r="A76" s="6">
        <v>75</v>
      </c>
      <c r="B76" s="7" t="s">
        <v>8</v>
      </c>
      <c r="C76" s="8">
        <v>1887</v>
      </c>
      <c r="D76" s="9">
        <v>45425</v>
      </c>
      <c r="E76" s="13" t="str">
        <f>+HYPERLINK("http://trademark.i-assist.jp/data/china/image_1887th/74738230.pdf","74738230")</f>
        <v>74738230</v>
      </c>
      <c r="F76" s="7" t="s">
        <v>210</v>
      </c>
      <c r="G76" s="7" t="s">
        <v>211</v>
      </c>
      <c r="H76" s="7" t="s">
        <v>212</v>
      </c>
      <c r="I76" s="9">
        <v>45223</v>
      </c>
    </row>
    <row r="77" spans="1:9" ht="27" x14ac:dyDescent="0.15">
      <c r="A77" s="6">
        <v>76</v>
      </c>
      <c r="B77" s="7" t="s">
        <v>8</v>
      </c>
      <c r="C77" s="8">
        <v>1887</v>
      </c>
      <c r="D77" s="9">
        <v>45425</v>
      </c>
      <c r="E77" s="13" t="str">
        <f>+HYPERLINK("http://trademark.i-assist.jp/data/china/image_1887th/74739882.pdf","74739882")</f>
        <v>74739882</v>
      </c>
      <c r="F77" s="7" t="s">
        <v>213</v>
      </c>
      <c r="G77" s="7" t="s">
        <v>214</v>
      </c>
      <c r="H77" s="7" t="s">
        <v>150</v>
      </c>
      <c r="I77" s="9">
        <v>45223</v>
      </c>
    </row>
    <row r="78" spans="1:9" ht="40.5" x14ac:dyDescent="0.15">
      <c r="A78" s="6">
        <v>77</v>
      </c>
      <c r="B78" s="7" t="s">
        <v>8</v>
      </c>
      <c r="C78" s="8">
        <v>1887</v>
      </c>
      <c r="D78" s="9">
        <v>45425</v>
      </c>
      <c r="E78" s="13" t="str">
        <f>+HYPERLINK("http://trademark.i-assist.jp/data/china/image_1887th/75103720.pdf","75103720")</f>
        <v>75103720</v>
      </c>
      <c r="F78" s="7" t="s">
        <v>215</v>
      </c>
      <c r="G78" s="7" t="s">
        <v>216</v>
      </c>
      <c r="H78" s="7" t="s">
        <v>217</v>
      </c>
      <c r="I78" s="9">
        <v>45240</v>
      </c>
    </row>
    <row r="79" spans="1:9" x14ac:dyDescent="0.15">
      <c r="A79" s="6">
        <v>78</v>
      </c>
      <c r="B79" s="7" t="s">
        <v>8</v>
      </c>
      <c r="C79" s="8">
        <v>1887</v>
      </c>
      <c r="D79" s="9">
        <v>45425</v>
      </c>
      <c r="E79" s="13" t="str">
        <f>+HYPERLINK("http://trademark.i-assist.jp/data/china/image_1887th/75253728.pdf","75253728")</f>
        <v>75253728</v>
      </c>
      <c r="F79" s="7" t="s">
        <v>218</v>
      </c>
      <c r="G79" s="7" t="s">
        <v>219</v>
      </c>
      <c r="H79" s="7" t="s">
        <v>220</v>
      </c>
      <c r="I79" s="9">
        <v>45247</v>
      </c>
    </row>
    <row r="80" spans="1:9" x14ac:dyDescent="0.15">
      <c r="A80" s="6">
        <v>79</v>
      </c>
      <c r="B80" s="7" t="s">
        <v>8</v>
      </c>
      <c r="C80" s="8">
        <v>1887</v>
      </c>
      <c r="D80" s="9">
        <v>45425</v>
      </c>
      <c r="E80" s="13" t="str">
        <f>+HYPERLINK("http://trademark.i-assist.jp/data/china/image_1887th/75315366.pdf","75315366")</f>
        <v>75315366</v>
      </c>
      <c r="F80" s="7" t="s">
        <v>221</v>
      </c>
      <c r="G80" s="7" t="s">
        <v>222</v>
      </c>
      <c r="H80" s="7" t="s">
        <v>223</v>
      </c>
      <c r="I80" s="9">
        <v>45251</v>
      </c>
    </row>
    <row r="81" spans="1:9" x14ac:dyDescent="0.15">
      <c r="A81" s="6">
        <v>80</v>
      </c>
      <c r="B81" s="7" t="s">
        <v>8</v>
      </c>
      <c r="C81" s="8">
        <v>1887</v>
      </c>
      <c r="D81" s="9">
        <v>45425</v>
      </c>
      <c r="E81" s="13" t="str">
        <f>+HYPERLINK("http://trademark.i-assist.jp/data/china/image_1887th/75446268.pdf","75446268")</f>
        <v>75446268</v>
      </c>
      <c r="F81" s="7" t="s">
        <v>224</v>
      </c>
      <c r="G81" s="7" t="s">
        <v>225</v>
      </c>
      <c r="H81" s="7" t="s">
        <v>226</v>
      </c>
      <c r="I81" s="9">
        <v>45258</v>
      </c>
    </row>
    <row r="82" spans="1:9" x14ac:dyDescent="0.15">
      <c r="A82" s="6">
        <v>81</v>
      </c>
      <c r="B82" s="7" t="s">
        <v>8</v>
      </c>
      <c r="C82" s="8">
        <v>1887</v>
      </c>
      <c r="D82" s="9">
        <v>45425</v>
      </c>
      <c r="E82" s="13" t="str">
        <f>+HYPERLINK("http://trademark.i-assist.jp/data/china/image_1887th/75458396.pdf","75458396")</f>
        <v>75458396</v>
      </c>
      <c r="F82" s="7" t="s">
        <v>227</v>
      </c>
      <c r="G82" s="7" t="s">
        <v>228</v>
      </c>
      <c r="H82" s="7" t="s">
        <v>229</v>
      </c>
      <c r="I82" s="9">
        <v>45258</v>
      </c>
    </row>
    <row r="83" spans="1:9" x14ac:dyDescent="0.15">
      <c r="A83" s="6">
        <v>82</v>
      </c>
      <c r="B83" s="7" t="s">
        <v>8</v>
      </c>
      <c r="C83" s="8">
        <v>1887</v>
      </c>
      <c r="D83" s="9">
        <v>45425</v>
      </c>
      <c r="E83" s="13" t="str">
        <f>+HYPERLINK("http://trademark.i-assist.jp/data/china/image_1887th/75502382.pdf","75502382")</f>
        <v>75502382</v>
      </c>
      <c r="F83" s="7" t="s">
        <v>230</v>
      </c>
      <c r="G83" s="7" t="s">
        <v>231</v>
      </c>
      <c r="H83" s="7" t="s">
        <v>232</v>
      </c>
      <c r="I83" s="9">
        <v>45260</v>
      </c>
    </row>
    <row r="84" spans="1:9" x14ac:dyDescent="0.15">
      <c r="A84" s="6">
        <v>83</v>
      </c>
      <c r="B84" s="7" t="s">
        <v>8</v>
      </c>
      <c r="C84" s="8">
        <v>1887</v>
      </c>
      <c r="D84" s="9">
        <v>45425</v>
      </c>
      <c r="E84" s="13" t="str">
        <f>+HYPERLINK("http://trademark.i-assist.jp/data/china/image_1887th/75535397.pdf","75535397")</f>
        <v>75535397</v>
      </c>
      <c r="F84" s="7" t="s">
        <v>233</v>
      </c>
      <c r="G84" s="7" t="s">
        <v>234</v>
      </c>
      <c r="H84" s="7" t="s">
        <v>235</v>
      </c>
      <c r="I84" s="9">
        <v>45261</v>
      </c>
    </row>
    <row r="85" spans="1:9" x14ac:dyDescent="0.15">
      <c r="A85" s="6">
        <v>84</v>
      </c>
      <c r="B85" s="7" t="s">
        <v>8</v>
      </c>
      <c r="C85" s="8">
        <v>1887</v>
      </c>
      <c r="D85" s="9">
        <v>45425</v>
      </c>
      <c r="E85" s="13" t="str">
        <f>+HYPERLINK("http://trademark.i-assist.jp/data/china/image_1887th/75556241.pdf","75556241")</f>
        <v>75556241</v>
      </c>
      <c r="F85" s="7" t="s">
        <v>236</v>
      </c>
      <c r="G85" s="7" t="s">
        <v>237</v>
      </c>
      <c r="H85" s="7" t="s">
        <v>238</v>
      </c>
      <c r="I85" s="9">
        <v>45263</v>
      </c>
    </row>
    <row r="86" spans="1:9" x14ac:dyDescent="0.15">
      <c r="A86" s="6">
        <v>85</v>
      </c>
      <c r="B86" s="7" t="s">
        <v>8</v>
      </c>
      <c r="C86" s="8">
        <v>1887</v>
      </c>
      <c r="D86" s="9">
        <v>45425</v>
      </c>
      <c r="E86" s="13" t="str">
        <f>+HYPERLINK("http://trademark.i-assist.jp/data/china/image_1887th/75578261.pdf","75578261")</f>
        <v>75578261</v>
      </c>
      <c r="F86" s="7" t="s">
        <v>239</v>
      </c>
      <c r="G86" s="7" t="s">
        <v>240</v>
      </c>
      <c r="H86" s="7" t="s">
        <v>241</v>
      </c>
      <c r="I86" s="9">
        <v>45264</v>
      </c>
    </row>
    <row r="87" spans="1:9" x14ac:dyDescent="0.15">
      <c r="A87" s="6">
        <v>86</v>
      </c>
      <c r="B87" s="7" t="s">
        <v>8</v>
      </c>
      <c r="C87" s="8">
        <v>1887</v>
      </c>
      <c r="D87" s="9">
        <v>45425</v>
      </c>
      <c r="E87" s="13" t="str">
        <f>+HYPERLINK("http://trademark.i-assist.jp/data/china/image_1887th/75602459.pdf","75602459")</f>
        <v>75602459</v>
      </c>
      <c r="F87" s="7" t="s">
        <v>242</v>
      </c>
      <c r="G87" s="7" t="s">
        <v>243</v>
      </c>
      <c r="H87" s="7" t="s">
        <v>244</v>
      </c>
      <c r="I87" s="9">
        <v>45265</v>
      </c>
    </row>
    <row r="88" spans="1:9" x14ac:dyDescent="0.15">
      <c r="A88" s="6">
        <v>87</v>
      </c>
      <c r="B88" s="7" t="s">
        <v>8</v>
      </c>
      <c r="C88" s="8">
        <v>1887</v>
      </c>
      <c r="D88" s="9">
        <v>45425</v>
      </c>
      <c r="E88" s="13" t="str">
        <f>+HYPERLINK("http://trademark.i-assist.jp/data/china/image_1887th/75609228.pdf","75609228")</f>
        <v>75609228</v>
      </c>
      <c r="F88" s="7" t="s">
        <v>245</v>
      </c>
      <c r="G88" s="7" t="s">
        <v>246</v>
      </c>
      <c r="H88" s="7" t="s">
        <v>247</v>
      </c>
      <c r="I88" s="9">
        <v>45265</v>
      </c>
    </row>
    <row r="89" spans="1:9" x14ac:dyDescent="0.15">
      <c r="A89" s="6">
        <v>88</v>
      </c>
      <c r="B89" s="7" t="s">
        <v>8</v>
      </c>
      <c r="C89" s="8">
        <v>1887</v>
      </c>
      <c r="D89" s="9">
        <v>45425</v>
      </c>
      <c r="E89" s="13" t="str">
        <f>+HYPERLINK("http://trademark.i-assist.jp/data/china/image_1887th/75610458.pdf","75610458")</f>
        <v>75610458</v>
      </c>
      <c r="F89" s="7" t="s">
        <v>248</v>
      </c>
      <c r="G89" s="7" t="s">
        <v>243</v>
      </c>
      <c r="H89" s="7" t="s">
        <v>249</v>
      </c>
      <c r="I89" s="9">
        <v>45265</v>
      </c>
    </row>
    <row r="90" spans="1:9" x14ac:dyDescent="0.15">
      <c r="A90" s="6">
        <v>89</v>
      </c>
      <c r="B90" s="7" t="s">
        <v>8</v>
      </c>
      <c r="C90" s="8">
        <v>1887</v>
      </c>
      <c r="D90" s="9">
        <v>45425</v>
      </c>
      <c r="E90" s="13" t="str">
        <f>+HYPERLINK("http://trademark.i-assist.jp/data/china/image_1887th/75611940.pdf","75611940")</f>
        <v>75611940</v>
      </c>
      <c r="F90" s="7" t="s">
        <v>250</v>
      </c>
      <c r="G90" s="7" t="s">
        <v>251</v>
      </c>
      <c r="H90" s="7" t="s">
        <v>252</v>
      </c>
      <c r="I90" s="9">
        <v>45266</v>
      </c>
    </row>
    <row r="91" spans="1:9" x14ac:dyDescent="0.15">
      <c r="A91" s="6">
        <v>90</v>
      </c>
      <c r="B91" s="7" t="s">
        <v>8</v>
      </c>
      <c r="C91" s="8">
        <v>1887</v>
      </c>
      <c r="D91" s="9">
        <v>45425</v>
      </c>
      <c r="E91" s="13" t="str">
        <f>+HYPERLINK("http://trademark.i-assist.jp/data/china/image_1887th/75625053.pdf","75625053")</f>
        <v>75625053</v>
      </c>
      <c r="F91" s="7" t="s">
        <v>253</v>
      </c>
      <c r="G91" s="7" t="s">
        <v>251</v>
      </c>
      <c r="H91" s="7" t="s">
        <v>254</v>
      </c>
      <c r="I91" s="9">
        <v>45266</v>
      </c>
    </row>
    <row r="92" spans="1:9" ht="27" x14ac:dyDescent="0.15">
      <c r="A92" s="6">
        <v>91</v>
      </c>
      <c r="B92" s="7" t="s">
        <v>8</v>
      </c>
      <c r="C92" s="8">
        <v>1887</v>
      </c>
      <c r="D92" s="9">
        <v>45425</v>
      </c>
      <c r="E92" s="13" t="str">
        <f>+HYPERLINK("http://trademark.i-assist.jp/data/china/image_1887th/75660284A.pdf","75660284A")</f>
        <v>75660284A</v>
      </c>
      <c r="F92" s="7" t="s">
        <v>255</v>
      </c>
      <c r="G92" s="7" t="s">
        <v>256</v>
      </c>
      <c r="H92" s="7" t="s">
        <v>257</v>
      </c>
      <c r="I92" s="9">
        <v>45267</v>
      </c>
    </row>
    <row r="93" spans="1:9" x14ac:dyDescent="0.15">
      <c r="A93" s="6">
        <v>92</v>
      </c>
      <c r="B93" s="7" t="s">
        <v>8</v>
      </c>
      <c r="C93" s="8">
        <v>1887</v>
      </c>
      <c r="D93" s="9">
        <v>45425</v>
      </c>
      <c r="E93" s="13" t="str">
        <f>+HYPERLINK("http://trademark.i-assist.jp/data/china/image_1887th/75688516.pdf","75688516")</f>
        <v>75688516</v>
      </c>
      <c r="F93" s="7" t="s">
        <v>258</v>
      </c>
      <c r="G93" s="7" t="s">
        <v>259</v>
      </c>
      <c r="H93" s="7" t="s">
        <v>260</v>
      </c>
      <c r="I93" s="9">
        <v>45268</v>
      </c>
    </row>
    <row r="94" spans="1:9" x14ac:dyDescent="0.15">
      <c r="A94" s="6">
        <v>93</v>
      </c>
      <c r="B94" s="7" t="s">
        <v>8</v>
      </c>
      <c r="C94" s="8">
        <v>1887</v>
      </c>
      <c r="D94" s="9">
        <v>45425</v>
      </c>
      <c r="E94" s="13" t="str">
        <f>+HYPERLINK("http://trademark.i-assist.jp/data/china/image_1887th/75693494.pdf","75693494")</f>
        <v>75693494</v>
      </c>
      <c r="F94" s="7" t="s">
        <v>54</v>
      </c>
      <c r="G94" s="7" t="s">
        <v>261</v>
      </c>
      <c r="H94" s="7" t="s">
        <v>262</v>
      </c>
      <c r="I94" s="9">
        <v>45269</v>
      </c>
    </row>
    <row r="95" spans="1:9" ht="27" x14ac:dyDescent="0.15">
      <c r="A95" s="6">
        <v>94</v>
      </c>
      <c r="B95" s="7" t="s">
        <v>8</v>
      </c>
      <c r="C95" s="8">
        <v>1887</v>
      </c>
      <c r="D95" s="9">
        <v>45425</v>
      </c>
      <c r="E95" s="13" t="str">
        <f>+HYPERLINK("http://trademark.i-assist.jp/data/china/image_1887th/75702032.pdf","75702032")</f>
        <v>75702032</v>
      </c>
      <c r="F95" s="7" t="s">
        <v>263</v>
      </c>
      <c r="G95" s="7" t="s">
        <v>264</v>
      </c>
      <c r="H95" s="7" t="s">
        <v>265</v>
      </c>
      <c r="I95" s="9">
        <v>45271</v>
      </c>
    </row>
    <row r="96" spans="1:9" ht="27" x14ac:dyDescent="0.15">
      <c r="A96" s="6">
        <v>95</v>
      </c>
      <c r="B96" s="7" t="s">
        <v>8</v>
      </c>
      <c r="C96" s="8">
        <v>1887</v>
      </c>
      <c r="D96" s="9">
        <v>45425</v>
      </c>
      <c r="E96" s="13" t="str">
        <f>+HYPERLINK("http://trademark.i-assist.jp/data/china/image_1887th/75727006.pdf","75727006")</f>
        <v>75727006</v>
      </c>
      <c r="F96" s="7" t="s">
        <v>263</v>
      </c>
      <c r="G96" s="7" t="s">
        <v>264</v>
      </c>
      <c r="H96" s="7" t="s">
        <v>266</v>
      </c>
      <c r="I96" s="9">
        <v>45271</v>
      </c>
    </row>
    <row r="97" spans="1:9" x14ac:dyDescent="0.15">
      <c r="A97" s="6">
        <v>96</v>
      </c>
      <c r="B97" s="7" t="s">
        <v>8</v>
      </c>
      <c r="C97" s="8">
        <v>1887</v>
      </c>
      <c r="D97" s="9">
        <v>45425</v>
      </c>
      <c r="E97" s="13" t="str">
        <f>+HYPERLINK("http://trademark.i-assist.jp/data/china/image_1887th/75779685.pdf","75779685")</f>
        <v>75779685</v>
      </c>
      <c r="F97" s="7" t="s">
        <v>267</v>
      </c>
      <c r="G97" s="7" t="s">
        <v>268</v>
      </c>
      <c r="H97" s="7" t="s">
        <v>269</v>
      </c>
      <c r="I97" s="9">
        <v>45273</v>
      </c>
    </row>
    <row r="98" spans="1:9" x14ac:dyDescent="0.15">
      <c r="A98" s="6">
        <v>97</v>
      </c>
      <c r="B98" s="7" t="s">
        <v>8</v>
      </c>
      <c r="C98" s="8">
        <v>1887</v>
      </c>
      <c r="D98" s="9">
        <v>45425</v>
      </c>
      <c r="E98" s="13" t="str">
        <f>+HYPERLINK("http://trademark.i-assist.jp/data/china/image_1887th/75793067.pdf","75793067")</f>
        <v>75793067</v>
      </c>
      <c r="F98" s="7" t="s">
        <v>270</v>
      </c>
      <c r="G98" s="7" t="s">
        <v>271</v>
      </c>
      <c r="H98" s="7" t="s">
        <v>272</v>
      </c>
      <c r="I98" s="9">
        <v>45274</v>
      </c>
    </row>
    <row r="99" spans="1:9" x14ac:dyDescent="0.15">
      <c r="A99" s="6">
        <v>98</v>
      </c>
      <c r="B99" s="7" t="s">
        <v>8</v>
      </c>
      <c r="C99" s="8">
        <v>1887</v>
      </c>
      <c r="D99" s="9">
        <v>45425</v>
      </c>
      <c r="E99" s="13" t="str">
        <f>+HYPERLINK("http://trademark.i-assist.jp/data/china/image_1887th/75815062.pdf","75815062")</f>
        <v>75815062</v>
      </c>
      <c r="F99" s="7" t="s">
        <v>54</v>
      </c>
      <c r="G99" s="7" t="s">
        <v>273</v>
      </c>
      <c r="H99" s="7" t="s">
        <v>274</v>
      </c>
      <c r="I99" s="9">
        <v>45275</v>
      </c>
    </row>
    <row r="100" spans="1:9" x14ac:dyDescent="0.15">
      <c r="A100" s="6">
        <v>99</v>
      </c>
      <c r="B100" s="7" t="s">
        <v>8</v>
      </c>
      <c r="C100" s="8">
        <v>1887</v>
      </c>
      <c r="D100" s="9">
        <v>45425</v>
      </c>
      <c r="E100" s="13" t="str">
        <f>+HYPERLINK("http://trademark.i-assist.jp/data/china/image_1887th/75824787.pdf","75824787")</f>
        <v>75824787</v>
      </c>
      <c r="F100" s="7" t="s">
        <v>275</v>
      </c>
      <c r="G100" s="7" t="s">
        <v>276</v>
      </c>
      <c r="H100" s="7" t="s">
        <v>277</v>
      </c>
      <c r="I100" s="9">
        <v>45275</v>
      </c>
    </row>
    <row r="101" spans="1:9" x14ac:dyDescent="0.15">
      <c r="A101" s="6">
        <v>100</v>
      </c>
      <c r="B101" s="7" t="s">
        <v>8</v>
      </c>
      <c r="C101" s="8">
        <v>1887</v>
      </c>
      <c r="D101" s="9">
        <v>45425</v>
      </c>
      <c r="E101" s="13" t="str">
        <f>+HYPERLINK("http://trademark.i-assist.jp/data/china/image_1887th/75873391.pdf","75873391")</f>
        <v>75873391</v>
      </c>
      <c r="F101" s="7" t="s">
        <v>54</v>
      </c>
      <c r="G101" s="7" t="s">
        <v>278</v>
      </c>
      <c r="H101" s="7" t="s">
        <v>279</v>
      </c>
      <c r="I101" s="9">
        <v>45279</v>
      </c>
    </row>
    <row r="102" spans="1:9" x14ac:dyDescent="0.15">
      <c r="A102" s="6">
        <v>101</v>
      </c>
      <c r="B102" s="7" t="s">
        <v>8</v>
      </c>
      <c r="C102" s="8">
        <v>1887</v>
      </c>
      <c r="D102" s="9">
        <v>45425</v>
      </c>
      <c r="E102" s="13" t="str">
        <f>+HYPERLINK("http://trademark.i-assist.jp/data/china/image_1887th/75888750.pdf","75888750")</f>
        <v>75888750</v>
      </c>
      <c r="F102" s="7" t="s">
        <v>280</v>
      </c>
      <c r="G102" s="7" t="s">
        <v>281</v>
      </c>
      <c r="H102" s="7" t="s">
        <v>282</v>
      </c>
      <c r="I102" s="9">
        <v>45279</v>
      </c>
    </row>
    <row r="103" spans="1:9" x14ac:dyDescent="0.15">
      <c r="A103" s="6">
        <v>102</v>
      </c>
      <c r="B103" s="7" t="s">
        <v>8</v>
      </c>
      <c r="C103" s="8">
        <v>1887</v>
      </c>
      <c r="D103" s="9">
        <v>45425</v>
      </c>
      <c r="E103" s="13" t="str">
        <f>+HYPERLINK("http://trademark.i-assist.jp/data/china/image_1887th/75926202.pdf","75926202")</f>
        <v>75926202</v>
      </c>
      <c r="F103" s="7" t="s">
        <v>283</v>
      </c>
      <c r="G103" s="7" t="s">
        <v>284</v>
      </c>
      <c r="H103" s="7" t="s">
        <v>285</v>
      </c>
      <c r="I103" s="9">
        <v>45281</v>
      </c>
    </row>
    <row r="104" spans="1:9" x14ac:dyDescent="0.15">
      <c r="A104" s="6">
        <v>103</v>
      </c>
      <c r="B104" s="7" t="s">
        <v>8</v>
      </c>
      <c r="C104" s="8">
        <v>1887</v>
      </c>
      <c r="D104" s="9">
        <v>45425</v>
      </c>
      <c r="E104" s="13" t="str">
        <f>+HYPERLINK("http://trademark.i-assist.jp/data/china/image_1887th/75929416.pdf","75929416")</f>
        <v>75929416</v>
      </c>
      <c r="F104" s="7" t="s">
        <v>286</v>
      </c>
      <c r="G104" s="7" t="s">
        <v>287</v>
      </c>
      <c r="H104" s="7" t="s">
        <v>288</v>
      </c>
      <c r="I104" s="9">
        <v>45281</v>
      </c>
    </row>
    <row r="105" spans="1:9" x14ac:dyDescent="0.15">
      <c r="A105" s="6">
        <v>104</v>
      </c>
      <c r="B105" s="7" t="s">
        <v>8</v>
      </c>
      <c r="C105" s="8">
        <v>1887</v>
      </c>
      <c r="D105" s="9">
        <v>45425</v>
      </c>
      <c r="E105" s="13" t="str">
        <f>+HYPERLINK("http://trademark.i-assist.jp/data/china/image_1887th/75931668.pdf","75931668")</f>
        <v>75931668</v>
      </c>
      <c r="F105" s="7" t="s">
        <v>289</v>
      </c>
      <c r="G105" s="7" t="s">
        <v>290</v>
      </c>
      <c r="H105" s="7" t="s">
        <v>291</v>
      </c>
      <c r="I105" s="9">
        <v>45281</v>
      </c>
    </row>
    <row r="106" spans="1:9" x14ac:dyDescent="0.15">
      <c r="A106" s="6">
        <v>105</v>
      </c>
      <c r="B106" s="7" t="s">
        <v>8</v>
      </c>
      <c r="C106" s="8">
        <v>1887</v>
      </c>
      <c r="D106" s="9">
        <v>45425</v>
      </c>
      <c r="E106" s="13" t="str">
        <f>+HYPERLINK("http://trademark.i-assist.jp/data/china/image_1887th/75940628.pdf","75940628")</f>
        <v>75940628</v>
      </c>
      <c r="F106" s="7" t="s">
        <v>292</v>
      </c>
      <c r="G106" s="7" t="s">
        <v>284</v>
      </c>
      <c r="H106" s="7" t="s">
        <v>293</v>
      </c>
      <c r="I106" s="9">
        <v>45281</v>
      </c>
    </row>
    <row r="107" spans="1:9" x14ac:dyDescent="0.15">
      <c r="A107" s="6">
        <v>106</v>
      </c>
      <c r="B107" s="7" t="s">
        <v>8</v>
      </c>
      <c r="C107" s="8">
        <v>1887</v>
      </c>
      <c r="D107" s="9">
        <v>45425</v>
      </c>
      <c r="E107" s="13" t="str">
        <f>+HYPERLINK("http://trademark.i-assist.jp/data/china/image_1887th/76070640.pdf","76070640")</f>
        <v>76070640</v>
      </c>
      <c r="F107" s="7" t="s">
        <v>294</v>
      </c>
      <c r="G107" s="7" t="s">
        <v>295</v>
      </c>
      <c r="H107" s="7" t="s">
        <v>296</v>
      </c>
      <c r="I107" s="9">
        <v>45288</v>
      </c>
    </row>
    <row r="108" spans="1:9" ht="27" x14ac:dyDescent="0.15">
      <c r="A108" s="6">
        <v>107</v>
      </c>
      <c r="B108" s="7" t="s">
        <v>8</v>
      </c>
      <c r="C108" s="8">
        <v>1887</v>
      </c>
      <c r="D108" s="9">
        <v>45425</v>
      </c>
      <c r="E108" s="13" t="str">
        <f>+HYPERLINK("http://trademark.i-assist.jp/data/china/image_1887th/76072704.pdf","76072704")</f>
        <v>76072704</v>
      </c>
      <c r="F108" s="7" t="s">
        <v>54</v>
      </c>
      <c r="G108" s="7" t="s">
        <v>297</v>
      </c>
      <c r="H108" s="7" t="s">
        <v>298</v>
      </c>
      <c r="I108" s="9">
        <v>45288</v>
      </c>
    </row>
    <row r="109" spans="1:9" x14ac:dyDescent="0.15">
      <c r="A109" s="6">
        <v>108</v>
      </c>
      <c r="B109" s="7" t="s">
        <v>8</v>
      </c>
      <c r="C109" s="8">
        <v>1887</v>
      </c>
      <c r="D109" s="9">
        <v>45425</v>
      </c>
      <c r="E109" s="13" t="str">
        <f>+HYPERLINK("http://trademark.i-assist.jp/data/china/image_1887th/76073761.pdf","76073761")</f>
        <v>76073761</v>
      </c>
      <c r="F109" s="7" t="s">
        <v>299</v>
      </c>
      <c r="G109" s="7" t="s">
        <v>295</v>
      </c>
      <c r="H109" s="7" t="s">
        <v>300</v>
      </c>
      <c r="I109" s="9">
        <v>45288</v>
      </c>
    </row>
    <row r="110" spans="1:9" x14ac:dyDescent="0.15">
      <c r="A110" s="6">
        <v>109</v>
      </c>
      <c r="B110" s="7" t="s">
        <v>8</v>
      </c>
      <c r="C110" s="8">
        <v>1887</v>
      </c>
      <c r="D110" s="9">
        <v>45425</v>
      </c>
      <c r="E110" s="13" t="str">
        <f>+HYPERLINK("http://trademark.i-assist.jp/data/china/image_1887th/76076894.pdf","76076894")</f>
        <v>76076894</v>
      </c>
      <c r="F110" s="7" t="s">
        <v>54</v>
      </c>
      <c r="G110" s="7" t="s">
        <v>301</v>
      </c>
      <c r="H110" s="7" t="s">
        <v>302</v>
      </c>
      <c r="I110" s="9">
        <v>45288</v>
      </c>
    </row>
    <row r="111" spans="1:9" x14ac:dyDescent="0.15">
      <c r="A111" s="6">
        <v>110</v>
      </c>
      <c r="B111" s="7" t="s">
        <v>8</v>
      </c>
      <c r="C111" s="8">
        <v>1887</v>
      </c>
      <c r="D111" s="9">
        <v>45425</v>
      </c>
      <c r="E111" s="13" t="str">
        <f>+HYPERLINK("http://trademark.i-assist.jp/data/china/image_1887th/76087040.pdf","76087040")</f>
        <v>76087040</v>
      </c>
      <c r="F111" s="7" t="s">
        <v>54</v>
      </c>
      <c r="G111" s="7" t="s">
        <v>301</v>
      </c>
      <c r="H111" s="7" t="s">
        <v>303</v>
      </c>
      <c r="I111" s="9">
        <v>45288</v>
      </c>
    </row>
    <row r="112" spans="1:9" x14ac:dyDescent="0.15">
      <c r="A112" s="6">
        <v>111</v>
      </c>
      <c r="B112" s="7" t="s">
        <v>8</v>
      </c>
      <c r="C112" s="8">
        <v>1887</v>
      </c>
      <c r="D112" s="9">
        <v>45425</v>
      </c>
      <c r="E112" s="13" t="str">
        <f>+HYPERLINK("http://trademark.i-assist.jp/data/china/image_1887th/76100377.pdf","76100377")</f>
        <v>76100377</v>
      </c>
      <c r="F112" s="7" t="s">
        <v>304</v>
      </c>
      <c r="G112" s="7" t="s">
        <v>305</v>
      </c>
      <c r="H112" s="7" t="s">
        <v>306</v>
      </c>
      <c r="I112" s="9">
        <v>45289</v>
      </c>
    </row>
    <row r="113" spans="1:9" x14ac:dyDescent="0.15">
      <c r="A113" s="6">
        <v>112</v>
      </c>
      <c r="B113" s="7" t="s">
        <v>8</v>
      </c>
      <c r="C113" s="8">
        <v>1887</v>
      </c>
      <c r="D113" s="9">
        <v>45425</v>
      </c>
      <c r="E113" s="13" t="str">
        <f>+HYPERLINK("http://trademark.i-assist.jp/data/china/image_1887th/76138314.pdf","76138314")</f>
        <v>76138314</v>
      </c>
      <c r="F113" s="7" t="s">
        <v>307</v>
      </c>
      <c r="G113" s="7" t="s">
        <v>308</v>
      </c>
      <c r="H113" s="7" t="s">
        <v>309</v>
      </c>
      <c r="I113" s="9">
        <v>45293</v>
      </c>
    </row>
    <row r="114" spans="1:9" x14ac:dyDescent="0.15">
      <c r="A114" s="6">
        <v>113</v>
      </c>
      <c r="B114" s="7" t="s">
        <v>8</v>
      </c>
      <c r="C114" s="8">
        <v>1887</v>
      </c>
      <c r="D114" s="9">
        <v>45425</v>
      </c>
      <c r="E114" s="13" t="str">
        <f>+HYPERLINK("http://trademark.i-assist.jp/data/china/image_1887th/76147041.pdf","76147041")</f>
        <v>76147041</v>
      </c>
      <c r="F114" s="7" t="s">
        <v>310</v>
      </c>
      <c r="G114" s="7" t="s">
        <v>311</v>
      </c>
      <c r="H114" s="7" t="s">
        <v>312</v>
      </c>
      <c r="I114" s="9">
        <v>45293</v>
      </c>
    </row>
    <row r="115" spans="1:9" x14ac:dyDescent="0.15">
      <c r="A115" s="6">
        <v>114</v>
      </c>
      <c r="B115" s="7" t="s">
        <v>8</v>
      </c>
      <c r="C115" s="8">
        <v>1887</v>
      </c>
      <c r="D115" s="9">
        <v>45425</v>
      </c>
      <c r="E115" s="13" t="str">
        <f>+HYPERLINK("http://trademark.i-assist.jp/data/china/image_1887th/76151961.pdf","76151961")</f>
        <v>76151961</v>
      </c>
      <c r="F115" s="7" t="s">
        <v>313</v>
      </c>
      <c r="G115" s="7" t="s">
        <v>311</v>
      </c>
      <c r="H115" s="7" t="s">
        <v>314</v>
      </c>
      <c r="I115" s="9">
        <v>45293</v>
      </c>
    </row>
    <row r="116" spans="1:9" x14ac:dyDescent="0.15">
      <c r="A116" s="6">
        <v>115</v>
      </c>
      <c r="B116" s="7" t="s">
        <v>8</v>
      </c>
      <c r="C116" s="8">
        <v>1887</v>
      </c>
      <c r="D116" s="9">
        <v>45425</v>
      </c>
      <c r="E116" s="13" t="str">
        <f>+HYPERLINK("http://trademark.i-assist.jp/data/china/image_1887th/76159160.pdf","76159160")</f>
        <v>76159160</v>
      </c>
      <c r="F116" s="7" t="s">
        <v>315</v>
      </c>
      <c r="G116" s="7" t="s">
        <v>316</v>
      </c>
      <c r="H116" s="7" t="s">
        <v>317</v>
      </c>
      <c r="I116" s="9">
        <v>45294</v>
      </c>
    </row>
    <row r="117" spans="1:9" x14ac:dyDescent="0.15">
      <c r="A117" s="6">
        <v>116</v>
      </c>
      <c r="B117" s="7" t="s">
        <v>8</v>
      </c>
      <c r="C117" s="8">
        <v>1887</v>
      </c>
      <c r="D117" s="9">
        <v>45425</v>
      </c>
      <c r="E117" s="13" t="str">
        <f>+HYPERLINK("http://trademark.i-assist.jp/data/china/image_1887th/76164961.pdf","76164961")</f>
        <v>76164961</v>
      </c>
      <c r="F117" s="7" t="s">
        <v>318</v>
      </c>
      <c r="G117" s="7" t="s">
        <v>319</v>
      </c>
      <c r="H117" s="7" t="s">
        <v>320</v>
      </c>
      <c r="I117" s="9">
        <v>45294</v>
      </c>
    </row>
    <row r="118" spans="1:9" x14ac:dyDescent="0.15">
      <c r="A118" s="6">
        <v>117</v>
      </c>
      <c r="B118" s="7" t="s">
        <v>8</v>
      </c>
      <c r="C118" s="8">
        <v>1887</v>
      </c>
      <c r="D118" s="9">
        <v>45425</v>
      </c>
      <c r="E118" s="13" t="str">
        <f>+HYPERLINK("http://trademark.i-assist.jp/data/china/image_1887th/76173383.pdf","76173383")</f>
        <v>76173383</v>
      </c>
      <c r="F118" s="7" t="s">
        <v>321</v>
      </c>
      <c r="G118" s="7" t="s">
        <v>316</v>
      </c>
      <c r="H118" s="7" t="s">
        <v>322</v>
      </c>
      <c r="I118" s="9">
        <v>45294</v>
      </c>
    </row>
    <row r="119" spans="1:9" x14ac:dyDescent="0.15">
      <c r="A119" s="6">
        <v>118</v>
      </c>
      <c r="B119" s="7" t="s">
        <v>8</v>
      </c>
      <c r="C119" s="8">
        <v>1887</v>
      </c>
      <c r="D119" s="9">
        <v>45425</v>
      </c>
      <c r="E119" s="13" t="str">
        <f>+HYPERLINK("http://trademark.i-assist.jp/data/china/image_1887th/76177050.pdf","76177050")</f>
        <v>76177050</v>
      </c>
      <c r="F119" s="7" t="s">
        <v>323</v>
      </c>
      <c r="G119" s="7" t="s">
        <v>324</v>
      </c>
      <c r="H119" s="7" t="s">
        <v>325</v>
      </c>
      <c r="I119" s="9">
        <v>45294</v>
      </c>
    </row>
    <row r="120" spans="1:9" x14ac:dyDescent="0.15">
      <c r="A120" s="6">
        <v>119</v>
      </c>
      <c r="B120" s="7" t="s">
        <v>8</v>
      </c>
      <c r="C120" s="8">
        <v>1887</v>
      </c>
      <c r="D120" s="9">
        <v>45425</v>
      </c>
      <c r="E120" s="13" t="str">
        <f>+HYPERLINK("http://trademark.i-assist.jp/data/china/image_1887th/76215368.pdf","76215368")</f>
        <v>76215368</v>
      </c>
      <c r="F120" s="7" t="s">
        <v>326</v>
      </c>
      <c r="G120" s="7" t="s">
        <v>327</v>
      </c>
      <c r="H120" s="7" t="s">
        <v>328</v>
      </c>
      <c r="I120" s="9">
        <v>45296</v>
      </c>
    </row>
    <row r="121" spans="1:9" x14ac:dyDescent="0.15">
      <c r="A121" s="6">
        <v>120</v>
      </c>
      <c r="B121" s="7" t="s">
        <v>8</v>
      </c>
      <c r="C121" s="8">
        <v>1887</v>
      </c>
      <c r="D121" s="9">
        <v>45425</v>
      </c>
      <c r="E121" s="13" t="str">
        <f>+HYPERLINK("http://trademark.i-assist.jp/data/china/image_1887th/76216723.pdf","76216723")</f>
        <v>76216723</v>
      </c>
      <c r="F121" s="7" t="s">
        <v>329</v>
      </c>
      <c r="G121" s="7" t="s">
        <v>330</v>
      </c>
      <c r="H121" s="7" t="s">
        <v>331</v>
      </c>
      <c r="I121" s="9">
        <v>45296</v>
      </c>
    </row>
    <row r="122" spans="1:9" x14ac:dyDescent="0.15">
      <c r="A122" s="6">
        <v>121</v>
      </c>
      <c r="B122" s="7" t="s">
        <v>8</v>
      </c>
      <c r="C122" s="8">
        <v>1887</v>
      </c>
      <c r="D122" s="9">
        <v>45425</v>
      </c>
      <c r="E122" s="13" t="str">
        <f>+HYPERLINK("http://trademark.i-assist.jp/data/china/image_1887th/76218633.pdf","76218633")</f>
        <v>76218633</v>
      </c>
      <c r="F122" s="7" t="s">
        <v>332</v>
      </c>
      <c r="G122" s="7" t="s">
        <v>333</v>
      </c>
      <c r="H122" s="7" t="s">
        <v>334</v>
      </c>
      <c r="I122" s="9">
        <v>45296</v>
      </c>
    </row>
    <row r="123" spans="1:9" x14ac:dyDescent="0.15">
      <c r="A123" s="6">
        <v>122</v>
      </c>
      <c r="B123" s="7" t="s">
        <v>8</v>
      </c>
      <c r="C123" s="8">
        <v>1887</v>
      </c>
      <c r="D123" s="9">
        <v>45425</v>
      </c>
      <c r="E123" s="13" t="str">
        <f>+HYPERLINK("http://trademark.i-assist.jp/data/china/image_1887th/76227711.pdf","76227711")</f>
        <v>76227711</v>
      </c>
      <c r="F123" s="7" t="s">
        <v>335</v>
      </c>
      <c r="G123" s="7" t="s">
        <v>336</v>
      </c>
      <c r="H123" s="7" t="s">
        <v>337</v>
      </c>
      <c r="I123" s="9">
        <v>45296</v>
      </c>
    </row>
    <row r="124" spans="1:9" ht="27" x14ac:dyDescent="0.15">
      <c r="A124" s="6">
        <v>123</v>
      </c>
      <c r="B124" s="7" t="s">
        <v>8</v>
      </c>
      <c r="C124" s="8">
        <v>1887</v>
      </c>
      <c r="D124" s="9">
        <v>45425</v>
      </c>
      <c r="E124" s="13" t="str">
        <f>+HYPERLINK("http://trademark.i-assist.jp/data/china/image_1887th/76237848.pdf","76237848")</f>
        <v>76237848</v>
      </c>
      <c r="F124" s="7" t="s">
        <v>338</v>
      </c>
      <c r="G124" s="7" t="s">
        <v>339</v>
      </c>
      <c r="H124" s="7" t="s">
        <v>340</v>
      </c>
      <c r="I124" s="9">
        <v>45298</v>
      </c>
    </row>
    <row r="125" spans="1:9" ht="27" x14ac:dyDescent="0.15">
      <c r="A125" s="6">
        <v>124</v>
      </c>
      <c r="B125" s="7" t="s">
        <v>8</v>
      </c>
      <c r="C125" s="8">
        <v>1887</v>
      </c>
      <c r="D125" s="9">
        <v>45425</v>
      </c>
      <c r="E125" s="13" t="str">
        <f>+HYPERLINK("http://trademark.i-assist.jp/data/china/image_1887th/76240593.pdf","76240593")</f>
        <v>76240593</v>
      </c>
      <c r="F125" s="7" t="s">
        <v>341</v>
      </c>
      <c r="G125" s="7" t="s">
        <v>342</v>
      </c>
      <c r="H125" s="7" t="s">
        <v>343</v>
      </c>
      <c r="I125" s="9">
        <v>45299</v>
      </c>
    </row>
    <row r="126" spans="1:9" ht="27" x14ac:dyDescent="0.15">
      <c r="A126" s="6">
        <v>125</v>
      </c>
      <c r="B126" s="7" t="s">
        <v>8</v>
      </c>
      <c r="C126" s="8">
        <v>1887</v>
      </c>
      <c r="D126" s="9">
        <v>45425</v>
      </c>
      <c r="E126" s="13" t="str">
        <f>+HYPERLINK("http://trademark.i-assist.jp/data/china/image_1887th/76241023.pdf","76241023")</f>
        <v>76241023</v>
      </c>
      <c r="F126" s="7" t="s">
        <v>344</v>
      </c>
      <c r="G126" s="7" t="s">
        <v>345</v>
      </c>
      <c r="H126" s="7" t="s">
        <v>346</v>
      </c>
      <c r="I126" s="9">
        <v>45299</v>
      </c>
    </row>
    <row r="127" spans="1:9" x14ac:dyDescent="0.15">
      <c r="A127" s="6">
        <v>126</v>
      </c>
      <c r="B127" s="7" t="s">
        <v>8</v>
      </c>
      <c r="C127" s="8">
        <v>1887</v>
      </c>
      <c r="D127" s="9">
        <v>45425</v>
      </c>
      <c r="E127" s="13" t="str">
        <f>+HYPERLINK("http://trademark.i-assist.jp/data/china/image_1887th/76241508A.pdf","76241508A")</f>
        <v>76241508A</v>
      </c>
      <c r="F127" s="7" t="s">
        <v>347</v>
      </c>
      <c r="G127" s="7" t="s">
        <v>348</v>
      </c>
      <c r="H127" s="7" t="s">
        <v>349</v>
      </c>
      <c r="I127" s="9">
        <v>45299</v>
      </c>
    </row>
    <row r="128" spans="1:9" ht="27" x14ac:dyDescent="0.15">
      <c r="A128" s="6">
        <v>127</v>
      </c>
      <c r="B128" s="7" t="s">
        <v>8</v>
      </c>
      <c r="C128" s="8">
        <v>1887</v>
      </c>
      <c r="D128" s="9">
        <v>45425</v>
      </c>
      <c r="E128" s="13" t="str">
        <f>+HYPERLINK("http://trademark.i-assist.jp/data/china/image_1887th/76244801.pdf","76244801")</f>
        <v>76244801</v>
      </c>
      <c r="F128" s="7" t="s">
        <v>350</v>
      </c>
      <c r="G128" s="7" t="s">
        <v>345</v>
      </c>
      <c r="H128" s="7" t="s">
        <v>351</v>
      </c>
      <c r="I128" s="9">
        <v>45299</v>
      </c>
    </row>
    <row r="129" spans="1:9" ht="27" x14ac:dyDescent="0.15">
      <c r="A129" s="6">
        <v>128</v>
      </c>
      <c r="B129" s="7" t="s">
        <v>8</v>
      </c>
      <c r="C129" s="8">
        <v>1887</v>
      </c>
      <c r="D129" s="9">
        <v>45425</v>
      </c>
      <c r="E129" s="13" t="str">
        <f>+HYPERLINK("http://trademark.i-assist.jp/data/china/image_1887th/76247008.pdf","76247008")</f>
        <v>76247008</v>
      </c>
      <c r="F129" s="7" t="s">
        <v>352</v>
      </c>
      <c r="G129" s="7" t="s">
        <v>345</v>
      </c>
      <c r="H129" s="7" t="s">
        <v>353</v>
      </c>
      <c r="I129" s="9">
        <v>45299</v>
      </c>
    </row>
    <row r="130" spans="1:9" ht="27" x14ac:dyDescent="0.15">
      <c r="A130" s="6">
        <v>129</v>
      </c>
      <c r="B130" s="7" t="s">
        <v>8</v>
      </c>
      <c r="C130" s="8">
        <v>1887</v>
      </c>
      <c r="D130" s="9">
        <v>45425</v>
      </c>
      <c r="E130" s="13" t="str">
        <f>+HYPERLINK("http://trademark.i-assist.jp/data/china/image_1887th/76247743.pdf","76247743")</f>
        <v>76247743</v>
      </c>
      <c r="F130" s="7" t="s">
        <v>354</v>
      </c>
      <c r="G130" s="7" t="s">
        <v>345</v>
      </c>
      <c r="H130" s="7" t="s">
        <v>355</v>
      </c>
      <c r="I130" s="9">
        <v>45299</v>
      </c>
    </row>
    <row r="131" spans="1:9" x14ac:dyDescent="0.15">
      <c r="A131" s="6">
        <v>130</v>
      </c>
      <c r="B131" s="7" t="s">
        <v>8</v>
      </c>
      <c r="C131" s="8">
        <v>1887</v>
      </c>
      <c r="D131" s="9">
        <v>45425</v>
      </c>
      <c r="E131" s="13" t="str">
        <f>+HYPERLINK("http://trademark.i-assist.jp/data/china/image_1887th/76249093.pdf","76249093")</f>
        <v>76249093</v>
      </c>
      <c r="F131" s="7" t="s">
        <v>356</v>
      </c>
      <c r="G131" s="7" t="s">
        <v>357</v>
      </c>
      <c r="H131" s="7" t="s">
        <v>358</v>
      </c>
      <c r="I131" s="9">
        <v>45299</v>
      </c>
    </row>
    <row r="132" spans="1:9" ht="27" x14ac:dyDescent="0.15">
      <c r="A132" s="6">
        <v>131</v>
      </c>
      <c r="B132" s="7" t="s">
        <v>8</v>
      </c>
      <c r="C132" s="8">
        <v>1887</v>
      </c>
      <c r="D132" s="9">
        <v>45425</v>
      </c>
      <c r="E132" s="13" t="str">
        <f>+HYPERLINK("http://trademark.i-assist.jp/data/china/image_1887th/76254537.pdf","76254537")</f>
        <v>76254537</v>
      </c>
      <c r="F132" s="7" t="s">
        <v>54</v>
      </c>
      <c r="G132" s="7" t="s">
        <v>359</v>
      </c>
      <c r="H132" s="7" t="s">
        <v>360</v>
      </c>
      <c r="I132" s="9">
        <v>45299</v>
      </c>
    </row>
    <row r="133" spans="1:9" ht="27" x14ac:dyDescent="0.15">
      <c r="A133" s="6">
        <v>132</v>
      </c>
      <c r="B133" s="7" t="s">
        <v>8</v>
      </c>
      <c r="C133" s="8">
        <v>1887</v>
      </c>
      <c r="D133" s="9">
        <v>45425</v>
      </c>
      <c r="E133" s="13" t="str">
        <f>+HYPERLINK("http://trademark.i-assist.jp/data/china/image_1887th/76260755.pdf","76260755")</f>
        <v>76260755</v>
      </c>
      <c r="F133" s="7" t="s">
        <v>361</v>
      </c>
      <c r="G133" s="7" t="s">
        <v>345</v>
      </c>
      <c r="H133" s="7" t="s">
        <v>362</v>
      </c>
      <c r="I133" s="9">
        <v>45299</v>
      </c>
    </row>
    <row r="134" spans="1:9" ht="27" x14ac:dyDescent="0.15">
      <c r="A134" s="6">
        <v>133</v>
      </c>
      <c r="B134" s="7" t="s">
        <v>8</v>
      </c>
      <c r="C134" s="8">
        <v>1887</v>
      </c>
      <c r="D134" s="9">
        <v>45425</v>
      </c>
      <c r="E134" s="13" t="str">
        <f>+HYPERLINK("http://trademark.i-assist.jp/data/china/image_1887th/76281805.pdf","76281805")</f>
        <v>76281805</v>
      </c>
      <c r="F134" s="7" t="s">
        <v>363</v>
      </c>
      <c r="G134" s="7" t="s">
        <v>364</v>
      </c>
      <c r="H134" s="7" t="s">
        <v>365</v>
      </c>
      <c r="I134" s="9">
        <v>45300</v>
      </c>
    </row>
    <row r="135" spans="1:9" x14ac:dyDescent="0.15">
      <c r="A135" s="6">
        <v>134</v>
      </c>
      <c r="B135" s="7" t="s">
        <v>8</v>
      </c>
      <c r="C135" s="8">
        <v>1887</v>
      </c>
      <c r="D135" s="9">
        <v>45425</v>
      </c>
      <c r="E135" s="13" t="str">
        <f>+HYPERLINK("http://trademark.i-assist.jp/data/china/image_1887th/76293403.pdf","76293403")</f>
        <v>76293403</v>
      </c>
      <c r="F135" s="7" t="s">
        <v>366</v>
      </c>
      <c r="G135" s="7" t="s">
        <v>367</v>
      </c>
      <c r="H135" s="7" t="s">
        <v>368</v>
      </c>
      <c r="I135" s="9">
        <v>45301</v>
      </c>
    </row>
    <row r="136" spans="1:9" x14ac:dyDescent="0.15">
      <c r="A136" s="6">
        <v>135</v>
      </c>
      <c r="B136" s="7" t="s">
        <v>8</v>
      </c>
      <c r="C136" s="8">
        <v>1887</v>
      </c>
      <c r="D136" s="9">
        <v>45425</v>
      </c>
      <c r="E136" s="13" t="str">
        <f>+HYPERLINK("http://trademark.i-assist.jp/data/china/image_1887th/76297615.pdf","76297615")</f>
        <v>76297615</v>
      </c>
      <c r="F136" s="7" t="s">
        <v>369</v>
      </c>
      <c r="G136" s="7" t="s">
        <v>370</v>
      </c>
      <c r="H136" s="7" t="s">
        <v>371</v>
      </c>
      <c r="I136" s="9">
        <v>45301</v>
      </c>
    </row>
    <row r="137" spans="1:9" x14ac:dyDescent="0.15">
      <c r="A137" s="6">
        <v>136</v>
      </c>
      <c r="B137" s="7" t="s">
        <v>8</v>
      </c>
      <c r="C137" s="8">
        <v>1887</v>
      </c>
      <c r="D137" s="9">
        <v>45425</v>
      </c>
      <c r="E137" s="13" t="str">
        <f>+HYPERLINK("http://trademark.i-assist.jp/data/china/image_1887th/76299917.pdf","76299917")</f>
        <v>76299917</v>
      </c>
      <c r="F137" s="7" t="s">
        <v>372</v>
      </c>
      <c r="G137" s="7" t="s">
        <v>373</v>
      </c>
      <c r="H137" s="7" t="s">
        <v>374</v>
      </c>
      <c r="I137" s="9">
        <v>45301</v>
      </c>
    </row>
    <row r="138" spans="1:9" x14ac:dyDescent="0.15">
      <c r="A138" s="6">
        <v>137</v>
      </c>
      <c r="B138" s="7" t="s">
        <v>8</v>
      </c>
      <c r="C138" s="8">
        <v>1887</v>
      </c>
      <c r="D138" s="9">
        <v>45425</v>
      </c>
      <c r="E138" s="13" t="str">
        <f>+HYPERLINK("http://trademark.i-assist.jp/data/china/image_1887th/76314967.pdf","76314967")</f>
        <v>76314967</v>
      </c>
      <c r="F138" s="7" t="s">
        <v>375</v>
      </c>
      <c r="G138" s="7" t="s">
        <v>375</v>
      </c>
      <c r="H138" s="7" t="s">
        <v>376</v>
      </c>
      <c r="I138" s="9">
        <v>45301</v>
      </c>
    </row>
    <row r="139" spans="1:9" x14ac:dyDescent="0.15">
      <c r="A139" s="6">
        <v>138</v>
      </c>
      <c r="B139" s="7" t="s">
        <v>8</v>
      </c>
      <c r="C139" s="8">
        <v>1887</v>
      </c>
      <c r="D139" s="9">
        <v>45425</v>
      </c>
      <c r="E139" s="13" t="str">
        <f>+HYPERLINK("http://trademark.i-assist.jp/data/china/image_1887th/76315828.pdf","76315828")</f>
        <v>76315828</v>
      </c>
      <c r="F139" s="7" t="s">
        <v>377</v>
      </c>
      <c r="G139" s="7" t="s">
        <v>378</v>
      </c>
      <c r="H139" s="7" t="s">
        <v>379</v>
      </c>
      <c r="I139" s="9">
        <v>45301</v>
      </c>
    </row>
    <row r="140" spans="1:9" x14ac:dyDescent="0.15">
      <c r="A140" s="6">
        <v>139</v>
      </c>
      <c r="B140" s="7" t="s">
        <v>8</v>
      </c>
      <c r="C140" s="8">
        <v>1887</v>
      </c>
      <c r="D140" s="9">
        <v>45425</v>
      </c>
      <c r="E140" s="13" t="str">
        <f>+HYPERLINK("http://trademark.i-assist.jp/data/china/image_1887th/76322009.pdf","76322009")</f>
        <v>76322009</v>
      </c>
      <c r="F140" s="7" t="s">
        <v>380</v>
      </c>
      <c r="G140" s="7" t="s">
        <v>381</v>
      </c>
      <c r="H140" s="7" t="s">
        <v>382</v>
      </c>
      <c r="I140" s="9">
        <v>45302</v>
      </c>
    </row>
    <row r="141" spans="1:9" x14ac:dyDescent="0.15">
      <c r="A141" s="6">
        <v>140</v>
      </c>
      <c r="B141" s="7" t="s">
        <v>8</v>
      </c>
      <c r="C141" s="8">
        <v>1887</v>
      </c>
      <c r="D141" s="9">
        <v>45425</v>
      </c>
      <c r="E141" s="13" t="str">
        <f>+HYPERLINK("http://trademark.i-assist.jp/data/china/image_1887th/76331422.pdf","76331422")</f>
        <v>76331422</v>
      </c>
      <c r="F141" s="7" t="s">
        <v>383</v>
      </c>
      <c r="G141" s="7" t="s">
        <v>384</v>
      </c>
      <c r="H141" s="7" t="s">
        <v>385</v>
      </c>
      <c r="I141" s="9">
        <v>45302</v>
      </c>
    </row>
    <row r="142" spans="1:9" ht="27" x14ac:dyDescent="0.15">
      <c r="A142" s="6">
        <v>141</v>
      </c>
      <c r="B142" s="7" t="s">
        <v>8</v>
      </c>
      <c r="C142" s="8">
        <v>1887</v>
      </c>
      <c r="D142" s="9">
        <v>45425</v>
      </c>
      <c r="E142" s="13" t="str">
        <f>+HYPERLINK("http://trademark.i-assist.jp/data/china/image_1887th/76337308.pdf","76337308")</f>
        <v>76337308</v>
      </c>
      <c r="F142" s="7" t="s">
        <v>386</v>
      </c>
      <c r="G142" s="7" t="s">
        <v>387</v>
      </c>
      <c r="H142" s="7" t="s">
        <v>388</v>
      </c>
      <c r="I142" s="9">
        <v>45302</v>
      </c>
    </row>
    <row r="143" spans="1:9" ht="27" x14ac:dyDescent="0.15">
      <c r="A143" s="6">
        <v>142</v>
      </c>
      <c r="B143" s="7" t="s">
        <v>8</v>
      </c>
      <c r="C143" s="8">
        <v>1887</v>
      </c>
      <c r="D143" s="9">
        <v>45425</v>
      </c>
      <c r="E143" s="13" t="str">
        <f>+HYPERLINK("http://trademark.i-assist.jp/data/china/image_1887th/76338520.pdf","76338520")</f>
        <v>76338520</v>
      </c>
      <c r="F143" s="7" t="s">
        <v>389</v>
      </c>
      <c r="G143" s="7" t="s">
        <v>390</v>
      </c>
      <c r="H143" s="7" t="s">
        <v>391</v>
      </c>
      <c r="I143" s="9">
        <v>45302</v>
      </c>
    </row>
    <row r="144" spans="1:9" x14ac:dyDescent="0.15">
      <c r="A144" s="6">
        <v>143</v>
      </c>
      <c r="B144" s="7" t="s">
        <v>8</v>
      </c>
      <c r="C144" s="8">
        <v>1887</v>
      </c>
      <c r="D144" s="9">
        <v>45425</v>
      </c>
      <c r="E144" s="13" t="str">
        <f>+HYPERLINK("http://trademark.i-assist.jp/data/china/image_1887th/76352048.pdf","76352048")</f>
        <v>76352048</v>
      </c>
      <c r="F144" s="7" t="s">
        <v>54</v>
      </c>
      <c r="G144" s="7" t="s">
        <v>392</v>
      </c>
      <c r="H144" s="7" t="s">
        <v>393</v>
      </c>
      <c r="I144" s="9">
        <v>45303</v>
      </c>
    </row>
    <row r="145" spans="1:9" x14ac:dyDescent="0.15">
      <c r="A145" s="6">
        <v>144</v>
      </c>
      <c r="B145" s="7" t="s">
        <v>8</v>
      </c>
      <c r="C145" s="8">
        <v>1887</v>
      </c>
      <c r="D145" s="9">
        <v>45425</v>
      </c>
      <c r="E145" s="13" t="str">
        <f>+HYPERLINK("http://trademark.i-assist.jp/data/china/image_1887th/76359800.pdf","76359800")</f>
        <v>76359800</v>
      </c>
      <c r="F145" s="7" t="s">
        <v>394</v>
      </c>
      <c r="G145" s="7" t="s">
        <v>395</v>
      </c>
      <c r="H145" s="7" t="s">
        <v>396</v>
      </c>
      <c r="I145" s="9">
        <v>45303</v>
      </c>
    </row>
    <row r="146" spans="1:9" x14ac:dyDescent="0.15">
      <c r="A146" s="6">
        <v>145</v>
      </c>
      <c r="B146" s="7" t="s">
        <v>8</v>
      </c>
      <c r="C146" s="8">
        <v>1887</v>
      </c>
      <c r="D146" s="9">
        <v>45425</v>
      </c>
      <c r="E146" s="13" t="str">
        <f>+HYPERLINK("http://trademark.i-assist.jp/data/china/image_1887th/76362863.pdf","76362863")</f>
        <v>76362863</v>
      </c>
      <c r="F146" s="7" t="s">
        <v>397</v>
      </c>
      <c r="G146" s="7" t="s">
        <v>398</v>
      </c>
      <c r="H146" s="7" t="s">
        <v>399</v>
      </c>
      <c r="I146" s="9">
        <v>45303</v>
      </c>
    </row>
    <row r="147" spans="1:9" x14ac:dyDescent="0.15">
      <c r="A147" s="6">
        <v>146</v>
      </c>
      <c r="B147" s="7" t="s">
        <v>8</v>
      </c>
      <c r="C147" s="8">
        <v>1887</v>
      </c>
      <c r="D147" s="9">
        <v>45425</v>
      </c>
      <c r="E147" s="13" t="str">
        <f>+HYPERLINK("http://trademark.i-assist.jp/data/china/image_1887th/76371176.pdf","76371176")</f>
        <v>76371176</v>
      </c>
      <c r="F147" s="7" t="s">
        <v>400</v>
      </c>
      <c r="G147" s="7" t="s">
        <v>400</v>
      </c>
      <c r="H147" s="7" t="s">
        <v>401</v>
      </c>
      <c r="I147" s="9">
        <v>45304</v>
      </c>
    </row>
    <row r="148" spans="1:9" x14ac:dyDescent="0.15">
      <c r="A148" s="6">
        <v>147</v>
      </c>
      <c r="B148" s="7" t="s">
        <v>8</v>
      </c>
      <c r="C148" s="8">
        <v>1887</v>
      </c>
      <c r="D148" s="9">
        <v>45425</v>
      </c>
      <c r="E148" s="13" t="str">
        <f>+HYPERLINK("http://trademark.i-assist.jp/data/china/image_1887th/76372449.pdf","76372449")</f>
        <v>76372449</v>
      </c>
      <c r="F148" s="7" t="s">
        <v>54</v>
      </c>
      <c r="G148" s="7" t="s">
        <v>402</v>
      </c>
      <c r="H148" s="7" t="s">
        <v>403</v>
      </c>
      <c r="I148" s="9">
        <v>45304</v>
      </c>
    </row>
    <row r="149" spans="1:9" x14ac:dyDescent="0.15">
      <c r="A149" s="6">
        <v>148</v>
      </c>
      <c r="B149" s="7" t="s">
        <v>8</v>
      </c>
      <c r="C149" s="8">
        <v>1887</v>
      </c>
      <c r="D149" s="9">
        <v>45425</v>
      </c>
      <c r="E149" s="13" t="str">
        <f>+HYPERLINK("http://trademark.i-assist.jp/data/china/image_1887th/76375875.pdf","76375875")</f>
        <v>76375875</v>
      </c>
      <c r="F149" s="7" t="s">
        <v>404</v>
      </c>
      <c r="G149" s="7" t="s">
        <v>405</v>
      </c>
      <c r="H149" s="7" t="s">
        <v>406</v>
      </c>
      <c r="I149" s="9">
        <v>45305</v>
      </c>
    </row>
    <row r="150" spans="1:9" x14ac:dyDescent="0.15">
      <c r="A150" s="6">
        <v>149</v>
      </c>
      <c r="B150" s="7" t="s">
        <v>8</v>
      </c>
      <c r="C150" s="8">
        <v>1887</v>
      </c>
      <c r="D150" s="9">
        <v>45425</v>
      </c>
      <c r="E150" s="13" t="str">
        <f>+HYPERLINK("http://trademark.i-assist.jp/data/china/image_1887th/76385187.pdf","76385187")</f>
        <v>76385187</v>
      </c>
      <c r="F150" s="7" t="s">
        <v>407</v>
      </c>
      <c r="G150" s="7" t="s">
        <v>408</v>
      </c>
      <c r="H150" s="7" t="s">
        <v>409</v>
      </c>
      <c r="I150" s="9">
        <v>45306</v>
      </c>
    </row>
    <row r="151" spans="1:9" x14ac:dyDescent="0.15">
      <c r="A151" s="6">
        <v>150</v>
      </c>
      <c r="B151" s="7" t="s">
        <v>8</v>
      </c>
      <c r="C151" s="8">
        <v>1887</v>
      </c>
      <c r="D151" s="9">
        <v>45425</v>
      </c>
      <c r="E151" s="13" t="str">
        <f>+HYPERLINK("http://trademark.i-assist.jp/data/china/image_1887th/76386003.pdf","76386003")</f>
        <v>76386003</v>
      </c>
      <c r="F151" s="7" t="s">
        <v>410</v>
      </c>
      <c r="G151" s="7" t="s">
        <v>411</v>
      </c>
      <c r="H151" s="7" t="s">
        <v>412</v>
      </c>
      <c r="I151" s="9">
        <v>45306</v>
      </c>
    </row>
    <row r="152" spans="1:9" x14ac:dyDescent="0.15">
      <c r="A152" s="6">
        <v>151</v>
      </c>
      <c r="B152" s="7" t="s">
        <v>8</v>
      </c>
      <c r="C152" s="8">
        <v>1887</v>
      </c>
      <c r="D152" s="9">
        <v>45425</v>
      </c>
      <c r="E152" s="13" t="str">
        <f>+HYPERLINK("http://trademark.i-assist.jp/data/china/image_1887th/76387208.pdf","76387208")</f>
        <v>76387208</v>
      </c>
      <c r="F152" s="7" t="s">
        <v>413</v>
      </c>
      <c r="G152" s="7" t="s">
        <v>414</v>
      </c>
      <c r="H152" s="7" t="s">
        <v>415</v>
      </c>
      <c r="I152" s="9">
        <v>45306</v>
      </c>
    </row>
    <row r="153" spans="1:9" x14ac:dyDescent="0.15">
      <c r="A153" s="6">
        <v>152</v>
      </c>
      <c r="B153" s="7" t="s">
        <v>8</v>
      </c>
      <c r="C153" s="8">
        <v>1887</v>
      </c>
      <c r="D153" s="9">
        <v>45425</v>
      </c>
      <c r="E153" s="13" t="str">
        <f>+HYPERLINK("http://trademark.i-assist.jp/data/china/image_1887th/76390706.pdf","76390706")</f>
        <v>76390706</v>
      </c>
      <c r="F153" s="7" t="s">
        <v>416</v>
      </c>
      <c r="G153" s="7" t="s">
        <v>417</v>
      </c>
      <c r="H153" s="7" t="s">
        <v>418</v>
      </c>
      <c r="I153" s="9">
        <v>45306</v>
      </c>
    </row>
    <row r="154" spans="1:9" x14ac:dyDescent="0.15">
      <c r="A154" s="6">
        <v>153</v>
      </c>
      <c r="B154" s="7" t="s">
        <v>8</v>
      </c>
      <c r="C154" s="8">
        <v>1887</v>
      </c>
      <c r="D154" s="9">
        <v>45425</v>
      </c>
      <c r="E154" s="13" t="str">
        <f>+HYPERLINK("http://trademark.i-assist.jp/data/china/image_1887th/76395555.pdf","76395555")</f>
        <v>76395555</v>
      </c>
      <c r="F154" s="7" t="s">
        <v>419</v>
      </c>
      <c r="G154" s="7" t="s">
        <v>420</v>
      </c>
      <c r="H154" s="7" t="s">
        <v>421</v>
      </c>
      <c r="I154" s="9">
        <v>45306</v>
      </c>
    </row>
    <row r="155" spans="1:9" ht="27" x14ac:dyDescent="0.15">
      <c r="A155" s="6">
        <v>154</v>
      </c>
      <c r="B155" s="7" t="s">
        <v>8</v>
      </c>
      <c r="C155" s="8">
        <v>1887</v>
      </c>
      <c r="D155" s="9">
        <v>45425</v>
      </c>
      <c r="E155" s="13" t="str">
        <f>+HYPERLINK("http://trademark.i-assist.jp/data/china/image_1887th/76405828.pdf","76405828")</f>
        <v>76405828</v>
      </c>
      <c r="F155" s="7" t="s">
        <v>422</v>
      </c>
      <c r="G155" s="7" t="s">
        <v>423</v>
      </c>
      <c r="H155" s="7" t="s">
        <v>424</v>
      </c>
      <c r="I155" s="9">
        <v>45307</v>
      </c>
    </row>
    <row r="156" spans="1:9" ht="27" x14ac:dyDescent="0.15">
      <c r="A156" s="6">
        <v>155</v>
      </c>
      <c r="B156" s="7" t="s">
        <v>8</v>
      </c>
      <c r="C156" s="8">
        <v>1887</v>
      </c>
      <c r="D156" s="9">
        <v>45425</v>
      </c>
      <c r="E156" s="13" t="str">
        <f>+HYPERLINK("http://trademark.i-assist.jp/data/china/image_1887th/76405929.pdf","76405929")</f>
        <v>76405929</v>
      </c>
      <c r="F156" s="7" t="s">
        <v>425</v>
      </c>
      <c r="G156" s="7" t="s">
        <v>426</v>
      </c>
      <c r="H156" s="7" t="s">
        <v>427</v>
      </c>
      <c r="I156" s="9">
        <v>45307</v>
      </c>
    </row>
    <row r="157" spans="1:9" x14ac:dyDescent="0.15">
      <c r="A157" s="6">
        <v>156</v>
      </c>
      <c r="B157" s="7" t="s">
        <v>8</v>
      </c>
      <c r="C157" s="8">
        <v>1887</v>
      </c>
      <c r="D157" s="9">
        <v>45425</v>
      </c>
      <c r="E157" s="13" t="str">
        <f>+HYPERLINK("http://trademark.i-assist.jp/data/china/image_1887th/76406624.pdf","76406624")</f>
        <v>76406624</v>
      </c>
      <c r="F157" s="7" t="s">
        <v>428</v>
      </c>
      <c r="G157" s="7" t="s">
        <v>429</v>
      </c>
      <c r="H157" s="7" t="s">
        <v>430</v>
      </c>
      <c r="I157" s="9">
        <v>45307</v>
      </c>
    </row>
    <row r="158" spans="1:9" x14ac:dyDescent="0.15">
      <c r="A158" s="6">
        <v>157</v>
      </c>
      <c r="B158" s="7" t="s">
        <v>8</v>
      </c>
      <c r="C158" s="8">
        <v>1887</v>
      </c>
      <c r="D158" s="9">
        <v>45425</v>
      </c>
      <c r="E158" s="13" t="str">
        <f>+HYPERLINK("http://trademark.i-assist.jp/data/china/image_1887th/76409759.pdf","76409759")</f>
        <v>76409759</v>
      </c>
      <c r="F158" s="7" t="s">
        <v>431</v>
      </c>
      <c r="G158" s="7" t="s">
        <v>432</v>
      </c>
      <c r="H158" s="7" t="s">
        <v>433</v>
      </c>
      <c r="I158" s="9">
        <v>45307</v>
      </c>
    </row>
    <row r="159" spans="1:9" x14ac:dyDescent="0.15">
      <c r="A159" s="6">
        <v>158</v>
      </c>
      <c r="B159" s="7" t="s">
        <v>8</v>
      </c>
      <c r="C159" s="8">
        <v>1887</v>
      </c>
      <c r="D159" s="9">
        <v>45425</v>
      </c>
      <c r="E159" s="13" t="str">
        <f>+HYPERLINK("http://trademark.i-assist.jp/data/china/image_1887th/76411710.pdf","76411710")</f>
        <v>76411710</v>
      </c>
      <c r="F159" s="7" t="s">
        <v>434</v>
      </c>
      <c r="G159" s="7" t="s">
        <v>435</v>
      </c>
      <c r="H159" s="7" t="s">
        <v>436</v>
      </c>
      <c r="I159" s="9">
        <v>45307</v>
      </c>
    </row>
    <row r="160" spans="1:9" x14ac:dyDescent="0.15">
      <c r="A160" s="6">
        <v>159</v>
      </c>
      <c r="B160" s="7" t="s">
        <v>8</v>
      </c>
      <c r="C160" s="8">
        <v>1887</v>
      </c>
      <c r="D160" s="9">
        <v>45425</v>
      </c>
      <c r="E160" s="13" t="str">
        <f>+HYPERLINK("http://trademark.i-assist.jp/data/china/image_1887th/76413641.pdf","76413641")</f>
        <v>76413641</v>
      </c>
      <c r="F160" s="7" t="s">
        <v>437</v>
      </c>
      <c r="G160" s="7" t="s">
        <v>438</v>
      </c>
      <c r="H160" s="7" t="s">
        <v>439</v>
      </c>
      <c r="I160" s="9">
        <v>45307</v>
      </c>
    </row>
    <row r="161" spans="1:9" x14ac:dyDescent="0.15">
      <c r="A161" s="6">
        <v>160</v>
      </c>
      <c r="B161" s="7" t="s">
        <v>8</v>
      </c>
      <c r="C161" s="8">
        <v>1887</v>
      </c>
      <c r="D161" s="9">
        <v>45425</v>
      </c>
      <c r="E161" s="13" t="str">
        <f>+HYPERLINK("http://trademark.i-assist.jp/data/china/image_1887th/76415226.pdf","76415226")</f>
        <v>76415226</v>
      </c>
      <c r="F161" s="7" t="s">
        <v>440</v>
      </c>
      <c r="G161" s="7" t="s">
        <v>441</v>
      </c>
      <c r="H161" s="7" t="s">
        <v>442</v>
      </c>
      <c r="I161" s="9">
        <v>45307</v>
      </c>
    </row>
    <row r="162" spans="1:9" x14ac:dyDescent="0.15">
      <c r="A162" s="6">
        <v>161</v>
      </c>
      <c r="B162" s="7" t="s">
        <v>8</v>
      </c>
      <c r="C162" s="8">
        <v>1887</v>
      </c>
      <c r="D162" s="9">
        <v>45425</v>
      </c>
      <c r="E162" s="13" t="str">
        <f>+HYPERLINK("http://trademark.i-assist.jp/data/china/image_1887th/76417059.pdf","76417059")</f>
        <v>76417059</v>
      </c>
      <c r="F162" s="7" t="s">
        <v>443</v>
      </c>
      <c r="G162" s="7" t="s">
        <v>444</v>
      </c>
      <c r="H162" s="7" t="s">
        <v>445</v>
      </c>
      <c r="I162" s="9">
        <v>45307</v>
      </c>
    </row>
    <row r="163" spans="1:9" x14ac:dyDescent="0.15">
      <c r="A163" s="6">
        <v>162</v>
      </c>
      <c r="B163" s="7" t="s">
        <v>8</v>
      </c>
      <c r="C163" s="8">
        <v>1887</v>
      </c>
      <c r="D163" s="9">
        <v>45425</v>
      </c>
      <c r="E163" s="13" t="str">
        <f>+HYPERLINK("http://trademark.i-assist.jp/data/china/image_1887th/76419771.pdf","76419771")</f>
        <v>76419771</v>
      </c>
      <c r="F163" s="7" t="s">
        <v>446</v>
      </c>
      <c r="G163" s="7" t="s">
        <v>447</v>
      </c>
      <c r="H163" s="7" t="s">
        <v>448</v>
      </c>
      <c r="I163" s="9">
        <v>45307</v>
      </c>
    </row>
    <row r="164" spans="1:9" x14ac:dyDescent="0.15">
      <c r="A164" s="6">
        <v>163</v>
      </c>
      <c r="B164" s="7" t="s">
        <v>8</v>
      </c>
      <c r="C164" s="8">
        <v>1887</v>
      </c>
      <c r="D164" s="9">
        <v>45425</v>
      </c>
      <c r="E164" s="13" t="str">
        <f>+HYPERLINK("http://trademark.i-assist.jp/data/china/image_1887th/76427326.pdf","76427326")</f>
        <v>76427326</v>
      </c>
      <c r="F164" s="7" t="s">
        <v>449</v>
      </c>
      <c r="G164" s="7" t="s">
        <v>450</v>
      </c>
      <c r="H164" s="7" t="s">
        <v>451</v>
      </c>
      <c r="I164" s="9">
        <v>45307</v>
      </c>
    </row>
    <row r="165" spans="1:9" ht="27" x14ac:dyDescent="0.15">
      <c r="A165" s="6">
        <v>164</v>
      </c>
      <c r="B165" s="7" t="s">
        <v>8</v>
      </c>
      <c r="C165" s="8">
        <v>1887</v>
      </c>
      <c r="D165" s="9">
        <v>45425</v>
      </c>
      <c r="E165" s="13" t="str">
        <f>+HYPERLINK("http://trademark.i-assist.jp/data/china/image_1887th/76429964.pdf","76429964")</f>
        <v>76429964</v>
      </c>
      <c r="F165" s="7" t="s">
        <v>452</v>
      </c>
      <c r="G165" s="7" t="s">
        <v>453</v>
      </c>
      <c r="H165" s="7" t="s">
        <v>454</v>
      </c>
      <c r="I165" s="9">
        <v>45307</v>
      </c>
    </row>
    <row r="166" spans="1:9" x14ac:dyDescent="0.15">
      <c r="A166" s="6">
        <v>165</v>
      </c>
      <c r="B166" s="7" t="s">
        <v>8</v>
      </c>
      <c r="C166" s="8">
        <v>1887</v>
      </c>
      <c r="D166" s="9">
        <v>45425</v>
      </c>
      <c r="E166" s="13" t="str">
        <f>+HYPERLINK("http://trademark.i-assist.jp/data/china/image_1887th/76431013.pdf","76431013")</f>
        <v>76431013</v>
      </c>
      <c r="F166" s="7" t="s">
        <v>455</v>
      </c>
      <c r="G166" s="7" t="s">
        <v>456</v>
      </c>
      <c r="H166" s="7" t="s">
        <v>457</v>
      </c>
      <c r="I166" s="9">
        <v>45307</v>
      </c>
    </row>
    <row r="167" spans="1:9" x14ac:dyDescent="0.15">
      <c r="A167" s="6">
        <v>166</v>
      </c>
      <c r="B167" s="7" t="s">
        <v>8</v>
      </c>
      <c r="C167" s="8">
        <v>1887</v>
      </c>
      <c r="D167" s="9">
        <v>45425</v>
      </c>
      <c r="E167" s="13" t="str">
        <f>+HYPERLINK("http://trademark.i-assist.jp/data/china/image_1887th/76431204.pdf","76431204")</f>
        <v>76431204</v>
      </c>
      <c r="F167" s="7" t="s">
        <v>458</v>
      </c>
      <c r="G167" s="7" t="s">
        <v>459</v>
      </c>
      <c r="H167" s="7" t="s">
        <v>460</v>
      </c>
      <c r="I167" s="9">
        <v>45307</v>
      </c>
    </row>
    <row r="168" spans="1:9" x14ac:dyDescent="0.15">
      <c r="A168" s="6">
        <v>167</v>
      </c>
      <c r="B168" s="7" t="s">
        <v>8</v>
      </c>
      <c r="C168" s="8">
        <v>1887</v>
      </c>
      <c r="D168" s="9">
        <v>45425</v>
      </c>
      <c r="E168" s="13" t="str">
        <f>+HYPERLINK("http://trademark.i-assist.jp/data/china/image_1887th/76432432.pdf","76432432")</f>
        <v>76432432</v>
      </c>
      <c r="F168" s="7" t="s">
        <v>461</v>
      </c>
      <c r="G168" s="7" t="s">
        <v>462</v>
      </c>
      <c r="H168" s="7" t="s">
        <v>463</v>
      </c>
      <c r="I168" s="9">
        <v>45307</v>
      </c>
    </row>
    <row r="169" spans="1:9" x14ac:dyDescent="0.15">
      <c r="A169" s="6">
        <v>168</v>
      </c>
      <c r="B169" s="7" t="s">
        <v>8</v>
      </c>
      <c r="C169" s="8">
        <v>1887</v>
      </c>
      <c r="D169" s="9">
        <v>45425</v>
      </c>
      <c r="E169" s="13" t="str">
        <f>+HYPERLINK("http://trademark.i-assist.jp/data/china/image_1887th/76434191.pdf","76434191")</f>
        <v>76434191</v>
      </c>
      <c r="F169" s="7" t="s">
        <v>464</v>
      </c>
      <c r="G169" s="7" t="s">
        <v>465</v>
      </c>
      <c r="H169" s="7" t="s">
        <v>466</v>
      </c>
      <c r="I169" s="9">
        <v>45308</v>
      </c>
    </row>
    <row r="170" spans="1:9" x14ac:dyDescent="0.15">
      <c r="A170" s="6">
        <v>169</v>
      </c>
      <c r="B170" s="7" t="s">
        <v>8</v>
      </c>
      <c r="C170" s="8">
        <v>1887</v>
      </c>
      <c r="D170" s="9">
        <v>45425</v>
      </c>
      <c r="E170" s="13" t="str">
        <f>+HYPERLINK("http://trademark.i-assist.jp/data/china/image_1887th/76439246.pdf","76439246")</f>
        <v>76439246</v>
      </c>
      <c r="F170" s="7" t="s">
        <v>467</v>
      </c>
      <c r="G170" s="7" t="s">
        <v>468</v>
      </c>
      <c r="H170" s="7" t="s">
        <v>469</v>
      </c>
      <c r="I170" s="9">
        <v>45308</v>
      </c>
    </row>
    <row r="171" spans="1:9" x14ac:dyDescent="0.15">
      <c r="A171" s="6">
        <v>170</v>
      </c>
      <c r="B171" s="7" t="s">
        <v>8</v>
      </c>
      <c r="C171" s="8">
        <v>1887</v>
      </c>
      <c r="D171" s="9">
        <v>45425</v>
      </c>
      <c r="E171" s="13" t="str">
        <f>+HYPERLINK("http://trademark.i-assist.jp/data/china/image_1887th/76447825.pdf","76447825")</f>
        <v>76447825</v>
      </c>
      <c r="F171" s="7" t="s">
        <v>470</v>
      </c>
      <c r="G171" s="7" t="s">
        <v>471</v>
      </c>
      <c r="H171" s="7" t="s">
        <v>472</v>
      </c>
      <c r="I171" s="9">
        <v>45308</v>
      </c>
    </row>
    <row r="172" spans="1:9" x14ac:dyDescent="0.15">
      <c r="A172" s="6">
        <v>171</v>
      </c>
      <c r="B172" s="7" t="s">
        <v>8</v>
      </c>
      <c r="C172" s="8">
        <v>1887</v>
      </c>
      <c r="D172" s="9">
        <v>45425</v>
      </c>
      <c r="E172" s="13" t="str">
        <f>+HYPERLINK("http://trademark.i-assist.jp/data/china/image_1887th/76450615.pdf","76450615")</f>
        <v>76450615</v>
      </c>
      <c r="F172" s="7" t="s">
        <v>473</v>
      </c>
      <c r="G172" s="7" t="s">
        <v>474</v>
      </c>
      <c r="H172" s="7" t="s">
        <v>475</v>
      </c>
      <c r="I172" s="9">
        <v>45308</v>
      </c>
    </row>
    <row r="173" spans="1:9" x14ac:dyDescent="0.15">
      <c r="A173" s="6">
        <v>172</v>
      </c>
      <c r="B173" s="7" t="s">
        <v>8</v>
      </c>
      <c r="C173" s="8">
        <v>1887</v>
      </c>
      <c r="D173" s="9">
        <v>45425</v>
      </c>
      <c r="E173" s="13" t="str">
        <f>+HYPERLINK("http://trademark.i-assist.jp/data/china/image_1887th/76451823.pdf","76451823")</f>
        <v>76451823</v>
      </c>
      <c r="F173" s="7" t="s">
        <v>476</v>
      </c>
      <c r="G173" s="7" t="s">
        <v>477</v>
      </c>
      <c r="H173" s="7" t="s">
        <v>478</v>
      </c>
      <c r="I173" s="9">
        <v>45308</v>
      </c>
    </row>
    <row r="174" spans="1:9" x14ac:dyDescent="0.15">
      <c r="A174" s="6">
        <v>173</v>
      </c>
      <c r="B174" s="7" t="s">
        <v>8</v>
      </c>
      <c r="C174" s="8">
        <v>1887</v>
      </c>
      <c r="D174" s="9">
        <v>45425</v>
      </c>
      <c r="E174" s="13" t="str">
        <f>+HYPERLINK("http://trademark.i-assist.jp/data/china/image_1887th/76451940.pdf","76451940")</f>
        <v>76451940</v>
      </c>
      <c r="F174" s="7" t="s">
        <v>479</v>
      </c>
      <c r="G174" s="7" t="s">
        <v>480</v>
      </c>
      <c r="H174" s="7" t="s">
        <v>481</v>
      </c>
      <c r="I174" s="9">
        <v>45308</v>
      </c>
    </row>
    <row r="175" spans="1:9" x14ac:dyDescent="0.15">
      <c r="A175" s="6">
        <v>174</v>
      </c>
      <c r="B175" s="7" t="s">
        <v>8</v>
      </c>
      <c r="C175" s="8">
        <v>1887</v>
      </c>
      <c r="D175" s="9">
        <v>45425</v>
      </c>
      <c r="E175" s="13" t="str">
        <f>+HYPERLINK("http://trademark.i-assist.jp/data/china/image_1887th/76457178.pdf","76457178")</f>
        <v>76457178</v>
      </c>
      <c r="F175" s="7" t="s">
        <v>482</v>
      </c>
      <c r="G175" s="7" t="s">
        <v>483</v>
      </c>
      <c r="H175" s="7" t="s">
        <v>484</v>
      </c>
      <c r="I175" s="9">
        <v>45308</v>
      </c>
    </row>
    <row r="176" spans="1:9" ht="27" x14ac:dyDescent="0.15">
      <c r="A176" s="6">
        <v>175</v>
      </c>
      <c r="B176" s="7" t="s">
        <v>8</v>
      </c>
      <c r="C176" s="8">
        <v>1887</v>
      </c>
      <c r="D176" s="9">
        <v>45425</v>
      </c>
      <c r="E176" s="13" t="str">
        <f>+HYPERLINK("http://trademark.i-assist.jp/data/china/image_1887th/76462911.pdf","76462911")</f>
        <v>76462911</v>
      </c>
      <c r="F176" s="7" t="s">
        <v>54</v>
      </c>
      <c r="G176" s="7" t="s">
        <v>485</v>
      </c>
      <c r="H176" s="7" t="s">
        <v>486</v>
      </c>
      <c r="I176" s="9">
        <v>45309</v>
      </c>
    </row>
    <row r="177" spans="1:9" ht="27" x14ac:dyDescent="0.15">
      <c r="A177" s="6">
        <v>176</v>
      </c>
      <c r="B177" s="7" t="s">
        <v>8</v>
      </c>
      <c r="C177" s="8">
        <v>1887</v>
      </c>
      <c r="D177" s="9">
        <v>45425</v>
      </c>
      <c r="E177" s="13" t="str">
        <f>+HYPERLINK("http://trademark.i-assist.jp/data/china/image_1887th/76465840.pdf","76465840")</f>
        <v>76465840</v>
      </c>
      <c r="F177" s="7" t="s">
        <v>54</v>
      </c>
      <c r="G177" s="7" t="s">
        <v>485</v>
      </c>
      <c r="H177" s="7" t="s">
        <v>487</v>
      </c>
      <c r="I177" s="9">
        <v>45309</v>
      </c>
    </row>
    <row r="178" spans="1:9" x14ac:dyDescent="0.15">
      <c r="A178" s="6">
        <v>177</v>
      </c>
      <c r="B178" s="7" t="s">
        <v>8</v>
      </c>
      <c r="C178" s="8">
        <v>1887</v>
      </c>
      <c r="D178" s="9">
        <v>45425</v>
      </c>
      <c r="E178" s="13" t="str">
        <f>+HYPERLINK("http://trademark.i-assist.jp/data/china/image_1887th/76467069.pdf","76467069")</f>
        <v>76467069</v>
      </c>
      <c r="F178" s="7" t="s">
        <v>488</v>
      </c>
      <c r="G178" s="7" t="s">
        <v>489</v>
      </c>
      <c r="H178" s="7" t="s">
        <v>490</v>
      </c>
      <c r="I178" s="9">
        <v>45309</v>
      </c>
    </row>
    <row r="179" spans="1:9" x14ac:dyDescent="0.15">
      <c r="A179" s="6">
        <v>178</v>
      </c>
      <c r="B179" s="7" t="s">
        <v>8</v>
      </c>
      <c r="C179" s="8">
        <v>1887</v>
      </c>
      <c r="D179" s="9">
        <v>45425</v>
      </c>
      <c r="E179" s="13" t="str">
        <f>+HYPERLINK("http://trademark.i-assist.jp/data/china/image_1887th/76467478.pdf","76467478")</f>
        <v>76467478</v>
      </c>
      <c r="F179" s="7" t="s">
        <v>491</v>
      </c>
      <c r="G179" s="7" t="s">
        <v>492</v>
      </c>
      <c r="H179" s="7" t="s">
        <v>493</v>
      </c>
      <c r="I179" s="9">
        <v>45310</v>
      </c>
    </row>
    <row r="180" spans="1:9" x14ac:dyDescent="0.15">
      <c r="A180" s="6">
        <v>179</v>
      </c>
      <c r="B180" s="7" t="s">
        <v>8</v>
      </c>
      <c r="C180" s="8">
        <v>1887</v>
      </c>
      <c r="D180" s="9">
        <v>45425</v>
      </c>
      <c r="E180" s="13" t="str">
        <f>+HYPERLINK("http://trademark.i-assist.jp/data/china/image_1887th/76469222.pdf","76469222")</f>
        <v>76469222</v>
      </c>
      <c r="F180" s="7" t="s">
        <v>494</v>
      </c>
      <c r="G180" s="7" t="s">
        <v>495</v>
      </c>
      <c r="H180" s="7" t="s">
        <v>496</v>
      </c>
      <c r="I180" s="9">
        <v>45309</v>
      </c>
    </row>
    <row r="181" spans="1:9" x14ac:dyDescent="0.15">
      <c r="A181" s="6">
        <v>180</v>
      </c>
      <c r="B181" s="7" t="s">
        <v>8</v>
      </c>
      <c r="C181" s="8">
        <v>1887</v>
      </c>
      <c r="D181" s="9">
        <v>45425</v>
      </c>
      <c r="E181" s="13" t="str">
        <f>+HYPERLINK("http://trademark.i-assist.jp/data/china/image_1887th/76478068.pdf","76478068")</f>
        <v>76478068</v>
      </c>
      <c r="F181" s="7" t="s">
        <v>497</v>
      </c>
      <c r="G181" s="7" t="s">
        <v>498</v>
      </c>
      <c r="H181" s="7" t="s">
        <v>499</v>
      </c>
      <c r="I181" s="9">
        <v>45309</v>
      </c>
    </row>
    <row r="182" spans="1:9" ht="27" x14ac:dyDescent="0.15">
      <c r="A182" s="6">
        <v>181</v>
      </c>
      <c r="B182" s="7" t="s">
        <v>8</v>
      </c>
      <c r="C182" s="8">
        <v>1887</v>
      </c>
      <c r="D182" s="9">
        <v>45425</v>
      </c>
      <c r="E182" s="13" t="str">
        <f>+HYPERLINK("http://trademark.i-assist.jp/data/china/image_1887th/76479275.pdf","76479275")</f>
        <v>76479275</v>
      </c>
      <c r="F182" s="7" t="s">
        <v>500</v>
      </c>
      <c r="G182" s="7" t="s">
        <v>501</v>
      </c>
      <c r="H182" s="7" t="s">
        <v>502</v>
      </c>
      <c r="I182" s="9">
        <v>45309</v>
      </c>
    </row>
    <row r="183" spans="1:9" x14ac:dyDescent="0.15">
      <c r="A183" s="6">
        <v>182</v>
      </c>
      <c r="B183" s="7" t="s">
        <v>8</v>
      </c>
      <c r="C183" s="8">
        <v>1887</v>
      </c>
      <c r="D183" s="9">
        <v>45425</v>
      </c>
      <c r="E183" s="13" t="str">
        <f>+HYPERLINK("http://trademark.i-assist.jp/data/china/image_1887th/76481581.pdf","76481581")</f>
        <v>76481581</v>
      </c>
      <c r="F183" s="7" t="s">
        <v>503</v>
      </c>
      <c r="G183" s="7" t="s">
        <v>504</v>
      </c>
      <c r="H183" s="7" t="s">
        <v>505</v>
      </c>
      <c r="I183" s="9">
        <v>45310</v>
      </c>
    </row>
    <row r="184" spans="1:9" x14ac:dyDescent="0.15">
      <c r="A184" s="6">
        <v>183</v>
      </c>
      <c r="B184" s="7" t="s">
        <v>8</v>
      </c>
      <c r="C184" s="8">
        <v>1887</v>
      </c>
      <c r="D184" s="9">
        <v>45425</v>
      </c>
      <c r="E184" s="13" t="str">
        <f>+HYPERLINK("http://trademark.i-assist.jp/data/china/image_1887th/76482370.pdf","76482370")</f>
        <v>76482370</v>
      </c>
      <c r="F184" s="7" t="s">
        <v>506</v>
      </c>
      <c r="G184" s="7" t="s">
        <v>507</v>
      </c>
      <c r="H184" s="7" t="s">
        <v>508</v>
      </c>
      <c r="I184" s="9">
        <v>45310</v>
      </c>
    </row>
    <row r="185" spans="1:9" ht="27" x14ac:dyDescent="0.15">
      <c r="A185" s="6">
        <v>184</v>
      </c>
      <c r="B185" s="7" t="s">
        <v>8</v>
      </c>
      <c r="C185" s="8">
        <v>1887</v>
      </c>
      <c r="D185" s="9">
        <v>45425</v>
      </c>
      <c r="E185" s="13" t="str">
        <f>+HYPERLINK("http://trademark.i-assist.jp/data/china/image_1887th/76485030.pdf","76485030")</f>
        <v>76485030</v>
      </c>
      <c r="F185" s="7" t="s">
        <v>509</v>
      </c>
      <c r="G185" s="7" t="s">
        <v>510</v>
      </c>
      <c r="H185" s="7" t="s">
        <v>511</v>
      </c>
      <c r="I185" s="9">
        <v>45310</v>
      </c>
    </row>
    <row r="186" spans="1:9" ht="27" x14ac:dyDescent="0.15">
      <c r="A186" s="6">
        <v>185</v>
      </c>
      <c r="B186" s="7" t="s">
        <v>8</v>
      </c>
      <c r="C186" s="8">
        <v>1887</v>
      </c>
      <c r="D186" s="9">
        <v>45425</v>
      </c>
      <c r="E186" s="13" t="str">
        <f>+HYPERLINK("http://trademark.i-assist.jp/data/china/image_1887th/76485311.pdf","76485311")</f>
        <v>76485311</v>
      </c>
      <c r="F186" s="7" t="s">
        <v>512</v>
      </c>
      <c r="G186" s="7" t="s">
        <v>513</v>
      </c>
      <c r="H186" s="7" t="s">
        <v>514</v>
      </c>
      <c r="I186" s="9">
        <v>45309</v>
      </c>
    </row>
    <row r="187" spans="1:9" x14ac:dyDescent="0.15">
      <c r="A187" s="6">
        <v>186</v>
      </c>
      <c r="B187" s="7" t="s">
        <v>8</v>
      </c>
      <c r="C187" s="8">
        <v>1887</v>
      </c>
      <c r="D187" s="9">
        <v>45425</v>
      </c>
      <c r="E187" s="13" t="str">
        <f>+HYPERLINK("http://trademark.i-assist.jp/data/china/image_1887th/76493625.pdf","76493625")</f>
        <v>76493625</v>
      </c>
      <c r="F187" s="7" t="s">
        <v>515</v>
      </c>
      <c r="G187" s="7" t="s">
        <v>516</v>
      </c>
      <c r="H187" s="7" t="s">
        <v>517</v>
      </c>
      <c r="I187" s="9">
        <v>45310</v>
      </c>
    </row>
    <row r="188" spans="1:9" x14ac:dyDescent="0.15">
      <c r="A188" s="6">
        <v>187</v>
      </c>
      <c r="B188" s="7" t="s">
        <v>8</v>
      </c>
      <c r="C188" s="8">
        <v>1887</v>
      </c>
      <c r="D188" s="9">
        <v>45425</v>
      </c>
      <c r="E188" s="13" t="str">
        <f>+HYPERLINK("http://trademark.i-assist.jp/data/china/image_1887th/76495086.pdf","76495086")</f>
        <v>76495086</v>
      </c>
      <c r="F188" s="7" t="s">
        <v>518</v>
      </c>
      <c r="G188" s="7" t="s">
        <v>519</v>
      </c>
      <c r="H188" s="7" t="s">
        <v>520</v>
      </c>
      <c r="I188" s="9">
        <v>45310</v>
      </c>
    </row>
    <row r="189" spans="1:9" ht="27" x14ac:dyDescent="0.15">
      <c r="A189" s="6">
        <v>188</v>
      </c>
      <c r="B189" s="7" t="s">
        <v>8</v>
      </c>
      <c r="C189" s="8">
        <v>1887</v>
      </c>
      <c r="D189" s="9">
        <v>45425</v>
      </c>
      <c r="E189" s="13" t="str">
        <f>+HYPERLINK("http://trademark.i-assist.jp/data/china/image_1887th/76499787.pdf","76499787")</f>
        <v>76499787</v>
      </c>
      <c r="F189" s="7" t="s">
        <v>521</v>
      </c>
      <c r="G189" s="7" t="s">
        <v>522</v>
      </c>
      <c r="H189" s="7" t="s">
        <v>523</v>
      </c>
      <c r="I189" s="9">
        <v>45310</v>
      </c>
    </row>
    <row r="190" spans="1:9" x14ac:dyDescent="0.15">
      <c r="A190" s="6">
        <v>189</v>
      </c>
      <c r="B190" s="7" t="s">
        <v>8</v>
      </c>
      <c r="C190" s="8">
        <v>1887</v>
      </c>
      <c r="D190" s="9">
        <v>45425</v>
      </c>
      <c r="E190" s="13" t="str">
        <f>+HYPERLINK("http://trademark.i-assist.jp/data/china/image_1887th/76504142.pdf","76504142")</f>
        <v>76504142</v>
      </c>
      <c r="F190" s="7" t="s">
        <v>524</v>
      </c>
      <c r="G190" s="7" t="s">
        <v>525</v>
      </c>
      <c r="H190" s="7" t="s">
        <v>526</v>
      </c>
      <c r="I190" s="9">
        <v>45309</v>
      </c>
    </row>
    <row r="191" spans="1:9" ht="27" x14ac:dyDescent="0.15">
      <c r="A191" s="6">
        <v>190</v>
      </c>
      <c r="B191" s="7" t="s">
        <v>8</v>
      </c>
      <c r="C191" s="8">
        <v>1887</v>
      </c>
      <c r="D191" s="9">
        <v>45425</v>
      </c>
      <c r="E191" s="13" t="str">
        <f>+HYPERLINK("http://trademark.i-assist.jp/data/china/image_1887th/76504171.pdf","76504171")</f>
        <v>76504171</v>
      </c>
      <c r="F191" s="7" t="s">
        <v>527</v>
      </c>
      <c r="G191" s="7" t="s">
        <v>528</v>
      </c>
      <c r="H191" s="7" t="s">
        <v>529</v>
      </c>
      <c r="I191" s="9">
        <v>45309</v>
      </c>
    </row>
    <row r="192" spans="1:9" x14ac:dyDescent="0.15">
      <c r="A192" s="6">
        <v>191</v>
      </c>
      <c r="B192" s="7" t="s">
        <v>8</v>
      </c>
      <c r="C192" s="8">
        <v>1887</v>
      </c>
      <c r="D192" s="9">
        <v>45425</v>
      </c>
      <c r="E192" s="13" t="str">
        <f>+HYPERLINK("http://trademark.i-assist.jp/data/china/image_1887th/76508648.pdf","76508648")</f>
        <v>76508648</v>
      </c>
      <c r="F192" s="7" t="s">
        <v>530</v>
      </c>
      <c r="G192" s="7" t="s">
        <v>531</v>
      </c>
      <c r="H192" s="7" t="s">
        <v>532</v>
      </c>
      <c r="I192" s="9">
        <v>45309</v>
      </c>
    </row>
    <row r="193" spans="1:9" x14ac:dyDescent="0.15">
      <c r="A193" s="6">
        <v>192</v>
      </c>
      <c r="B193" s="7" t="s">
        <v>8</v>
      </c>
      <c r="C193" s="8">
        <v>1887</v>
      </c>
      <c r="D193" s="9">
        <v>45425</v>
      </c>
      <c r="E193" s="13" t="str">
        <f>+HYPERLINK("http://trademark.i-assist.jp/data/china/image_1887th/76510054.pdf","76510054")</f>
        <v>76510054</v>
      </c>
      <c r="F193" s="7" t="s">
        <v>533</v>
      </c>
      <c r="G193" s="7" t="s">
        <v>534</v>
      </c>
      <c r="H193" s="7" t="s">
        <v>535</v>
      </c>
      <c r="I193" s="9">
        <v>45310</v>
      </c>
    </row>
    <row r="194" spans="1:9" x14ac:dyDescent="0.15">
      <c r="A194" s="6">
        <v>193</v>
      </c>
      <c r="B194" s="7" t="s">
        <v>8</v>
      </c>
      <c r="C194" s="8">
        <v>1887</v>
      </c>
      <c r="D194" s="9">
        <v>45425</v>
      </c>
      <c r="E194" s="13" t="str">
        <f>+HYPERLINK("http://trademark.i-assist.jp/data/china/image_1887th/76513191.pdf","76513191")</f>
        <v>76513191</v>
      </c>
      <c r="F194" s="7" t="s">
        <v>536</v>
      </c>
      <c r="G194" s="7" t="s">
        <v>537</v>
      </c>
      <c r="H194" s="7" t="s">
        <v>538</v>
      </c>
      <c r="I194" s="9">
        <v>45311</v>
      </c>
    </row>
    <row r="195" spans="1:9" x14ac:dyDescent="0.15">
      <c r="A195" s="6">
        <v>194</v>
      </c>
      <c r="B195" s="7" t="s">
        <v>8</v>
      </c>
      <c r="C195" s="8">
        <v>1887</v>
      </c>
      <c r="D195" s="9">
        <v>45425</v>
      </c>
      <c r="E195" s="13" t="str">
        <f>+HYPERLINK("http://trademark.i-assist.jp/data/china/image_1887th/76515509.pdf","76515509")</f>
        <v>76515509</v>
      </c>
      <c r="F195" s="7" t="s">
        <v>539</v>
      </c>
      <c r="G195" s="7" t="s">
        <v>540</v>
      </c>
      <c r="H195" s="7" t="s">
        <v>541</v>
      </c>
      <c r="I195" s="9">
        <v>45309</v>
      </c>
    </row>
    <row r="196" spans="1:9" x14ac:dyDescent="0.15">
      <c r="A196" s="6">
        <v>195</v>
      </c>
      <c r="B196" s="7" t="s">
        <v>8</v>
      </c>
      <c r="C196" s="8">
        <v>1887</v>
      </c>
      <c r="D196" s="9">
        <v>45425</v>
      </c>
      <c r="E196" s="13" t="str">
        <f>+HYPERLINK("http://trademark.i-assist.jp/data/china/image_1887th/76516482.pdf","76516482")</f>
        <v>76516482</v>
      </c>
      <c r="F196" s="7" t="s">
        <v>542</v>
      </c>
      <c r="G196" s="7" t="s">
        <v>543</v>
      </c>
      <c r="H196" s="7" t="s">
        <v>544</v>
      </c>
      <c r="I196" s="9">
        <v>45311</v>
      </c>
    </row>
    <row r="197" spans="1:9" ht="27" x14ac:dyDescent="0.15">
      <c r="A197" s="6">
        <v>196</v>
      </c>
      <c r="B197" s="7" t="s">
        <v>8</v>
      </c>
      <c r="C197" s="8">
        <v>1887</v>
      </c>
      <c r="D197" s="9">
        <v>45425</v>
      </c>
      <c r="E197" s="13" t="str">
        <f>+HYPERLINK("http://trademark.i-assist.jp/data/china/image_1887th/76519824.pdf","76519824")</f>
        <v>76519824</v>
      </c>
      <c r="F197" s="7" t="s">
        <v>545</v>
      </c>
      <c r="G197" s="7" t="s">
        <v>546</v>
      </c>
      <c r="H197" s="7" t="s">
        <v>547</v>
      </c>
      <c r="I197" s="9">
        <v>45313</v>
      </c>
    </row>
    <row r="198" spans="1:9" ht="27" x14ac:dyDescent="0.15">
      <c r="A198" s="6">
        <v>197</v>
      </c>
      <c r="B198" s="7" t="s">
        <v>8</v>
      </c>
      <c r="C198" s="8">
        <v>1887</v>
      </c>
      <c r="D198" s="9">
        <v>45425</v>
      </c>
      <c r="E198" s="13" t="str">
        <f>+HYPERLINK("http://trademark.i-assist.jp/data/china/image_1887th/76519992.pdf","76519992")</f>
        <v>76519992</v>
      </c>
      <c r="F198" s="7" t="s">
        <v>548</v>
      </c>
      <c r="G198" s="7" t="s">
        <v>549</v>
      </c>
      <c r="H198" s="7" t="s">
        <v>550</v>
      </c>
      <c r="I198" s="9">
        <v>45313</v>
      </c>
    </row>
    <row r="199" spans="1:9" ht="27" x14ac:dyDescent="0.15">
      <c r="A199" s="6">
        <v>198</v>
      </c>
      <c r="B199" s="7" t="s">
        <v>8</v>
      </c>
      <c r="C199" s="8">
        <v>1887</v>
      </c>
      <c r="D199" s="9">
        <v>45425</v>
      </c>
      <c r="E199" s="13" t="str">
        <f>+HYPERLINK("http://trademark.i-assist.jp/data/china/image_1887th/76521039.pdf","76521039")</f>
        <v>76521039</v>
      </c>
      <c r="F199" s="7" t="s">
        <v>551</v>
      </c>
      <c r="G199" s="7" t="s">
        <v>552</v>
      </c>
      <c r="H199" s="7" t="s">
        <v>553</v>
      </c>
      <c r="I199" s="9">
        <v>45313</v>
      </c>
    </row>
    <row r="200" spans="1:9" x14ac:dyDescent="0.15">
      <c r="A200" s="6">
        <v>199</v>
      </c>
      <c r="B200" s="7" t="s">
        <v>8</v>
      </c>
      <c r="C200" s="8">
        <v>1887</v>
      </c>
      <c r="D200" s="9">
        <v>45425</v>
      </c>
      <c r="E200" s="13" t="str">
        <f>+HYPERLINK("http://trademark.i-assist.jp/data/china/image_1887th/76522251.pdf","76522251")</f>
        <v>76522251</v>
      </c>
      <c r="F200" s="7" t="s">
        <v>554</v>
      </c>
      <c r="G200" s="7" t="s">
        <v>555</v>
      </c>
      <c r="H200" s="7" t="s">
        <v>556</v>
      </c>
      <c r="I200" s="9">
        <v>45313</v>
      </c>
    </row>
    <row r="201" spans="1:9" x14ac:dyDescent="0.15">
      <c r="A201" s="6">
        <v>200</v>
      </c>
      <c r="B201" s="7" t="s">
        <v>8</v>
      </c>
      <c r="C201" s="8">
        <v>1887</v>
      </c>
      <c r="D201" s="9">
        <v>45425</v>
      </c>
      <c r="E201" s="13" t="str">
        <f>+HYPERLINK("http://trademark.i-assist.jp/data/china/image_1887th/76522518.pdf","76522518")</f>
        <v>76522518</v>
      </c>
      <c r="F201" s="7" t="s">
        <v>557</v>
      </c>
      <c r="G201" s="7" t="s">
        <v>558</v>
      </c>
      <c r="H201" s="7" t="s">
        <v>559</v>
      </c>
      <c r="I201" s="9">
        <v>45313</v>
      </c>
    </row>
    <row r="202" spans="1:9" x14ac:dyDescent="0.15">
      <c r="A202" s="6">
        <v>201</v>
      </c>
      <c r="B202" s="7" t="s">
        <v>8</v>
      </c>
      <c r="C202" s="8">
        <v>1887</v>
      </c>
      <c r="D202" s="9">
        <v>45425</v>
      </c>
      <c r="E202" s="13" t="str">
        <f>+HYPERLINK("http://trademark.i-assist.jp/data/china/image_1887th/76525082.pdf","76525082")</f>
        <v>76525082</v>
      </c>
      <c r="F202" s="7" t="s">
        <v>560</v>
      </c>
      <c r="G202" s="7" t="s">
        <v>561</v>
      </c>
      <c r="H202" s="7" t="s">
        <v>562</v>
      </c>
      <c r="I202" s="9">
        <v>45313</v>
      </c>
    </row>
    <row r="203" spans="1:9" x14ac:dyDescent="0.15">
      <c r="A203" s="6">
        <v>202</v>
      </c>
      <c r="B203" s="7" t="s">
        <v>8</v>
      </c>
      <c r="C203" s="8">
        <v>1887</v>
      </c>
      <c r="D203" s="9">
        <v>45425</v>
      </c>
      <c r="E203" s="13" t="str">
        <f>+HYPERLINK("http://trademark.i-assist.jp/data/china/image_1887th/76525091.pdf","76525091")</f>
        <v>76525091</v>
      </c>
      <c r="F203" s="7" t="s">
        <v>563</v>
      </c>
      <c r="G203" s="7" t="s">
        <v>561</v>
      </c>
      <c r="H203" s="7" t="s">
        <v>564</v>
      </c>
      <c r="I203" s="9">
        <v>45313</v>
      </c>
    </row>
    <row r="204" spans="1:9" ht="27" x14ac:dyDescent="0.15">
      <c r="A204" s="6">
        <v>203</v>
      </c>
      <c r="B204" s="7" t="s">
        <v>8</v>
      </c>
      <c r="C204" s="8">
        <v>1887</v>
      </c>
      <c r="D204" s="9">
        <v>45425</v>
      </c>
      <c r="E204" s="13" t="str">
        <f>+HYPERLINK("http://trademark.i-assist.jp/data/china/image_1887th/76525765.pdf","76525765")</f>
        <v>76525765</v>
      </c>
      <c r="F204" s="7" t="s">
        <v>565</v>
      </c>
      <c r="G204" s="7" t="s">
        <v>566</v>
      </c>
      <c r="H204" s="7" t="s">
        <v>567</v>
      </c>
      <c r="I204" s="9">
        <v>45313</v>
      </c>
    </row>
    <row r="205" spans="1:9" ht="27" x14ac:dyDescent="0.15">
      <c r="A205" s="6">
        <v>204</v>
      </c>
      <c r="B205" s="7" t="s">
        <v>8</v>
      </c>
      <c r="C205" s="8">
        <v>1887</v>
      </c>
      <c r="D205" s="9">
        <v>45425</v>
      </c>
      <c r="E205" s="13" t="str">
        <f>+HYPERLINK("http://trademark.i-assist.jp/data/china/image_1887th/76525807.pdf","76525807")</f>
        <v>76525807</v>
      </c>
      <c r="F205" s="7" t="s">
        <v>568</v>
      </c>
      <c r="G205" s="7" t="s">
        <v>569</v>
      </c>
      <c r="H205" s="7" t="s">
        <v>570</v>
      </c>
      <c r="I205" s="9">
        <v>45313</v>
      </c>
    </row>
    <row r="206" spans="1:9" x14ac:dyDescent="0.15">
      <c r="A206" s="6">
        <v>205</v>
      </c>
      <c r="B206" s="7" t="s">
        <v>8</v>
      </c>
      <c r="C206" s="8">
        <v>1887</v>
      </c>
      <c r="D206" s="9">
        <v>45425</v>
      </c>
      <c r="E206" s="13" t="str">
        <f>+HYPERLINK("http://trademark.i-assist.jp/data/china/image_1887th/76527891.pdf","76527891")</f>
        <v>76527891</v>
      </c>
      <c r="F206" s="7" t="s">
        <v>571</v>
      </c>
      <c r="G206" s="7" t="s">
        <v>572</v>
      </c>
      <c r="H206" s="7" t="s">
        <v>573</v>
      </c>
      <c r="I206" s="9">
        <v>45313</v>
      </c>
    </row>
    <row r="207" spans="1:9" x14ac:dyDescent="0.15">
      <c r="A207" s="6">
        <v>206</v>
      </c>
      <c r="B207" s="7" t="s">
        <v>8</v>
      </c>
      <c r="C207" s="8">
        <v>1887</v>
      </c>
      <c r="D207" s="9">
        <v>45425</v>
      </c>
      <c r="E207" s="13" t="str">
        <f>+HYPERLINK("http://trademark.i-assist.jp/data/china/image_1887th/76529843.pdf","76529843")</f>
        <v>76529843</v>
      </c>
      <c r="F207" s="7" t="s">
        <v>574</v>
      </c>
      <c r="G207" s="7" t="s">
        <v>575</v>
      </c>
      <c r="H207" s="7" t="s">
        <v>576</v>
      </c>
      <c r="I207" s="9">
        <v>45313</v>
      </c>
    </row>
    <row r="208" spans="1:9" x14ac:dyDescent="0.15">
      <c r="A208" s="6">
        <v>207</v>
      </c>
      <c r="B208" s="7" t="s">
        <v>8</v>
      </c>
      <c r="C208" s="8">
        <v>1887</v>
      </c>
      <c r="D208" s="9">
        <v>45425</v>
      </c>
      <c r="E208" s="13" t="str">
        <f>+HYPERLINK("http://trademark.i-assist.jp/data/china/image_1887th/76529879.pdf","76529879")</f>
        <v>76529879</v>
      </c>
      <c r="F208" s="7" t="s">
        <v>577</v>
      </c>
      <c r="G208" s="7" t="s">
        <v>578</v>
      </c>
      <c r="H208" s="7" t="s">
        <v>579</v>
      </c>
      <c r="I208" s="9">
        <v>45313</v>
      </c>
    </row>
    <row r="209" spans="1:9" x14ac:dyDescent="0.15">
      <c r="A209" s="6">
        <v>208</v>
      </c>
      <c r="B209" s="7" t="s">
        <v>8</v>
      </c>
      <c r="C209" s="8">
        <v>1887</v>
      </c>
      <c r="D209" s="9">
        <v>45425</v>
      </c>
      <c r="E209" s="13" t="str">
        <f>+HYPERLINK("http://trademark.i-assist.jp/data/china/image_1887th/76531078.pdf","76531078")</f>
        <v>76531078</v>
      </c>
      <c r="F209" s="7" t="s">
        <v>580</v>
      </c>
      <c r="G209" s="7" t="s">
        <v>561</v>
      </c>
      <c r="H209" s="7" t="s">
        <v>564</v>
      </c>
      <c r="I209" s="9">
        <v>45313</v>
      </c>
    </row>
    <row r="210" spans="1:9" x14ac:dyDescent="0.15">
      <c r="A210" s="6">
        <v>209</v>
      </c>
      <c r="B210" s="7" t="s">
        <v>8</v>
      </c>
      <c r="C210" s="8">
        <v>1887</v>
      </c>
      <c r="D210" s="9">
        <v>45425</v>
      </c>
      <c r="E210" s="13" t="str">
        <f>+HYPERLINK("http://trademark.i-assist.jp/data/china/image_1887th/76532739.pdf","76532739")</f>
        <v>76532739</v>
      </c>
      <c r="F210" s="7" t="s">
        <v>581</v>
      </c>
      <c r="G210" s="7" t="s">
        <v>582</v>
      </c>
      <c r="H210" s="7" t="s">
        <v>583</v>
      </c>
      <c r="I210" s="9">
        <v>45313</v>
      </c>
    </row>
    <row r="211" spans="1:9" x14ac:dyDescent="0.15">
      <c r="A211" s="6">
        <v>210</v>
      </c>
      <c r="B211" s="7" t="s">
        <v>8</v>
      </c>
      <c r="C211" s="8">
        <v>1887</v>
      </c>
      <c r="D211" s="9">
        <v>45425</v>
      </c>
      <c r="E211" s="13" t="str">
        <f>+HYPERLINK("http://trademark.i-assist.jp/data/china/image_1887th/76532870.pdf","76532870")</f>
        <v>76532870</v>
      </c>
      <c r="F211" s="7" t="s">
        <v>584</v>
      </c>
      <c r="G211" s="7" t="s">
        <v>585</v>
      </c>
      <c r="H211" s="7" t="s">
        <v>586</v>
      </c>
      <c r="I211" s="9">
        <v>45313</v>
      </c>
    </row>
    <row r="212" spans="1:9" x14ac:dyDescent="0.15">
      <c r="A212" s="6">
        <v>211</v>
      </c>
      <c r="B212" s="7" t="s">
        <v>8</v>
      </c>
      <c r="C212" s="8">
        <v>1887</v>
      </c>
      <c r="D212" s="9">
        <v>45425</v>
      </c>
      <c r="E212" s="13" t="str">
        <f>+HYPERLINK("http://trademark.i-assist.jp/data/china/image_1887th/76533142.pdf","76533142")</f>
        <v>76533142</v>
      </c>
      <c r="F212" s="7" t="s">
        <v>587</v>
      </c>
      <c r="G212" s="7" t="s">
        <v>588</v>
      </c>
      <c r="H212" s="7" t="s">
        <v>589</v>
      </c>
      <c r="I212" s="9">
        <v>45313</v>
      </c>
    </row>
    <row r="213" spans="1:9" x14ac:dyDescent="0.15">
      <c r="A213" s="6">
        <v>212</v>
      </c>
      <c r="B213" s="7" t="s">
        <v>8</v>
      </c>
      <c r="C213" s="8">
        <v>1887</v>
      </c>
      <c r="D213" s="9">
        <v>45425</v>
      </c>
      <c r="E213" s="13" t="str">
        <f>+HYPERLINK("http://trademark.i-assist.jp/data/china/image_1887th/76534078.pdf","76534078")</f>
        <v>76534078</v>
      </c>
      <c r="F213" s="7" t="s">
        <v>590</v>
      </c>
      <c r="G213" s="7" t="s">
        <v>591</v>
      </c>
      <c r="H213" s="7" t="s">
        <v>592</v>
      </c>
      <c r="I213" s="9">
        <v>45313</v>
      </c>
    </row>
    <row r="214" spans="1:9" x14ac:dyDescent="0.15">
      <c r="A214" s="6">
        <v>213</v>
      </c>
      <c r="B214" s="7" t="s">
        <v>8</v>
      </c>
      <c r="C214" s="8">
        <v>1887</v>
      </c>
      <c r="D214" s="9">
        <v>45425</v>
      </c>
      <c r="E214" s="13" t="str">
        <f>+HYPERLINK("http://trademark.i-assist.jp/data/china/image_1887th/76534391.pdf","76534391")</f>
        <v>76534391</v>
      </c>
      <c r="F214" s="7" t="s">
        <v>593</v>
      </c>
      <c r="G214" s="7" t="s">
        <v>594</v>
      </c>
      <c r="H214" s="7" t="s">
        <v>595</v>
      </c>
      <c r="I214" s="9">
        <v>45313</v>
      </c>
    </row>
    <row r="215" spans="1:9" x14ac:dyDescent="0.15">
      <c r="A215" s="6">
        <v>214</v>
      </c>
      <c r="B215" s="7" t="s">
        <v>8</v>
      </c>
      <c r="C215" s="8">
        <v>1887</v>
      </c>
      <c r="D215" s="9">
        <v>45425</v>
      </c>
      <c r="E215" s="13" t="str">
        <f>+HYPERLINK("http://trademark.i-assist.jp/data/china/image_1887th/76534763.pdf","76534763")</f>
        <v>76534763</v>
      </c>
      <c r="F215" s="7" t="s">
        <v>596</v>
      </c>
      <c r="G215" s="7" t="s">
        <v>555</v>
      </c>
      <c r="H215" s="7" t="s">
        <v>556</v>
      </c>
      <c r="I215" s="9">
        <v>45313</v>
      </c>
    </row>
    <row r="216" spans="1:9" x14ac:dyDescent="0.15">
      <c r="A216" s="6">
        <v>215</v>
      </c>
      <c r="B216" s="7" t="s">
        <v>8</v>
      </c>
      <c r="C216" s="8">
        <v>1887</v>
      </c>
      <c r="D216" s="9">
        <v>45425</v>
      </c>
      <c r="E216" s="13" t="str">
        <f>+HYPERLINK("http://trademark.i-assist.jp/data/china/image_1887th/76534861.pdf","76534861")</f>
        <v>76534861</v>
      </c>
      <c r="F216" s="7" t="s">
        <v>597</v>
      </c>
      <c r="G216" s="7" t="s">
        <v>561</v>
      </c>
      <c r="H216" s="7" t="s">
        <v>564</v>
      </c>
      <c r="I216" s="9">
        <v>45313</v>
      </c>
    </row>
    <row r="217" spans="1:9" x14ac:dyDescent="0.15">
      <c r="A217" s="6">
        <v>216</v>
      </c>
      <c r="B217" s="7" t="s">
        <v>8</v>
      </c>
      <c r="C217" s="8">
        <v>1887</v>
      </c>
      <c r="D217" s="9">
        <v>45425</v>
      </c>
      <c r="E217" s="13" t="str">
        <f>+HYPERLINK("http://trademark.i-assist.jp/data/china/image_1887th/76536954.pdf","76536954")</f>
        <v>76536954</v>
      </c>
      <c r="F217" s="7" t="s">
        <v>598</v>
      </c>
      <c r="G217" s="7" t="s">
        <v>599</v>
      </c>
      <c r="H217" s="7" t="s">
        <v>600</v>
      </c>
      <c r="I217" s="9">
        <v>45313</v>
      </c>
    </row>
    <row r="218" spans="1:9" x14ac:dyDescent="0.15">
      <c r="A218" s="6">
        <v>217</v>
      </c>
      <c r="B218" s="7" t="s">
        <v>8</v>
      </c>
      <c r="C218" s="8">
        <v>1887</v>
      </c>
      <c r="D218" s="9">
        <v>45425</v>
      </c>
      <c r="E218" s="13" t="str">
        <f>+HYPERLINK("http://trademark.i-assist.jp/data/china/image_1887th/76537883A.pdf","76537883A")</f>
        <v>76537883A</v>
      </c>
      <c r="F218" s="7" t="s">
        <v>601</v>
      </c>
      <c r="G218" s="7" t="s">
        <v>602</v>
      </c>
      <c r="H218" s="7" t="s">
        <v>603</v>
      </c>
      <c r="I218" s="9">
        <v>45313</v>
      </c>
    </row>
    <row r="219" spans="1:9" x14ac:dyDescent="0.15">
      <c r="A219" s="6">
        <v>218</v>
      </c>
      <c r="B219" s="7" t="s">
        <v>8</v>
      </c>
      <c r="C219" s="8">
        <v>1887</v>
      </c>
      <c r="D219" s="9">
        <v>45425</v>
      </c>
      <c r="E219" s="13" t="str">
        <f>+HYPERLINK("http://trademark.i-assist.jp/data/china/image_1887th/76538331.pdf","76538331")</f>
        <v>76538331</v>
      </c>
      <c r="F219" s="7" t="s">
        <v>54</v>
      </c>
      <c r="G219" s="7" t="s">
        <v>604</v>
      </c>
      <c r="H219" s="7" t="s">
        <v>605</v>
      </c>
      <c r="I219" s="9">
        <v>45313</v>
      </c>
    </row>
    <row r="220" spans="1:9" x14ac:dyDescent="0.15">
      <c r="A220" s="6">
        <v>219</v>
      </c>
      <c r="B220" s="7" t="s">
        <v>8</v>
      </c>
      <c r="C220" s="8">
        <v>1887</v>
      </c>
      <c r="D220" s="9">
        <v>45425</v>
      </c>
      <c r="E220" s="13" t="str">
        <f>+HYPERLINK("http://trademark.i-assist.jp/data/china/image_1887th/76541319.pdf","76541319")</f>
        <v>76541319</v>
      </c>
      <c r="F220" s="7" t="s">
        <v>606</v>
      </c>
      <c r="G220" s="7" t="s">
        <v>561</v>
      </c>
      <c r="H220" s="7" t="s">
        <v>564</v>
      </c>
      <c r="I220" s="9">
        <v>45313</v>
      </c>
    </row>
    <row r="221" spans="1:9" x14ac:dyDescent="0.15">
      <c r="A221" s="6">
        <v>220</v>
      </c>
      <c r="B221" s="7" t="s">
        <v>8</v>
      </c>
      <c r="C221" s="8">
        <v>1887</v>
      </c>
      <c r="D221" s="9">
        <v>45425</v>
      </c>
      <c r="E221" s="13" t="str">
        <f>+HYPERLINK("http://trademark.i-assist.jp/data/china/image_1887th/76542377.pdf","76542377")</f>
        <v>76542377</v>
      </c>
      <c r="F221" s="7" t="s">
        <v>607</v>
      </c>
      <c r="G221" s="7" t="s">
        <v>608</v>
      </c>
      <c r="H221" s="7" t="s">
        <v>609</v>
      </c>
      <c r="I221" s="9">
        <v>45313</v>
      </c>
    </row>
    <row r="222" spans="1:9" x14ac:dyDescent="0.15">
      <c r="A222" s="6">
        <v>221</v>
      </c>
      <c r="B222" s="7" t="s">
        <v>8</v>
      </c>
      <c r="C222" s="8">
        <v>1887</v>
      </c>
      <c r="D222" s="9">
        <v>45425</v>
      </c>
      <c r="E222" s="13" t="str">
        <f>+HYPERLINK("http://trademark.i-assist.jp/data/china/image_1887th/76542534.pdf","76542534")</f>
        <v>76542534</v>
      </c>
      <c r="F222" s="7" t="s">
        <v>610</v>
      </c>
      <c r="G222" s="7" t="s">
        <v>611</v>
      </c>
      <c r="H222" s="7" t="s">
        <v>612</v>
      </c>
      <c r="I222" s="9">
        <v>45313</v>
      </c>
    </row>
    <row r="223" spans="1:9" x14ac:dyDescent="0.15">
      <c r="A223" s="6">
        <v>222</v>
      </c>
      <c r="B223" s="7" t="s">
        <v>8</v>
      </c>
      <c r="C223" s="8">
        <v>1887</v>
      </c>
      <c r="D223" s="9">
        <v>45425</v>
      </c>
      <c r="E223" s="13" t="str">
        <f>+HYPERLINK("http://trademark.i-assist.jp/data/china/image_1887th/76543582.pdf","76543582")</f>
        <v>76543582</v>
      </c>
      <c r="F223" s="7" t="s">
        <v>613</v>
      </c>
      <c r="G223" s="7" t="s">
        <v>575</v>
      </c>
      <c r="H223" s="7" t="s">
        <v>614</v>
      </c>
      <c r="I223" s="9">
        <v>45313</v>
      </c>
    </row>
    <row r="224" spans="1:9" x14ac:dyDescent="0.15">
      <c r="A224" s="6">
        <v>223</v>
      </c>
      <c r="B224" s="7" t="s">
        <v>8</v>
      </c>
      <c r="C224" s="8">
        <v>1887</v>
      </c>
      <c r="D224" s="9">
        <v>45425</v>
      </c>
      <c r="E224" s="13" t="str">
        <f>+HYPERLINK("http://trademark.i-assist.jp/data/china/image_1887th/76544389.pdf","76544389")</f>
        <v>76544389</v>
      </c>
      <c r="F224" s="7" t="s">
        <v>615</v>
      </c>
      <c r="G224" s="7" t="s">
        <v>616</v>
      </c>
      <c r="H224" s="7" t="s">
        <v>617</v>
      </c>
      <c r="I224" s="9">
        <v>45314</v>
      </c>
    </row>
    <row r="225" spans="1:9" x14ac:dyDescent="0.15">
      <c r="A225" s="6">
        <v>224</v>
      </c>
      <c r="B225" s="7" t="s">
        <v>8</v>
      </c>
      <c r="C225" s="8">
        <v>1887</v>
      </c>
      <c r="D225" s="9">
        <v>45425</v>
      </c>
      <c r="E225" s="13" t="str">
        <f>+HYPERLINK("http://trademark.i-assist.jp/data/china/image_1887th/76544853.pdf","76544853")</f>
        <v>76544853</v>
      </c>
      <c r="F225" s="7" t="s">
        <v>618</v>
      </c>
      <c r="G225" s="7" t="s">
        <v>619</v>
      </c>
      <c r="H225" s="7" t="s">
        <v>620</v>
      </c>
      <c r="I225" s="9">
        <v>45314</v>
      </c>
    </row>
    <row r="226" spans="1:9" x14ac:dyDescent="0.15">
      <c r="A226" s="6">
        <v>225</v>
      </c>
      <c r="B226" s="7" t="s">
        <v>8</v>
      </c>
      <c r="C226" s="8">
        <v>1887</v>
      </c>
      <c r="D226" s="9">
        <v>45425</v>
      </c>
      <c r="E226" s="13" t="str">
        <f>+HYPERLINK("http://trademark.i-assist.jp/data/china/image_1887th/76545052.pdf","76545052")</f>
        <v>76545052</v>
      </c>
      <c r="F226" s="7" t="s">
        <v>621</v>
      </c>
      <c r="G226" s="7" t="s">
        <v>622</v>
      </c>
      <c r="H226" s="7" t="s">
        <v>623</v>
      </c>
      <c r="I226" s="9">
        <v>45314</v>
      </c>
    </row>
    <row r="227" spans="1:9" x14ac:dyDescent="0.15">
      <c r="A227" s="6">
        <v>226</v>
      </c>
      <c r="B227" s="7" t="s">
        <v>8</v>
      </c>
      <c r="C227" s="8">
        <v>1887</v>
      </c>
      <c r="D227" s="9">
        <v>45425</v>
      </c>
      <c r="E227" s="13" t="str">
        <f>+HYPERLINK("http://trademark.i-assist.jp/data/china/image_1887th/76546406.pdf","76546406")</f>
        <v>76546406</v>
      </c>
      <c r="F227" s="7" t="s">
        <v>624</v>
      </c>
      <c r="G227" s="7" t="s">
        <v>625</v>
      </c>
      <c r="H227" s="7" t="s">
        <v>626</v>
      </c>
      <c r="I227" s="9">
        <v>45314</v>
      </c>
    </row>
    <row r="228" spans="1:9" x14ac:dyDescent="0.15">
      <c r="A228" s="6">
        <v>227</v>
      </c>
      <c r="B228" s="7" t="s">
        <v>8</v>
      </c>
      <c r="C228" s="8">
        <v>1887</v>
      </c>
      <c r="D228" s="9">
        <v>45425</v>
      </c>
      <c r="E228" s="13" t="str">
        <f>+HYPERLINK("http://trademark.i-assist.jp/data/china/image_1887th/76547536.pdf","76547536")</f>
        <v>76547536</v>
      </c>
      <c r="F228" s="7" t="s">
        <v>627</v>
      </c>
      <c r="G228" s="7" t="s">
        <v>628</v>
      </c>
      <c r="H228" s="7" t="s">
        <v>629</v>
      </c>
      <c r="I228" s="9">
        <v>45314</v>
      </c>
    </row>
    <row r="229" spans="1:9" x14ac:dyDescent="0.15">
      <c r="A229" s="6">
        <v>228</v>
      </c>
      <c r="B229" s="7" t="s">
        <v>8</v>
      </c>
      <c r="C229" s="8">
        <v>1887</v>
      </c>
      <c r="D229" s="9">
        <v>45425</v>
      </c>
      <c r="E229" s="13" t="str">
        <f>+HYPERLINK("http://trademark.i-assist.jp/data/china/image_1887th/76551127.pdf","76551127")</f>
        <v>76551127</v>
      </c>
      <c r="F229" s="7" t="s">
        <v>630</v>
      </c>
      <c r="G229" s="7" t="s">
        <v>631</v>
      </c>
      <c r="H229" s="7" t="s">
        <v>632</v>
      </c>
      <c r="I229" s="9">
        <v>45314</v>
      </c>
    </row>
    <row r="230" spans="1:9" x14ac:dyDescent="0.15">
      <c r="A230" s="6">
        <v>229</v>
      </c>
      <c r="B230" s="7" t="s">
        <v>8</v>
      </c>
      <c r="C230" s="8">
        <v>1887</v>
      </c>
      <c r="D230" s="9">
        <v>45425</v>
      </c>
      <c r="E230" s="13" t="str">
        <f>+HYPERLINK("http://trademark.i-assist.jp/data/china/image_1887th/76552078.pdf","76552078")</f>
        <v>76552078</v>
      </c>
      <c r="F230" s="7" t="s">
        <v>633</v>
      </c>
      <c r="G230" s="7" t="s">
        <v>634</v>
      </c>
      <c r="H230" s="7" t="s">
        <v>635</v>
      </c>
      <c r="I230" s="9">
        <v>45314</v>
      </c>
    </row>
    <row r="231" spans="1:9" x14ac:dyDescent="0.15">
      <c r="A231" s="6">
        <v>230</v>
      </c>
      <c r="B231" s="7" t="s">
        <v>8</v>
      </c>
      <c r="C231" s="8">
        <v>1887</v>
      </c>
      <c r="D231" s="9">
        <v>45425</v>
      </c>
      <c r="E231" s="13" t="str">
        <f>+HYPERLINK("http://trademark.i-assist.jp/data/china/image_1887th/76552157.pdf","76552157")</f>
        <v>76552157</v>
      </c>
      <c r="F231" s="7" t="s">
        <v>636</v>
      </c>
      <c r="G231" s="7" t="s">
        <v>637</v>
      </c>
      <c r="H231" s="7" t="s">
        <v>638</v>
      </c>
      <c r="I231" s="9">
        <v>45314</v>
      </c>
    </row>
    <row r="232" spans="1:9" x14ac:dyDescent="0.15">
      <c r="A232" s="6">
        <v>231</v>
      </c>
      <c r="B232" s="7" t="s">
        <v>8</v>
      </c>
      <c r="C232" s="8">
        <v>1887</v>
      </c>
      <c r="D232" s="9">
        <v>45425</v>
      </c>
      <c r="E232" s="13" t="str">
        <f>+HYPERLINK("http://trademark.i-assist.jp/data/china/image_1887th/76552714.pdf","76552714")</f>
        <v>76552714</v>
      </c>
      <c r="F232" s="7" t="s">
        <v>639</v>
      </c>
      <c r="G232" s="7" t="s">
        <v>634</v>
      </c>
      <c r="H232" s="7" t="s">
        <v>640</v>
      </c>
      <c r="I232" s="9">
        <v>45314</v>
      </c>
    </row>
    <row r="233" spans="1:9" x14ac:dyDescent="0.15">
      <c r="A233" s="6">
        <v>232</v>
      </c>
      <c r="B233" s="7" t="s">
        <v>8</v>
      </c>
      <c r="C233" s="8">
        <v>1887</v>
      </c>
      <c r="D233" s="9">
        <v>45425</v>
      </c>
      <c r="E233" s="13" t="str">
        <f>+HYPERLINK("http://trademark.i-assist.jp/data/china/image_1887th/76552917.pdf","76552917")</f>
        <v>76552917</v>
      </c>
      <c r="F233" s="7" t="s">
        <v>641</v>
      </c>
      <c r="G233" s="7" t="s">
        <v>642</v>
      </c>
      <c r="H233" s="7" t="s">
        <v>643</v>
      </c>
      <c r="I233" s="9">
        <v>45314</v>
      </c>
    </row>
    <row r="234" spans="1:9" x14ac:dyDescent="0.15">
      <c r="A234" s="6">
        <v>233</v>
      </c>
      <c r="B234" s="7" t="s">
        <v>8</v>
      </c>
      <c r="C234" s="8">
        <v>1887</v>
      </c>
      <c r="D234" s="9">
        <v>45425</v>
      </c>
      <c r="E234" s="13" t="str">
        <f>+HYPERLINK("http://trademark.i-assist.jp/data/china/image_1887th/76553134.pdf","76553134")</f>
        <v>76553134</v>
      </c>
      <c r="F234" s="7" t="s">
        <v>644</v>
      </c>
      <c r="G234" s="7" t="s">
        <v>645</v>
      </c>
      <c r="H234" s="7" t="s">
        <v>646</v>
      </c>
      <c r="I234" s="9">
        <v>45314</v>
      </c>
    </row>
    <row r="235" spans="1:9" x14ac:dyDescent="0.15">
      <c r="A235" s="6">
        <v>234</v>
      </c>
      <c r="B235" s="7" t="s">
        <v>8</v>
      </c>
      <c r="C235" s="8">
        <v>1887</v>
      </c>
      <c r="D235" s="9">
        <v>45425</v>
      </c>
      <c r="E235" s="13" t="str">
        <f>+HYPERLINK("http://trademark.i-assist.jp/data/china/image_1887th/76554983.pdf","76554983")</f>
        <v>76554983</v>
      </c>
      <c r="F235" s="7" t="s">
        <v>647</v>
      </c>
      <c r="G235" s="7" t="s">
        <v>648</v>
      </c>
      <c r="H235" s="7" t="s">
        <v>649</v>
      </c>
      <c r="I235" s="9">
        <v>45314</v>
      </c>
    </row>
    <row r="236" spans="1:9" x14ac:dyDescent="0.15">
      <c r="A236" s="6">
        <v>235</v>
      </c>
      <c r="B236" s="7" t="s">
        <v>8</v>
      </c>
      <c r="C236" s="8">
        <v>1887</v>
      </c>
      <c r="D236" s="9">
        <v>45425</v>
      </c>
      <c r="E236" s="13" t="str">
        <f>+HYPERLINK("http://trademark.i-assist.jp/data/china/image_1887th/76556499.pdf","76556499")</f>
        <v>76556499</v>
      </c>
      <c r="F236" s="7" t="s">
        <v>650</v>
      </c>
      <c r="G236" s="7" t="s">
        <v>651</v>
      </c>
      <c r="H236" s="7" t="s">
        <v>652</v>
      </c>
      <c r="I236" s="9">
        <v>45314</v>
      </c>
    </row>
    <row r="237" spans="1:9" x14ac:dyDescent="0.15">
      <c r="A237" s="6">
        <v>236</v>
      </c>
      <c r="B237" s="7" t="s">
        <v>8</v>
      </c>
      <c r="C237" s="8">
        <v>1887</v>
      </c>
      <c r="D237" s="9">
        <v>45425</v>
      </c>
      <c r="E237" s="13" t="str">
        <f>+HYPERLINK("http://trademark.i-assist.jp/data/china/image_1887th/76557014.pdf","76557014")</f>
        <v>76557014</v>
      </c>
      <c r="F237" s="7" t="s">
        <v>653</v>
      </c>
      <c r="G237" s="7" t="s">
        <v>654</v>
      </c>
      <c r="H237" s="7" t="s">
        <v>655</v>
      </c>
      <c r="I237" s="9">
        <v>45314</v>
      </c>
    </row>
    <row r="238" spans="1:9" x14ac:dyDescent="0.15">
      <c r="A238" s="6">
        <v>237</v>
      </c>
      <c r="B238" s="7" t="s">
        <v>8</v>
      </c>
      <c r="C238" s="8">
        <v>1887</v>
      </c>
      <c r="D238" s="9">
        <v>45425</v>
      </c>
      <c r="E238" s="13" t="str">
        <f>+HYPERLINK("http://trademark.i-assist.jp/data/china/image_1887th/76557442.pdf","76557442")</f>
        <v>76557442</v>
      </c>
      <c r="F238" s="7" t="s">
        <v>656</v>
      </c>
      <c r="G238" s="7" t="s">
        <v>657</v>
      </c>
      <c r="H238" s="7" t="s">
        <v>658</v>
      </c>
      <c r="I238" s="9">
        <v>45314</v>
      </c>
    </row>
    <row r="239" spans="1:9" x14ac:dyDescent="0.15">
      <c r="A239" s="6">
        <v>238</v>
      </c>
      <c r="B239" s="7" t="s">
        <v>8</v>
      </c>
      <c r="C239" s="8">
        <v>1887</v>
      </c>
      <c r="D239" s="9">
        <v>45425</v>
      </c>
      <c r="E239" s="13" t="str">
        <f>+HYPERLINK("http://trademark.i-assist.jp/data/china/image_1887th/76559776.pdf","76559776")</f>
        <v>76559776</v>
      </c>
      <c r="F239" s="7" t="s">
        <v>659</v>
      </c>
      <c r="G239" s="7" t="s">
        <v>660</v>
      </c>
      <c r="H239" s="7" t="s">
        <v>661</v>
      </c>
      <c r="I239" s="9">
        <v>45314</v>
      </c>
    </row>
    <row r="240" spans="1:9" x14ac:dyDescent="0.15">
      <c r="A240" s="6">
        <v>239</v>
      </c>
      <c r="B240" s="7" t="s">
        <v>8</v>
      </c>
      <c r="C240" s="8">
        <v>1887</v>
      </c>
      <c r="D240" s="9">
        <v>45425</v>
      </c>
      <c r="E240" s="13" t="str">
        <f>+HYPERLINK("http://trademark.i-assist.jp/data/china/image_1887th/76560435.pdf","76560435")</f>
        <v>76560435</v>
      </c>
      <c r="F240" s="7" t="s">
        <v>662</v>
      </c>
      <c r="G240" s="7" t="s">
        <v>663</v>
      </c>
      <c r="H240" s="7" t="s">
        <v>664</v>
      </c>
      <c r="I240" s="9">
        <v>45314</v>
      </c>
    </row>
    <row r="241" spans="1:9" x14ac:dyDescent="0.15">
      <c r="A241" s="6">
        <v>240</v>
      </c>
      <c r="B241" s="7" t="s">
        <v>8</v>
      </c>
      <c r="C241" s="8">
        <v>1887</v>
      </c>
      <c r="D241" s="9">
        <v>45425</v>
      </c>
      <c r="E241" s="13" t="str">
        <f>+HYPERLINK("http://trademark.i-assist.jp/data/china/image_1887th/76561260.pdf","76561260")</f>
        <v>76561260</v>
      </c>
      <c r="F241" s="7" t="s">
        <v>665</v>
      </c>
      <c r="G241" s="7" t="s">
        <v>666</v>
      </c>
      <c r="H241" s="7" t="s">
        <v>667</v>
      </c>
      <c r="I241" s="9">
        <v>45314</v>
      </c>
    </row>
    <row r="242" spans="1:9" x14ac:dyDescent="0.15">
      <c r="A242" s="6">
        <v>241</v>
      </c>
      <c r="B242" s="7" t="s">
        <v>8</v>
      </c>
      <c r="C242" s="8">
        <v>1887</v>
      </c>
      <c r="D242" s="9">
        <v>45425</v>
      </c>
      <c r="E242" s="13" t="str">
        <f>+HYPERLINK("http://trademark.i-assist.jp/data/china/image_1887th/76562869.pdf","76562869")</f>
        <v>76562869</v>
      </c>
      <c r="F242" s="7" t="s">
        <v>668</v>
      </c>
      <c r="G242" s="7" t="s">
        <v>669</v>
      </c>
      <c r="H242" s="7" t="s">
        <v>670</v>
      </c>
      <c r="I242" s="9">
        <v>45314</v>
      </c>
    </row>
    <row r="243" spans="1:9" ht="27" x14ac:dyDescent="0.15">
      <c r="A243" s="6">
        <v>242</v>
      </c>
      <c r="B243" s="7" t="s">
        <v>8</v>
      </c>
      <c r="C243" s="8">
        <v>1887</v>
      </c>
      <c r="D243" s="9">
        <v>45425</v>
      </c>
      <c r="E243" s="13" t="str">
        <f>+HYPERLINK("http://trademark.i-assist.jp/data/china/image_1887th/76563302.pdf","76563302")</f>
        <v>76563302</v>
      </c>
      <c r="F243" s="7" t="s">
        <v>671</v>
      </c>
      <c r="G243" s="7" t="s">
        <v>672</v>
      </c>
      <c r="H243" s="7" t="s">
        <v>673</v>
      </c>
      <c r="I243" s="9">
        <v>45314</v>
      </c>
    </row>
    <row r="244" spans="1:9" x14ac:dyDescent="0.15">
      <c r="A244" s="6">
        <v>243</v>
      </c>
      <c r="B244" s="7" t="s">
        <v>8</v>
      </c>
      <c r="C244" s="8">
        <v>1887</v>
      </c>
      <c r="D244" s="9">
        <v>45425</v>
      </c>
      <c r="E244" s="13" t="str">
        <f>+HYPERLINK("http://trademark.i-assist.jp/data/china/image_1887th/76563366.pdf","76563366")</f>
        <v>76563366</v>
      </c>
      <c r="F244" s="7" t="s">
        <v>674</v>
      </c>
      <c r="G244" s="7" t="s">
        <v>675</v>
      </c>
      <c r="H244" s="7" t="s">
        <v>676</v>
      </c>
      <c r="I244" s="9">
        <v>45314</v>
      </c>
    </row>
    <row r="245" spans="1:9" x14ac:dyDescent="0.15">
      <c r="A245" s="6">
        <v>244</v>
      </c>
      <c r="B245" s="7" t="s">
        <v>8</v>
      </c>
      <c r="C245" s="8">
        <v>1887</v>
      </c>
      <c r="D245" s="9">
        <v>45425</v>
      </c>
      <c r="E245" s="13" t="str">
        <f>+HYPERLINK("http://trademark.i-assist.jp/data/china/image_1887th/76564211.pdf","76564211")</f>
        <v>76564211</v>
      </c>
      <c r="F245" s="7" t="s">
        <v>677</v>
      </c>
      <c r="G245" s="7" t="s">
        <v>678</v>
      </c>
      <c r="H245" s="7" t="s">
        <v>679</v>
      </c>
      <c r="I245" s="9">
        <v>45314</v>
      </c>
    </row>
    <row r="246" spans="1:9" x14ac:dyDescent="0.15">
      <c r="A246" s="6">
        <v>245</v>
      </c>
      <c r="B246" s="7" t="s">
        <v>8</v>
      </c>
      <c r="C246" s="8">
        <v>1887</v>
      </c>
      <c r="D246" s="9">
        <v>45425</v>
      </c>
      <c r="E246" s="13" t="str">
        <f>+HYPERLINK("http://trademark.i-assist.jp/data/china/image_1887th/76565252.pdf","76565252")</f>
        <v>76565252</v>
      </c>
      <c r="F246" s="7" t="s">
        <v>680</v>
      </c>
      <c r="G246" s="7" t="s">
        <v>681</v>
      </c>
      <c r="H246" s="7" t="s">
        <v>682</v>
      </c>
      <c r="I246" s="9">
        <v>45314</v>
      </c>
    </row>
    <row r="247" spans="1:9" x14ac:dyDescent="0.15">
      <c r="A247" s="6">
        <v>246</v>
      </c>
      <c r="B247" s="7" t="s">
        <v>8</v>
      </c>
      <c r="C247" s="8">
        <v>1887</v>
      </c>
      <c r="D247" s="9">
        <v>45425</v>
      </c>
      <c r="E247" s="13" t="str">
        <f>+HYPERLINK("http://trademark.i-assist.jp/data/china/image_1887th/76565774.pdf","76565774")</f>
        <v>76565774</v>
      </c>
      <c r="F247" s="7" t="s">
        <v>683</v>
      </c>
      <c r="G247" s="7" t="s">
        <v>684</v>
      </c>
      <c r="H247" s="7" t="s">
        <v>685</v>
      </c>
      <c r="I247" s="9">
        <v>45314</v>
      </c>
    </row>
    <row r="248" spans="1:9" x14ac:dyDescent="0.15">
      <c r="A248" s="6">
        <v>247</v>
      </c>
      <c r="B248" s="7" t="s">
        <v>8</v>
      </c>
      <c r="C248" s="8">
        <v>1887</v>
      </c>
      <c r="D248" s="9">
        <v>45425</v>
      </c>
      <c r="E248" s="13" t="str">
        <f>+HYPERLINK("http://trademark.i-assist.jp/data/china/image_1887th/76565871.pdf","76565871")</f>
        <v>76565871</v>
      </c>
      <c r="F248" s="7" t="s">
        <v>686</v>
      </c>
      <c r="G248" s="7" t="s">
        <v>669</v>
      </c>
      <c r="H248" s="7" t="s">
        <v>687</v>
      </c>
      <c r="I248" s="9">
        <v>45314</v>
      </c>
    </row>
    <row r="249" spans="1:9" x14ac:dyDescent="0.15">
      <c r="A249" s="6">
        <v>248</v>
      </c>
      <c r="B249" s="7" t="s">
        <v>8</v>
      </c>
      <c r="C249" s="8">
        <v>1887</v>
      </c>
      <c r="D249" s="9">
        <v>45425</v>
      </c>
      <c r="E249" s="13" t="str">
        <f>+HYPERLINK("http://trademark.i-assist.jp/data/china/image_1887th/76566112.pdf","76566112")</f>
        <v>76566112</v>
      </c>
      <c r="F249" s="7" t="s">
        <v>688</v>
      </c>
      <c r="G249" s="7" t="s">
        <v>689</v>
      </c>
      <c r="H249" s="7" t="s">
        <v>690</v>
      </c>
      <c r="I249" s="9">
        <v>45314</v>
      </c>
    </row>
    <row r="250" spans="1:9" ht="27" x14ac:dyDescent="0.15">
      <c r="A250" s="6">
        <v>249</v>
      </c>
      <c r="B250" s="7" t="s">
        <v>8</v>
      </c>
      <c r="C250" s="8">
        <v>1887</v>
      </c>
      <c r="D250" s="9">
        <v>45425</v>
      </c>
      <c r="E250" s="13" t="str">
        <f>+HYPERLINK("http://trademark.i-assist.jp/data/china/image_1887th/76566143.pdf","76566143")</f>
        <v>76566143</v>
      </c>
      <c r="F250" s="7" t="s">
        <v>691</v>
      </c>
      <c r="G250" s="7" t="s">
        <v>692</v>
      </c>
      <c r="H250" s="7" t="s">
        <v>693</v>
      </c>
      <c r="I250" s="9">
        <v>45314</v>
      </c>
    </row>
    <row r="251" spans="1:9" x14ac:dyDescent="0.15">
      <c r="A251" s="6">
        <v>250</v>
      </c>
      <c r="B251" s="7" t="s">
        <v>8</v>
      </c>
      <c r="C251" s="8">
        <v>1887</v>
      </c>
      <c r="D251" s="9">
        <v>45425</v>
      </c>
      <c r="E251" s="13" t="str">
        <f>+HYPERLINK("http://trademark.i-assist.jp/data/china/image_1887th/76567072.pdf","76567072")</f>
        <v>76567072</v>
      </c>
      <c r="F251" s="7" t="s">
        <v>694</v>
      </c>
      <c r="G251" s="7" t="s">
        <v>669</v>
      </c>
      <c r="H251" s="7" t="s">
        <v>695</v>
      </c>
      <c r="I251" s="9">
        <v>45314</v>
      </c>
    </row>
    <row r="252" spans="1:9" x14ac:dyDescent="0.15">
      <c r="A252" s="6">
        <v>251</v>
      </c>
      <c r="B252" s="7" t="s">
        <v>8</v>
      </c>
      <c r="C252" s="8">
        <v>1887</v>
      </c>
      <c r="D252" s="9">
        <v>45425</v>
      </c>
      <c r="E252" s="13" t="str">
        <f>+HYPERLINK("http://trademark.i-assist.jp/data/china/image_1887th/76567306.pdf","76567306")</f>
        <v>76567306</v>
      </c>
      <c r="F252" s="7" t="s">
        <v>696</v>
      </c>
      <c r="G252" s="7" t="s">
        <v>697</v>
      </c>
      <c r="H252" s="7" t="s">
        <v>698</v>
      </c>
      <c r="I252" s="9">
        <v>45314</v>
      </c>
    </row>
    <row r="253" spans="1:9" x14ac:dyDescent="0.15">
      <c r="A253" s="6">
        <v>252</v>
      </c>
      <c r="B253" s="7" t="s">
        <v>8</v>
      </c>
      <c r="C253" s="8">
        <v>1887</v>
      </c>
      <c r="D253" s="9">
        <v>45425</v>
      </c>
      <c r="E253" s="13" t="str">
        <f>+HYPERLINK("http://trademark.i-assist.jp/data/china/image_1887th/76568037.pdf","76568037")</f>
        <v>76568037</v>
      </c>
      <c r="F253" s="7" t="s">
        <v>699</v>
      </c>
      <c r="G253" s="7" t="s">
        <v>700</v>
      </c>
      <c r="H253" s="7" t="s">
        <v>701</v>
      </c>
      <c r="I253" s="9">
        <v>45314</v>
      </c>
    </row>
    <row r="254" spans="1:9" x14ac:dyDescent="0.15">
      <c r="A254" s="6">
        <v>253</v>
      </c>
      <c r="B254" s="7" t="s">
        <v>8</v>
      </c>
      <c r="C254" s="8">
        <v>1887</v>
      </c>
      <c r="D254" s="9">
        <v>45425</v>
      </c>
      <c r="E254" s="13" t="str">
        <f>+HYPERLINK("http://trademark.i-assist.jp/data/china/image_1887th/76577695.pdf","76577695")</f>
        <v>76577695</v>
      </c>
      <c r="F254" s="7" t="s">
        <v>702</v>
      </c>
      <c r="G254" s="7" t="s">
        <v>703</v>
      </c>
      <c r="H254" s="7" t="s">
        <v>704</v>
      </c>
      <c r="I254" s="9">
        <v>45315</v>
      </c>
    </row>
    <row r="255" spans="1:9" x14ac:dyDescent="0.15">
      <c r="A255" s="6">
        <v>254</v>
      </c>
      <c r="B255" s="7" t="s">
        <v>8</v>
      </c>
      <c r="C255" s="8">
        <v>1887</v>
      </c>
      <c r="D255" s="9">
        <v>45425</v>
      </c>
      <c r="E255" s="13" t="str">
        <f>+HYPERLINK("http://trademark.i-assist.jp/data/china/image_1887th/76579953.pdf","76579953")</f>
        <v>76579953</v>
      </c>
      <c r="F255" s="7" t="s">
        <v>705</v>
      </c>
      <c r="G255" s="7" t="s">
        <v>706</v>
      </c>
      <c r="H255" s="7" t="s">
        <v>707</v>
      </c>
      <c r="I255" s="9">
        <v>45315</v>
      </c>
    </row>
    <row r="256" spans="1:9" x14ac:dyDescent="0.15">
      <c r="A256" s="6">
        <v>255</v>
      </c>
      <c r="B256" s="7" t="s">
        <v>8</v>
      </c>
      <c r="C256" s="8">
        <v>1887</v>
      </c>
      <c r="D256" s="9">
        <v>45425</v>
      </c>
      <c r="E256" s="13" t="str">
        <f>+HYPERLINK("http://trademark.i-assist.jp/data/china/image_1887th/76580254A.pdf","76580254A")</f>
        <v>76580254A</v>
      </c>
      <c r="F256" s="7" t="s">
        <v>708</v>
      </c>
      <c r="G256" s="7" t="s">
        <v>709</v>
      </c>
      <c r="H256" s="7" t="s">
        <v>710</v>
      </c>
      <c r="I256" s="9">
        <v>45315</v>
      </c>
    </row>
    <row r="257" spans="1:9" x14ac:dyDescent="0.15">
      <c r="A257" s="6">
        <v>256</v>
      </c>
      <c r="B257" s="7" t="s">
        <v>8</v>
      </c>
      <c r="C257" s="8">
        <v>1887</v>
      </c>
      <c r="D257" s="9">
        <v>45425</v>
      </c>
      <c r="E257" s="13" t="str">
        <f>+HYPERLINK("http://trademark.i-assist.jp/data/china/image_1887th/76582092.pdf","76582092")</f>
        <v>76582092</v>
      </c>
      <c r="F257" s="7" t="s">
        <v>711</v>
      </c>
      <c r="G257" s="7" t="s">
        <v>712</v>
      </c>
      <c r="H257" s="7" t="s">
        <v>713</v>
      </c>
      <c r="I257" s="9">
        <v>45315</v>
      </c>
    </row>
    <row r="258" spans="1:9" x14ac:dyDescent="0.15">
      <c r="A258" s="6">
        <v>257</v>
      </c>
      <c r="B258" s="7" t="s">
        <v>8</v>
      </c>
      <c r="C258" s="8">
        <v>1887</v>
      </c>
      <c r="D258" s="9">
        <v>45425</v>
      </c>
      <c r="E258" s="13" t="str">
        <f>+HYPERLINK("http://trademark.i-assist.jp/data/china/image_1887th/76582690.pdf","76582690")</f>
        <v>76582690</v>
      </c>
      <c r="F258" s="7" t="s">
        <v>714</v>
      </c>
      <c r="G258" s="7" t="s">
        <v>715</v>
      </c>
      <c r="H258" s="7" t="s">
        <v>716</v>
      </c>
      <c r="I258" s="9">
        <v>45315</v>
      </c>
    </row>
    <row r="259" spans="1:9" ht="27" x14ac:dyDescent="0.15">
      <c r="A259" s="6">
        <v>258</v>
      </c>
      <c r="B259" s="7" t="s">
        <v>8</v>
      </c>
      <c r="C259" s="8">
        <v>1887</v>
      </c>
      <c r="D259" s="9">
        <v>45425</v>
      </c>
      <c r="E259" s="13" t="str">
        <f>+HYPERLINK("http://trademark.i-assist.jp/data/china/image_1887th/76584016.pdf","76584016")</f>
        <v>76584016</v>
      </c>
      <c r="F259" s="7" t="s">
        <v>717</v>
      </c>
      <c r="G259" s="7" t="s">
        <v>718</v>
      </c>
      <c r="H259" s="7" t="s">
        <v>719</v>
      </c>
      <c r="I259" s="9">
        <v>45315</v>
      </c>
    </row>
    <row r="260" spans="1:9" ht="27" x14ac:dyDescent="0.15">
      <c r="A260" s="6">
        <v>259</v>
      </c>
      <c r="B260" s="7" t="s">
        <v>8</v>
      </c>
      <c r="C260" s="8">
        <v>1887</v>
      </c>
      <c r="D260" s="9">
        <v>45425</v>
      </c>
      <c r="E260" s="13" t="str">
        <f>+HYPERLINK("http://trademark.i-assist.jp/data/china/image_1887th/76585523.pdf","76585523")</f>
        <v>76585523</v>
      </c>
      <c r="F260" s="7" t="s">
        <v>720</v>
      </c>
      <c r="G260" s="7" t="s">
        <v>721</v>
      </c>
      <c r="H260" s="7" t="s">
        <v>722</v>
      </c>
      <c r="I260" s="9">
        <v>45315</v>
      </c>
    </row>
    <row r="261" spans="1:9" x14ac:dyDescent="0.15">
      <c r="A261" s="6">
        <v>260</v>
      </c>
      <c r="B261" s="7" t="s">
        <v>8</v>
      </c>
      <c r="C261" s="8">
        <v>1887</v>
      </c>
      <c r="D261" s="9">
        <v>45425</v>
      </c>
      <c r="E261" s="13" t="str">
        <f>+HYPERLINK("http://trademark.i-assist.jp/data/china/image_1887th/76586343A.pdf","76586343A")</f>
        <v>76586343A</v>
      </c>
      <c r="F261" s="7" t="s">
        <v>723</v>
      </c>
      <c r="G261" s="7" t="s">
        <v>709</v>
      </c>
      <c r="H261" s="7" t="s">
        <v>710</v>
      </c>
      <c r="I261" s="9">
        <v>45315</v>
      </c>
    </row>
    <row r="262" spans="1:9" x14ac:dyDescent="0.15">
      <c r="A262" s="6">
        <v>261</v>
      </c>
      <c r="B262" s="7" t="s">
        <v>8</v>
      </c>
      <c r="C262" s="8">
        <v>1887</v>
      </c>
      <c r="D262" s="9">
        <v>45425</v>
      </c>
      <c r="E262" s="13" t="str">
        <f>+HYPERLINK("http://trademark.i-assist.jp/data/china/image_1887th/76588991.pdf","76588991")</f>
        <v>76588991</v>
      </c>
      <c r="F262" s="7" t="s">
        <v>724</v>
      </c>
      <c r="G262" s="7" t="s">
        <v>725</v>
      </c>
      <c r="H262" s="7" t="s">
        <v>726</v>
      </c>
      <c r="I262" s="9">
        <v>45315</v>
      </c>
    </row>
    <row r="263" spans="1:9" x14ac:dyDescent="0.15">
      <c r="A263" s="6">
        <v>262</v>
      </c>
      <c r="B263" s="7" t="s">
        <v>8</v>
      </c>
      <c r="C263" s="8">
        <v>1887</v>
      </c>
      <c r="D263" s="9">
        <v>45425</v>
      </c>
      <c r="E263" s="13" t="str">
        <f>+HYPERLINK("http://trademark.i-assist.jp/data/china/image_1887th/76589921.pdf","76589921")</f>
        <v>76589921</v>
      </c>
      <c r="F263" s="7" t="s">
        <v>727</v>
      </c>
      <c r="G263" s="7" t="s">
        <v>728</v>
      </c>
      <c r="H263" s="7" t="s">
        <v>729</v>
      </c>
      <c r="I263" s="9">
        <v>45315</v>
      </c>
    </row>
    <row r="264" spans="1:9" x14ac:dyDescent="0.15">
      <c r="A264" s="6">
        <v>263</v>
      </c>
      <c r="B264" s="7" t="s">
        <v>8</v>
      </c>
      <c r="C264" s="8">
        <v>1887</v>
      </c>
      <c r="D264" s="9">
        <v>45425</v>
      </c>
      <c r="E264" s="13" t="str">
        <f>+HYPERLINK("http://trademark.i-assist.jp/data/china/image_1887th/76589942.pdf","76589942")</f>
        <v>76589942</v>
      </c>
      <c r="F264" s="7" t="s">
        <v>730</v>
      </c>
      <c r="G264" s="7" t="s">
        <v>731</v>
      </c>
      <c r="H264" s="7" t="s">
        <v>732</v>
      </c>
      <c r="I264" s="9">
        <v>45315</v>
      </c>
    </row>
    <row r="265" spans="1:9" x14ac:dyDescent="0.15">
      <c r="A265" s="6">
        <v>264</v>
      </c>
      <c r="B265" s="7" t="s">
        <v>8</v>
      </c>
      <c r="C265" s="8">
        <v>1887</v>
      </c>
      <c r="D265" s="9">
        <v>45425</v>
      </c>
      <c r="E265" s="13" t="str">
        <f>+HYPERLINK("http://trademark.i-assist.jp/data/china/image_1887th/76590185.pdf","76590185")</f>
        <v>76590185</v>
      </c>
      <c r="F265" s="7" t="s">
        <v>733</v>
      </c>
      <c r="G265" s="7" t="s">
        <v>734</v>
      </c>
      <c r="H265" s="7" t="s">
        <v>735</v>
      </c>
      <c r="I265" s="9">
        <v>45315</v>
      </c>
    </row>
    <row r="266" spans="1:9" x14ac:dyDescent="0.15">
      <c r="A266" s="6">
        <v>265</v>
      </c>
      <c r="B266" s="7" t="s">
        <v>8</v>
      </c>
      <c r="C266" s="8">
        <v>1887</v>
      </c>
      <c r="D266" s="9">
        <v>45425</v>
      </c>
      <c r="E266" s="13" t="str">
        <f>+HYPERLINK("http://trademark.i-assist.jp/data/china/image_1887th/76590551.pdf","76590551")</f>
        <v>76590551</v>
      </c>
      <c r="F266" s="7" t="s">
        <v>736</v>
      </c>
      <c r="G266" s="7" t="s">
        <v>737</v>
      </c>
      <c r="H266" s="7" t="s">
        <v>738</v>
      </c>
      <c r="I266" s="9">
        <v>45315</v>
      </c>
    </row>
    <row r="267" spans="1:9" x14ac:dyDescent="0.15">
      <c r="A267" s="6">
        <v>266</v>
      </c>
      <c r="B267" s="7" t="s">
        <v>8</v>
      </c>
      <c r="C267" s="8">
        <v>1887</v>
      </c>
      <c r="D267" s="9">
        <v>45425</v>
      </c>
      <c r="E267" s="13" t="str">
        <f>+HYPERLINK("http://trademark.i-assist.jp/data/china/image_1887th/76591935.pdf","76591935")</f>
        <v>76591935</v>
      </c>
      <c r="F267" s="7" t="s">
        <v>739</v>
      </c>
      <c r="G267" s="7" t="s">
        <v>740</v>
      </c>
      <c r="H267" s="7" t="s">
        <v>741</v>
      </c>
      <c r="I267" s="9">
        <v>45315</v>
      </c>
    </row>
    <row r="268" spans="1:9" ht="27" x14ac:dyDescent="0.15">
      <c r="A268" s="6">
        <v>267</v>
      </c>
      <c r="B268" s="7" t="s">
        <v>8</v>
      </c>
      <c r="C268" s="8">
        <v>1887</v>
      </c>
      <c r="D268" s="9">
        <v>45425</v>
      </c>
      <c r="E268" s="13" t="str">
        <f>+HYPERLINK("http://trademark.i-assist.jp/data/china/image_1887th/76598129.pdf","76598129")</f>
        <v>76598129</v>
      </c>
      <c r="F268" s="7" t="s">
        <v>742</v>
      </c>
      <c r="G268" s="7" t="s">
        <v>743</v>
      </c>
      <c r="H268" s="7" t="s">
        <v>744</v>
      </c>
      <c r="I268" s="9">
        <v>45316</v>
      </c>
    </row>
    <row r="269" spans="1:9" ht="27" x14ac:dyDescent="0.15">
      <c r="A269" s="6">
        <v>268</v>
      </c>
      <c r="B269" s="7" t="s">
        <v>8</v>
      </c>
      <c r="C269" s="8">
        <v>1887</v>
      </c>
      <c r="D269" s="9">
        <v>45425</v>
      </c>
      <c r="E269" s="13" t="str">
        <f>+HYPERLINK("http://trademark.i-assist.jp/data/china/image_1887th/76599109.pdf","76599109")</f>
        <v>76599109</v>
      </c>
      <c r="F269" s="7" t="s">
        <v>745</v>
      </c>
      <c r="G269" s="7" t="s">
        <v>746</v>
      </c>
      <c r="H269" s="7" t="s">
        <v>747</v>
      </c>
      <c r="I269" s="9">
        <v>45316</v>
      </c>
    </row>
    <row r="270" spans="1:9" x14ac:dyDescent="0.15">
      <c r="A270" s="6">
        <v>269</v>
      </c>
      <c r="B270" s="7" t="s">
        <v>8</v>
      </c>
      <c r="C270" s="8">
        <v>1887</v>
      </c>
      <c r="D270" s="9">
        <v>45425</v>
      </c>
      <c r="E270" s="13" t="str">
        <f>+HYPERLINK("http://trademark.i-assist.jp/data/china/image_1887th/76602990.pdf","76602990")</f>
        <v>76602990</v>
      </c>
      <c r="F270" s="7" t="s">
        <v>748</v>
      </c>
      <c r="G270" s="7" t="s">
        <v>749</v>
      </c>
      <c r="H270" s="7" t="s">
        <v>750</v>
      </c>
      <c r="I270" s="9">
        <v>45316</v>
      </c>
    </row>
    <row r="271" spans="1:9" x14ac:dyDescent="0.15">
      <c r="A271" s="6">
        <v>270</v>
      </c>
      <c r="B271" s="7" t="s">
        <v>8</v>
      </c>
      <c r="C271" s="8">
        <v>1887</v>
      </c>
      <c r="D271" s="9">
        <v>45425</v>
      </c>
      <c r="E271" s="13" t="str">
        <f>+HYPERLINK("http://trademark.i-assist.jp/data/china/image_1887th/76604345.pdf","76604345")</f>
        <v>76604345</v>
      </c>
      <c r="F271" s="7" t="s">
        <v>751</v>
      </c>
      <c r="G271" s="7" t="s">
        <v>752</v>
      </c>
      <c r="H271" s="7" t="s">
        <v>753</v>
      </c>
      <c r="I271" s="9">
        <v>45316</v>
      </c>
    </row>
    <row r="272" spans="1:9" x14ac:dyDescent="0.15">
      <c r="A272" s="6">
        <v>271</v>
      </c>
      <c r="B272" s="7" t="s">
        <v>8</v>
      </c>
      <c r="C272" s="8">
        <v>1887</v>
      </c>
      <c r="D272" s="9">
        <v>45425</v>
      </c>
      <c r="E272" s="13" t="str">
        <f>+HYPERLINK("http://trademark.i-assist.jp/data/china/image_1887th/76604719.pdf","76604719")</f>
        <v>76604719</v>
      </c>
      <c r="F272" s="7" t="s">
        <v>754</v>
      </c>
      <c r="G272" s="7" t="s">
        <v>755</v>
      </c>
      <c r="H272" s="7" t="s">
        <v>756</v>
      </c>
      <c r="I272" s="9">
        <v>45316</v>
      </c>
    </row>
    <row r="273" spans="1:9" ht="27" x14ac:dyDescent="0.15">
      <c r="A273" s="6">
        <v>272</v>
      </c>
      <c r="B273" s="7" t="s">
        <v>8</v>
      </c>
      <c r="C273" s="8">
        <v>1887</v>
      </c>
      <c r="D273" s="9">
        <v>45425</v>
      </c>
      <c r="E273" s="13" t="str">
        <f>+HYPERLINK("http://trademark.i-assist.jp/data/china/image_1887th/76605068.pdf","76605068")</f>
        <v>76605068</v>
      </c>
      <c r="F273" s="7" t="s">
        <v>757</v>
      </c>
      <c r="G273" s="7" t="s">
        <v>758</v>
      </c>
      <c r="H273" s="7" t="s">
        <v>759</v>
      </c>
      <c r="I273" s="9">
        <v>45316</v>
      </c>
    </row>
    <row r="274" spans="1:9" x14ac:dyDescent="0.15">
      <c r="A274" s="6">
        <v>273</v>
      </c>
      <c r="B274" s="7" t="s">
        <v>8</v>
      </c>
      <c r="C274" s="8">
        <v>1887</v>
      </c>
      <c r="D274" s="9">
        <v>45425</v>
      </c>
      <c r="E274" s="13" t="str">
        <f>+HYPERLINK("http://trademark.i-assist.jp/data/china/image_1887th/76605154.pdf","76605154")</f>
        <v>76605154</v>
      </c>
      <c r="F274" s="7" t="s">
        <v>760</v>
      </c>
      <c r="G274" s="7" t="s">
        <v>761</v>
      </c>
      <c r="H274" s="7" t="s">
        <v>762</v>
      </c>
      <c r="I274" s="9">
        <v>45316</v>
      </c>
    </row>
    <row r="275" spans="1:9" x14ac:dyDescent="0.15">
      <c r="A275" s="6">
        <v>274</v>
      </c>
      <c r="B275" s="7" t="s">
        <v>8</v>
      </c>
      <c r="C275" s="8">
        <v>1887</v>
      </c>
      <c r="D275" s="9">
        <v>45425</v>
      </c>
      <c r="E275" s="13" t="str">
        <f>+HYPERLINK("http://trademark.i-assist.jp/data/china/image_1887th/76605642.pdf","76605642")</f>
        <v>76605642</v>
      </c>
      <c r="F275" s="7" t="s">
        <v>763</v>
      </c>
      <c r="G275" s="7" t="s">
        <v>764</v>
      </c>
      <c r="H275" s="7" t="s">
        <v>765</v>
      </c>
      <c r="I275" s="9">
        <v>45316</v>
      </c>
    </row>
    <row r="276" spans="1:9" ht="27" x14ac:dyDescent="0.15">
      <c r="A276" s="6">
        <v>275</v>
      </c>
      <c r="B276" s="7" t="s">
        <v>8</v>
      </c>
      <c r="C276" s="8">
        <v>1887</v>
      </c>
      <c r="D276" s="9">
        <v>45425</v>
      </c>
      <c r="E276" s="13" t="str">
        <f>+HYPERLINK("http://trademark.i-assist.jp/data/china/image_1887th/76605892.pdf","76605892")</f>
        <v>76605892</v>
      </c>
      <c r="F276" s="7" t="s">
        <v>766</v>
      </c>
      <c r="G276" s="7" t="s">
        <v>767</v>
      </c>
      <c r="H276" s="7" t="s">
        <v>768</v>
      </c>
      <c r="I276" s="9">
        <v>45316</v>
      </c>
    </row>
    <row r="277" spans="1:9" x14ac:dyDescent="0.15">
      <c r="A277" s="6">
        <v>276</v>
      </c>
      <c r="B277" s="7" t="s">
        <v>8</v>
      </c>
      <c r="C277" s="8">
        <v>1887</v>
      </c>
      <c r="D277" s="9">
        <v>45425</v>
      </c>
      <c r="E277" s="13" t="str">
        <f>+HYPERLINK("http://trademark.i-assist.jp/data/china/image_1887th/76606394.pdf","76606394")</f>
        <v>76606394</v>
      </c>
      <c r="F277" s="7" t="s">
        <v>769</v>
      </c>
      <c r="G277" s="7" t="s">
        <v>770</v>
      </c>
      <c r="H277" s="7" t="s">
        <v>771</v>
      </c>
      <c r="I277" s="9">
        <v>45316</v>
      </c>
    </row>
    <row r="278" spans="1:9" x14ac:dyDescent="0.15">
      <c r="A278" s="6">
        <v>277</v>
      </c>
      <c r="B278" s="7" t="s">
        <v>8</v>
      </c>
      <c r="C278" s="8">
        <v>1887</v>
      </c>
      <c r="D278" s="9">
        <v>45425</v>
      </c>
      <c r="E278" s="13" t="str">
        <f>+HYPERLINK("http://trademark.i-assist.jp/data/china/image_1887th/76606402.pdf","76606402")</f>
        <v>76606402</v>
      </c>
      <c r="F278" s="7" t="s">
        <v>772</v>
      </c>
      <c r="G278" s="7" t="s">
        <v>770</v>
      </c>
      <c r="H278" s="7" t="s">
        <v>771</v>
      </c>
      <c r="I278" s="9">
        <v>45316</v>
      </c>
    </row>
    <row r="279" spans="1:9" x14ac:dyDescent="0.15">
      <c r="A279" s="6">
        <v>278</v>
      </c>
      <c r="B279" s="7" t="s">
        <v>8</v>
      </c>
      <c r="C279" s="8">
        <v>1887</v>
      </c>
      <c r="D279" s="9">
        <v>45425</v>
      </c>
      <c r="E279" s="13" t="str">
        <f>+HYPERLINK("http://trademark.i-assist.jp/data/china/image_1887th/76606679.pdf","76606679")</f>
        <v>76606679</v>
      </c>
      <c r="F279" s="7" t="s">
        <v>773</v>
      </c>
      <c r="G279" s="7" t="s">
        <v>774</v>
      </c>
      <c r="H279" s="7" t="s">
        <v>775</v>
      </c>
      <c r="I279" s="9">
        <v>45316</v>
      </c>
    </row>
    <row r="280" spans="1:9" x14ac:dyDescent="0.15">
      <c r="A280" s="6">
        <v>279</v>
      </c>
      <c r="B280" s="7" t="s">
        <v>8</v>
      </c>
      <c r="C280" s="8">
        <v>1887</v>
      </c>
      <c r="D280" s="9">
        <v>45425</v>
      </c>
      <c r="E280" s="13" t="str">
        <f>+HYPERLINK("http://trademark.i-assist.jp/data/china/image_1887th/76606912.pdf","76606912")</f>
        <v>76606912</v>
      </c>
      <c r="F280" s="7" t="s">
        <v>54</v>
      </c>
      <c r="G280" s="7" t="s">
        <v>776</v>
      </c>
      <c r="H280" s="7" t="s">
        <v>777</v>
      </c>
      <c r="I280" s="9">
        <v>45316</v>
      </c>
    </row>
    <row r="281" spans="1:9" x14ac:dyDescent="0.15">
      <c r="A281" s="6">
        <v>280</v>
      </c>
      <c r="B281" s="7" t="s">
        <v>8</v>
      </c>
      <c r="C281" s="8">
        <v>1887</v>
      </c>
      <c r="D281" s="9">
        <v>45425</v>
      </c>
      <c r="E281" s="13" t="str">
        <f>+HYPERLINK("http://trademark.i-assist.jp/data/china/image_1887th/76608456.pdf","76608456")</f>
        <v>76608456</v>
      </c>
      <c r="F281" s="7" t="s">
        <v>778</v>
      </c>
      <c r="G281" s="7" t="s">
        <v>779</v>
      </c>
      <c r="H281" s="7" t="s">
        <v>780</v>
      </c>
      <c r="I281" s="9">
        <v>45316</v>
      </c>
    </row>
    <row r="282" spans="1:9" x14ac:dyDescent="0.15">
      <c r="A282" s="6">
        <v>281</v>
      </c>
      <c r="B282" s="7" t="s">
        <v>8</v>
      </c>
      <c r="C282" s="8">
        <v>1887</v>
      </c>
      <c r="D282" s="9">
        <v>45425</v>
      </c>
      <c r="E282" s="13" t="str">
        <f>+HYPERLINK("http://trademark.i-assist.jp/data/china/image_1887th/76608990.pdf","76608990")</f>
        <v>76608990</v>
      </c>
      <c r="F282" s="7" t="s">
        <v>781</v>
      </c>
      <c r="G282" s="7" t="s">
        <v>782</v>
      </c>
      <c r="H282" s="7" t="s">
        <v>783</v>
      </c>
      <c r="I282" s="9">
        <v>45316</v>
      </c>
    </row>
    <row r="283" spans="1:9" ht="27" x14ac:dyDescent="0.15">
      <c r="A283" s="6">
        <v>282</v>
      </c>
      <c r="B283" s="7" t="s">
        <v>8</v>
      </c>
      <c r="C283" s="8">
        <v>1887</v>
      </c>
      <c r="D283" s="9">
        <v>45425</v>
      </c>
      <c r="E283" s="13" t="str">
        <f>+HYPERLINK("http://trademark.i-assist.jp/data/china/image_1887th/76610176.pdf","76610176")</f>
        <v>76610176</v>
      </c>
      <c r="F283" s="7" t="s">
        <v>784</v>
      </c>
      <c r="G283" s="7" t="s">
        <v>785</v>
      </c>
      <c r="H283" s="7" t="s">
        <v>786</v>
      </c>
      <c r="I283" s="9">
        <v>45316</v>
      </c>
    </row>
    <row r="284" spans="1:9" x14ac:dyDescent="0.15">
      <c r="A284" s="6">
        <v>283</v>
      </c>
      <c r="B284" s="7" t="s">
        <v>8</v>
      </c>
      <c r="C284" s="8">
        <v>1887</v>
      </c>
      <c r="D284" s="9">
        <v>45425</v>
      </c>
      <c r="E284" s="13" t="str">
        <f>+HYPERLINK("http://trademark.i-assist.jp/data/china/image_1887th/76610601.pdf","76610601")</f>
        <v>76610601</v>
      </c>
      <c r="F284" s="7" t="s">
        <v>787</v>
      </c>
      <c r="G284" s="7" t="s">
        <v>788</v>
      </c>
      <c r="H284" s="7" t="s">
        <v>789</v>
      </c>
      <c r="I284" s="9">
        <v>45316</v>
      </c>
    </row>
    <row r="285" spans="1:9" x14ac:dyDescent="0.15">
      <c r="A285" s="6">
        <v>284</v>
      </c>
      <c r="B285" s="7" t="s">
        <v>8</v>
      </c>
      <c r="C285" s="8">
        <v>1887</v>
      </c>
      <c r="D285" s="9">
        <v>45425</v>
      </c>
      <c r="E285" s="13" t="str">
        <f>+HYPERLINK("http://trademark.i-assist.jp/data/china/image_1887th/76610812.pdf","76610812")</f>
        <v>76610812</v>
      </c>
      <c r="F285" s="7" t="s">
        <v>790</v>
      </c>
      <c r="G285" s="7" t="s">
        <v>791</v>
      </c>
      <c r="H285" s="7" t="s">
        <v>792</v>
      </c>
      <c r="I285" s="9">
        <v>45316</v>
      </c>
    </row>
    <row r="286" spans="1:9" x14ac:dyDescent="0.15">
      <c r="A286" s="6">
        <v>285</v>
      </c>
      <c r="B286" s="7" t="s">
        <v>8</v>
      </c>
      <c r="C286" s="8">
        <v>1887</v>
      </c>
      <c r="D286" s="9">
        <v>45425</v>
      </c>
      <c r="E286" s="13" t="str">
        <f>+HYPERLINK("http://trademark.i-assist.jp/data/china/image_1887th/76611523.pdf","76611523")</f>
        <v>76611523</v>
      </c>
      <c r="F286" s="7" t="s">
        <v>793</v>
      </c>
      <c r="G286" s="7" t="s">
        <v>785</v>
      </c>
      <c r="H286" s="7" t="s">
        <v>794</v>
      </c>
      <c r="I286" s="9">
        <v>45316</v>
      </c>
    </row>
    <row r="287" spans="1:9" x14ac:dyDescent="0.15">
      <c r="A287" s="6">
        <v>286</v>
      </c>
      <c r="B287" s="7" t="s">
        <v>8</v>
      </c>
      <c r="C287" s="8">
        <v>1887</v>
      </c>
      <c r="D287" s="9">
        <v>45425</v>
      </c>
      <c r="E287" s="13" t="str">
        <f>+HYPERLINK("http://trademark.i-assist.jp/data/china/image_1887th/76611947.pdf","76611947")</f>
        <v>76611947</v>
      </c>
      <c r="F287" s="7" t="s">
        <v>795</v>
      </c>
      <c r="G287" s="7" t="s">
        <v>796</v>
      </c>
      <c r="H287" s="7" t="s">
        <v>797</v>
      </c>
      <c r="I287" s="9">
        <v>45316</v>
      </c>
    </row>
    <row r="288" spans="1:9" ht="27" x14ac:dyDescent="0.15">
      <c r="A288" s="6">
        <v>287</v>
      </c>
      <c r="B288" s="7" t="s">
        <v>8</v>
      </c>
      <c r="C288" s="8">
        <v>1887</v>
      </c>
      <c r="D288" s="9">
        <v>45425</v>
      </c>
      <c r="E288" s="13" t="str">
        <f>+HYPERLINK("http://trademark.i-assist.jp/data/china/image_1887th/76613010.pdf","76613010")</f>
        <v>76613010</v>
      </c>
      <c r="F288" s="7" t="s">
        <v>54</v>
      </c>
      <c r="G288" s="7" t="s">
        <v>798</v>
      </c>
      <c r="H288" s="7" t="s">
        <v>799</v>
      </c>
      <c r="I288" s="9">
        <v>45316</v>
      </c>
    </row>
    <row r="289" spans="1:9" x14ac:dyDescent="0.15">
      <c r="A289" s="6">
        <v>288</v>
      </c>
      <c r="B289" s="7" t="s">
        <v>8</v>
      </c>
      <c r="C289" s="8">
        <v>1887</v>
      </c>
      <c r="D289" s="9">
        <v>45425</v>
      </c>
      <c r="E289" s="13" t="str">
        <f>+HYPERLINK("http://trademark.i-assist.jp/data/china/image_1887th/76613322.pdf","76613322")</f>
        <v>76613322</v>
      </c>
      <c r="F289" s="7" t="s">
        <v>800</v>
      </c>
      <c r="G289" s="7" t="s">
        <v>801</v>
      </c>
      <c r="H289" s="7" t="s">
        <v>802</v>
      </c>
      <c r="I289" s="9">
        <v>45316</v>
      </c>
    </row>
    <row r="290" spans="1:9" x14ac:dyDescent="0.15">
      <c r="A290" s="6">
        <v>289</v>
      </c>
      <c r="B290" s="7" t="s">
        <v>8</v>
      </c>
      <c r="C290" s="8">
        <v>1887</v>
      </c>
      <c r="D290" s="9">
        <v>45425</v>
      </c>
      <c r="E290" s="13" t="str">
        <f>+HYPERLINK("http://trademark.i-assist.jp/data/china/image_1887th/76614472.pdf","76614472")</f>
        <v>76614472</v>
      </c>
      <c r="F290" s="7" t="s">
        <v>803</v>
      </c>
      <c r="G290" s="7" t="s">
        <v>804</v>
      </c>
      <c r="H290" s="7" t="s">
        <v>805</v>
      </c>
      <c r="I290" s="9">
        <v>45316</v>
      </c>
    </row>
    <row r="291" spans="1:9" x14ac:dyDescent="0.15">
      <c r="A291" s="6">
        <v>290</v>
      </c>
      <c r="B291" s="7" t="s">
        <v>8</v>
      </c>
      <c r="C291" s="8">
        <v>1887</v>
      </c>
      <c r="D291" s="9">
        <v>45425</v>
      </c>
      <c r="E291" s="13" t="str">
        <f>+HYPERLINK("http://trademark.i-assist.jp/data/china/image_1887th/76615553.pdf","76615553")</f>
        <v>76615553</v>
      </c>
      <c r="F291" s="7" t="s">
        <v>806</v>
      </c>
      <c r="G291" s="7" t="s">
        <v>807</v>
      </c>
      <c r="H291" s="7" t="s">
        <v>808</v>
      </c>
      <c r="I291" s="9">
        <v>45316</v>
      </c>
    </row>
    <row r="292" spans="1:9" x14ac:dyDescent="0.15">
      <c r="A292" s="6">
        <v>291</v>
      </c>
      <c r="B292" s="7" t="s">
        <v>8</v>
      </c>
      <c r="C292" s="8">
        <v>1887</v>
      </c>
      <c r="D292" s="9">
        <v>45425</v>
      </c>
      <c r="E292" s="13" t="str">
        <f>+HYPERLINK("http://trademark.i-assist.jp/data/china/image_1887th/76617285.pdf","76617285")</f>
        <v>76617285</v>
      </c>
      <c r="F292" s="7" t="s">
        <v>809</v>
      </c>
      <c r="G292" s="7" t="s">
        <v>810</v>
      </c>
      <c r="H292" s="7" t="s">
        <v>811</v>
      </c>
      <c r="I292" s="9">
        <v>45317</v>
      </c>
    </row>
    <row r="293" spans="1:9" x14ac:dyDescent="0.15">
      <c r="A293" s="6">
        <v>292</v>
      </c>
      <c r="B293" s="7" t="s">
        <v>8</v>
      </c>
      <c r="C293" s="8">
        <v>1887</v>
      </c>
      <c r="D293" s="9">
        <v>45425</v>
      </c>
      <c r="E293" s="13" t="str">
        <f>+HYPERLINK("http://trademark.i-assist.jp/data/china/image_1887th/76617893.pdf","76617893")</f>
        <v>76617893</v>
      </c>
      <c r="F293" s="7" t="s">
        <v>812</v>
      </c>
      <c r="G293" s="7" t="s">
        <v>813</v>
      </c>
      <c r="H293" s="7" t="s">
        <v>814</v>
      </c>
      <c r="I293" s="9">
        <v>45317</v>
      </c>
    </row>
    <row r="294" spans="1:9" x14ac:dyDescent="0.15">
      <c r="A294" s="6">
        <v>293</v>
      </c>
      <c r="B294" s="7" t="s">
        <v>8</v>
      </c>
      <c r="C294" s="8">
        <v>1887</v>
      </c>
      <c r="D294" s="9">
        <v>45425</v>
      </c>
      <c r="E294" s="13" t="str">
        <f>+HYPERLINK("http://trademark.i-assist.jp/data/china/image_1887th/76618183.pdf","76618183")</f>
        <v>76618183</v>
      </c>
      <c r="F294" s="7" t="s">
        <v>815</v>
      </c>
      <c r="G294" s="7" t="s">
        <v>816</v>
      </c>
      <c r="H294" s="7" t="s">
        <v>817</v>
      </c>
      <c r="I294" s="9">
        <v>45317</v>
      </c>
    </row>
    <row r="295" spans="1:9" x14ac:dyDescent="0.15">
      <c r="A295" s="6">
        <v>294</v>
      </c>
      <c r="B295" s="7" t="s">
        <v>8</v>
      </c>
      <c r="C295" s="8">
        <v>1887</v>
      </c>
      <c r="D295" s="9">
        <v>45425</v>
      </c>
      <c r="E295" s="13" t="str">
        <f>+HYPERLINK("http://trademark.i-assist.jp/data/china/image_1887th/76619510.pdf","76619510")</f>
        <v>76619510</v>
      </c>
      <c r="F295" s="7" t="s">
        <v>818</v>
      </c>
      <c r="G295" s="7" t="s">
        <v>819</v>
      </c>
      <c r="H295" s="7" t="s">
        <v>820</v>
      </c>
      <c r="I295" s="9">
        <v>45317</v>
      </c>
    </row>
    <row r="296" spans="1:9" x14ac:dyDescent="0.15">
      <c r="A296" s="6">
        <v>295</v>
      </c>
      <c r="B296" s="7" t="s">
        <v>8</v>
      </c>
      <c r="C296" s="8">
        <v>1887</v>
      </c>
      <c r="D296" s="9">
        <v>45425</v>
      </c>
      <c r="E296" s="13" t="str">
        <f>+HYPERLINK("http://trademark.i-assist.jp/data/china/image_1887th/76619648.pdf","76619648")</f>
        <v>76619648</v>
      </c>
      <c r="F296" s="7" t="s">
        <v>821</v>
      </c>
      <c r="G296" s="7" t="s">
        <v>822</v>
      </c>
      <c r="H296" s="7" t="s">
        <v>823</v>
      </c>
      <c r="I296" s="9">
        <v>45317</v>
      </c>
    </row>
    <row r="297" spans="1:9" x14ac:dyDescent="0.15">
      <c r="A297" s="6">
        <v>296</v>
      </c>
      <c r="B297" s="7" t="s">
        <v>8</v>
      </c>
      <c r="C297" s="8">
        <v>1887</v>
      </c>
      <c r="D297" s="9">
        <v>45425</v>
      </c>
      <c r="E297" s="13" t="str">
        <f>+HYPERLINK("http://trademark.i-assist.jp/data/china/image_1887th/76620268.pdf","76620268")</f>
        <v>76620268</v>
      </c>
      <c r="F297" s="7" t="s">
        <v>824</v>
      </c>
      <c r="G297" s="7" t="s">
        <v>825</v>
      </c>
      <c r="H297" s="7" t="s">
        <v>826</v>
      </c>
      <c r="I297" s="9">
        <v>45317</v>
      </c>
    </row>
    <row r="298" spans="1:9" x14ac:dyDescent="0.15">
      <c r="A298" s="6">
        <v>297</v>
      </c>
      <c r="B298" s="7" t="s">
        <v>8</v>
      </c>
      <c r="C298" s="8">
        <v>1887</v>
      </c>
      <c r="D298" s="9">
        <v>45425</v>
      </c>
      <c r="E298" s="13" t="str">
        <f>+HYPERLINK("http://trademark.i-assist.jp/data/china/image_1887th/76621035.pdf","76621035")</f>
        <v>76621035</v>
      </c>
      <c r="F298" s="7" t="s">
        <v>827</v>
      </c>
      <c r="G298" s="7" t="s">
        <v>828</v>
      </c>
      <c r="H298" s="7" t="s">
        <v>829</v>
      </c>
      <c r="I298" s="9">
        <v>45317</v>
      </c>
    </row>
    <row r="299" spans="1:9" x14ac:dyDescent="0.15">
      <c r="A299" s="6">
        <v>298</v>
      </c>
      <c r="B299" s="7" t="s">
        <v>8</v>
      </c>
      <c r="C299" s="8">
        <v>1887</v>
      </c>
      <c r="D299" s="9">
        <v>45425</v>
      </c>
      <c r="E299" s="13" t="str">
        <f>+HYPERLINK("http://trademark.i-assist.jp/data/china/image_1887th/76621095.pdf","76621095")</f>
        <v>76621095</v>
      </c>
      <c r="F299" s="7" t="s">
        <v>830</v>
      </c>
      <c r="G299" s="7" t="s">
        <v>813</v>
      </c>
      <c r="H299" s="7" t="s">
        <v>831</v>
      </c>
      <c r="I299" s="9">
        <v>45317</v>
      </c>
    </row>
    <row r="300" spans="1:9" ht="27" x14ac:dyDescent="0.15">
      <c r="A300" s="6">
        <v>299</v>
      </c>
      <c r="B300" s="7" t="s">
        <v>8</v>
      </c>
      <c r="C300" s="8">
        <v>1887</v>
      </c>
      <c r="D300" s="9">
        <v>45425</v>
      </c>
      <c r="E300" s="13" t="str">
        <f>+HYPERLINK("http://trademark.i-assist.jp/data/china/image_1887th/76621997.pdf","76621997")</f>
        <v>76621997</v>
      </c>
      <c r="F300" s="7" t="s">
        <v>832</v>
      </c>
      <c r="G300" s="7" t="s">
        <v>833</v>
      </c>
      <c r="H300" s="7" t="s">
        <v>834</v>
      </c>
      <c r="I300" s="9">
        <v>45317</v>
      </c>
    </row>
    <row r="301" spans="1:9" x14ac:dyDescent="0.15">
      <c r="A301" s="6">
        <v>300</v>
      </c>
      <c r="B301" s="7" t="s">
        <v>8</v>
      </c>
      <c r="C301" s="8">
        <v>1887</v>
      </c>
      <c r="D301" s="9">
        <v>45425</v>
      </c>
      <c r="E301" s="13" t="str">
        <f>+HYPERLINK("http://trademark.i-assist.jp/data/china/image_1887th/76622192.pdf","76622192")</f>
        <v>76622192</v>
      </c>
      <c r="F301" s="7" t="s">
        <v>835</v>
      </c>
      <c r="G301" s="7" t="s">
        <v>836</v>
      </c>
      <c r="H301" s="7" t="s">
        <v>837</v>
      </c>
      <c r="I301" s="9">
        <v>45317</v>
      </c>
    </row>
    <row r="302" spans="1:9" x14ac:dyDescent="0.15">
      <c r="A302" s="6">
        <v>301</v>
      </c>
      <c r="B302" s="7" t="s">
        <v>8</v>
      </c>
      <c r="C302" s="8">
        <v>1887</v>
      </c>
      <c r="D302" s="9">
        <v>45425</v>
      </c>
      <c r="E302" s="13" t="str">
        <f>+HYPERLINK("http://trademark.i-assist.jp/data/china/image_1887th/76622449.pdf","76622449")</f>
        <v>76622449</v>
      </c>
      <c r="F302" s="7" t="s">
        <v>838</v>
      </c>
      <c r="G302" s="7" t="s">
        <v>839</v>
      </c>
      <c r="H302" s="7" t="s">
        <v>840</v>
      </c>
      <c r="I302" s="9">
        <v>45317</v>
      </c>
    </row>
    <row r="303" spans="1:9" x14ac:dyDescent="0.15">
      <c r="A303" s="6">
        <v>302</v>
      </c>
      <c r="B303" s="7" t="s">
        <v>8</v>
      </c>
      <c r="C303" s="8">
        <v>1887</v>
      </c>
      <c r="D303" s="9">
        <v>45425</v>
      </c>
      <c r="E303" s="13" t="str">
        <f>+HYPERLINK("http://trademark.i-assist.jp/data/china/image_1887th/76624082.pdf","76624082")</f>
        <v>76624082</v>
      </c>
      <c r="F303" s="7" t="s">
        <v>841</v>
      </c>
      <c r="G303" s="7" t="s">
        <v>842</v>
      </c>
      <c r="H303" s="7" t="s">
        <v>843</v>
      </c>
      <c r="I303" s="9">
        <v>45317</v>
      </c>
    </row>
    <row r="304" spans="1:9" x14ac:dyDescent="0.15">
      <c r="A304" s="6">
        <v>303</v>
      </c>
      <c r="B304" s="7" t="s">
        <v>8</v>
      </c>
      <c r="C304" s="8">
        <v>1887</v>
      </c>
      <c r="D304" s="9">
        <v>45425</v>
      </c>
      <c r="E304" s="13" t="str">
        <f>+HYPERLINK("http://trademark.i-assist.jp/data/china/image_1887th/76625454.pdf","76625454")</f>
        <v>76625454</v>
      </c>
      <c r="F304" s="7" t="s">
        <v>844</v>
      </c>
      <c r="G304" s="7" t="s">
        <v>813</v>
      </c>
      <c r="H304" s="7" t="s">
        <v>831</v>
      </c>
      <c r="I304" s="9">
        <v>45317</v>
      </c>
    </row>
    <row r="305" spans="1:9" x14ac:dyDescent="0.15">
      <c r="A305" s="6">
        <v>304</v>
      </c>
      <c r="B305" s="7" t="s">
        <v>8</v>
      </c>
      <c r="C305" s="8">
        <v>1887</v>
      </c>
      <c r="D305" s="9">
        <v>45425</v>
      </c>
      <c r="E305" s="13" t="str">
        <f>+HYPERLINK("http://trademark.i-assist.jp/data/china/image_1887th/76626892.pdf","76626892")</f>
        <v>76626892</v>
      </c>
      <c r="F305" s="7" t="s">
        <v>845</v>
      </c>
      <c r="G305" s="7" t="s">
        <v>846</v>
      </c>
      <c r="H305" s="7" t="s">
        <v>847</v>
      </c>
      <c r="I305" s="9">
        <v>45317</v>
      </c>
    </row>
    <row r="306" spans="1:9" x14ac:dyDescent="0.15">
      <c r="A306" s="6">
        <v>305</v>
      </c>
      <c r="B306" s="7" t="s">
        <v>8</v>
      </c>
      <c r="C306" s="8">
        <v>1887</v>
      </c>
      <c r="D306" s="9">
        <v>45425</v>
      </c>
      <c r="E306" s="13" t="str">
        <f>+HYPERLINK("http://trademark.i-assist.jp/data/china/image_1887th/76627542.pdf","76627542")</f>
        <v>76627542</v>
      </c>
      <c r="F306" s="7" t="s">
        <v>848</v>
      </c>
      <c r="G306" s="7" t="s">
        <v>849</v>
      </c>
      <c r="H306" s="7" t="s">
        <v>850</v>
      </c>
      <c r="I306" s="9">
        <v>45317</v>
      </c>
    </row>
    <row r="307" spans="1:9" x14ac:dyDescent="0.15">
      <c r="A307" s="6">
        <v>306</v>
      </c>
      <c r="B307" s="7" t="s">
        <v>8</v>
      </c>
      <c r="C307" s="8">
        <v>1887</v>
      </c>
      <c r="D307" s="9">
        <v>45425</v>
      </c>
      <c r="E307" s="13" t="str">
        <f>+HYPERLINK("http://trademark.i-assist.jp/data/china/image_1887th/76629285.pdf","76629285")</f>
        <v>76629285</v>
      </c>
      <c r="F307" s="7" t="s">
        <v>851</v>
      </c>
      <c r="G307" s="7" t="s">
        <v>852</v>
      </c>
      <c r="H307" s="7" t="s">
        <v>853</v>
      </c>
      <c r="I307" s="9">
        <v>45317</v>
      </c>
    </row>
    <row r="308" spans="1:9" x14ac:dyDescent="0.15">
      <c r="A308" s="6">
        <v>307</v>
      </c>
      <c r="B308" s="7" t="s">
        <v>8</v>
      </c>
      <c r="C308" s="8">
        <v>1887</v>
      </c>
      <c r="D308" s="9">
        <v>45425</v>
      </c>
      <c r="E308" s="13" t="str">
        <f>+HYPERLINK("http://trademark.i-assist.jp/data/china/image_1887th/76629797.pdf","76629797")</f>
        <v>76629797</v>
      </c>
      <c r="F308" s="7" t="s">
        <v>854</v>
      </c>
      <c r="G308" s="7" t="s">
        <v>855</v>
      </c>
      <c r="H308" s="7" t="s">
        <v>856</v>
      </c>
      <c r="I308" s="9">
        <v>45317</v>
      </c>
    </row>
    <row r="309" spans="1:9" ht="27" x14ac:dyDescent="0.15">
      <c r="A309" s="6">
        <v>308</v>
      </c>
      <c r="B309" s="7" t="s">
        <v>8</v>
      </c>
      <c r="C309" s="8">
        <v>1887</v>
      </c>
      <c r="D309" s="9">
        <v>45425</v>
      </c>
      <c r="E309" s="13" t="str">
        <f>+HYPERLINK("http://trademark.i-assist.jp/data/china/image_1887th/76629815.pdf","76629815")</f>
        <v>76629815</v>
      </c>
      <c r="F309" s="7" t="s">
        <v>857</v>
      </c>
      <c r="G309" s="7" t="s">
        <v>858</v>
      </c>
      <c r="H309" s="7" t="s">
        <v>859</v>
      </c>
      <c r="I309" s="9">
        <v>45317</v>
      </c>
    </row>
    <row r="310" spans="1:9" x14ac:dyDescent="0.15">
      <c r="A310" s="6">
        <v>309</v>
      </c>
      <c r="B310" s="7" t="s">
        <v>8</v>
      </c>
      <c r="C310" s="8">
        <v>1887</v>
      </c>
      <c r="D310" s="9">
        <v>45425</v>
      </c>
      <c r="E310" s="13" t="str">
        <f>+HYPERLINK("http://trademark.i-assist.jp/data/china/image_1887th/76630960.pdf","76630960")</f>
        <v>76630960</v>
      </c>
      <c r="F310" s="7" t="s">
        <v>860</v>
      </c>
      <c r="G310" s="7" t="s">
        <v>861</v>
      </c>
      <c r="H310" s="7" t="s">
        <v>820</v>
      </c>
      <c r="I310" s="9">
        <v>45317</v>
      </c>
    </row>
    <row r="311" spans="1:9" x14ac:dyDescent="0.15">
      <c r="A311" s="6">
        <v>310</v>
      </c>
      <c r="B311" s="7" t="s">
        <v>8</v>
      </c>
      <c r="C311" s="8">
        <v>1887</v>
      </c>
      <c r="D311" s="9">
        <v>45425</v>
      </c>
      <c r="E311" s="13" t="str">
        <f>+HYPERLINK("http://trademark.i-assist.jp/data/china/image_1887th/76631409.pdf","76631409")</f>
        <v>76631409</v>
      </c>
      <c r="F311" s="7" t="s">
        <v>862</v>
      </c>
      <c r="G311" s="7" t="s">
        <v>863</v>
      </c>
      <c r="H311" s="7" t="s">
        <v>864</v>
      </c>
      <c r="I311" s="9">
        <v>45317</v>
      </c>
    </row>
    <row r="312" spans="1:9" x14ac:dyDescent="0.15">
      <c r="A312" s="6">
        <v>311</v>
      </c>
      <c r="B312" s="7" t="s">
        <v>8</v>
      </c>
      <c r="C312" s="8">
        <v>1887</v>
      </c>
      <c r="D312" s="9">
        <v>45425</v>
      </c>
      <c r="E312" s="13" t="str">
        <f>+HYPERLINK("http://trademark.i-assist.jp/data/china/image_1887th/76631558.pdf","76631558")</f>
        <v>76631558</v>
      </c>
      <c r="F312" s="7" t="s">
        <v>865</v>
      </c>
      <c r="G312" s="7" t="s">
        <v>866</v>
      </c>
      <c r="H312" s="7" t="s">
        <v>867</v>
      </c>
      <c r="I312" s="9">
        <v>45317</v>
      </c>
    </row>
    <row r="313" spans="1:9" x14ac:dyDescent="0.15">
      <c r="A313" s="6">
        <v>312</v>
      </c>
      <c r="B313" s="7" t="s">
        <v>8</v>
      </c>
      <c r="C313" s="8">
        <v>1887</v>
      </c>
      <c r="D313" s="9">
        <v>45425</v>
      </c>
      <c r="E313" s="13" t="str">
        <f>+HYPERLINK("http://trademark.i-assist.jp/data/china/image_1887th/76631567.pdf","76631567")</f>
        <v>76631567</v>
      </c>
      <c r="F313" s="7" t="s">
        <v>54</v>
      </c>
      <c r="G313" s="7" t="s">
        <v>868</v>
      </c>
      <c r="H313" s="7" t="s">
        <v>869</v>
      </c>
      <c r="I313" s="9">
        <v>45317</v>
      </c>
    </row>
    <row r="314" spans="1:9" ht="27" x14ac:dyDescent="0.15">
      <c r="A314" s="6">
        <v>313</v>
      </c>
      <c r="B314" s="7" t="s">
        <v>8</v>
      </c>
      <c r="C314" s="8">
        <v>1887</v>
      </c>
      <c r="D314" s="9">
        <v>45425</v>
      </c>
      <c r="E314" s="13" t="str">
        <f>+HYPERLINK("http://trademark.i-assist.jp/data/china/image_1887th/76631641.pdf","76631641")</f>
        <v>76631641</v>
      </c>
      <c r="F314" s="7" t="s">
        <v>870</v>
      </c>
      <c r="G314" s="7" t="s">
        <v>871</v>
      </c>
      <c r="H314" s="7" t="s">
        <v>872</v>
      </c>
      <c r="I314" s="9">
        <v>45317</v>
      </c>
    </row>
    <row r="315" spans="1:9" x14ac:dyDescent="0.15">
      <c r="A315" s="6">
        <v>314</v>
      </c>
      <c r="B315" s="7" t="s">
        <v>8</v>
      </c>
      <c r="C315" s="8">
        <v>1887</v>
      </c>
      <c r="D315" s="9">
        <v>45425</v>
      </c>
      <c r="E315" s="13" t="str">
        <f>+HYPERLINK("http://trademark.i-assist.jp/data/china/image_1887th/76631648.pdf","76631648")</f>
        <v>76631648</v>
      </c>
      <c r="F315" s="7" t="s">
        <v>873</v>
      </c>
      <c r="G315" s="7" t="s">
        <v>874</v>
      </c>
      <c r="H315" s="7" t="s">
        <v>875</v>
      </c>
      <c r="I315" s="9">
        <v>45317</v>
      </c>
    </row>
    <row r="316" spans="1:9" x14ac:dyDescent="0.15">
      <c r="A316" s="6">
        <v>315</v>
      </c>
      <c r="B316" s="7" t="s">
        <v>8</v>
      </c>
      <c r="C316" s="8">
        <v>1887</v>
      </c>
      <c r="D316" s="9">
        <v>45425</v>
      </c>
      <c r="E316" s="13" t="str">
        <f>+HYPERLINK("http://trademark.i-assist.jp/data/china/image_1887th/76631676.pdf","76631676")</f>
        <v>76631676</v>
      </c>
      <c r="F316" s="7" t="s">
        <v>873</v>
      </c>
      <c r="G316" s="7" t="s">
        <v>874</v>
      </c>
      <c r="H316" s="7" t="s">
        <v>876</v>
      </c>
      <c r="I316" s="9">
        <v>45317</v>
      </c>
    </row>
    <row r="317" spans="1:9" x14ac:dyDescent="0.15">
      <c r="A317" s="6">
        <v>316</v>
      </c>
      <c r="B317" s="7" t="s">
        <v>8</v>
      </c>
      <c r="C317" s="8">
        <v>1887</v>
      </c>
      <c r="D317" s="9">
        <v>45425</v>
      </c>
      <c r="E317" s="13" t="str">
        <f>+HYPERLINK("http://trademark.i-assist.jp/data/china/image_1887th/76633149.pdf","76633149")</f>
        <v>76633149</v>
      </c>
      <c r="F317" s="7" t="s">
        <v>877</v>
      </c>
      <c r="G317" s="7" t="s">
        <v>878</v>
      </c>
      <c r="H317" s="7" t="s">
        <v>879</v>
      </c>
      <c r="I317" s="9">
        <v>45317</v>
      </c>
    </row>
    <row r="318" spans="1:9" x14ac:dyDescent="0.15">
      <c r="A318" s="6">
        <v>317</v>
      </c>
      <c r="B318" s="7" t="s">
        <v>8</v>
      </c>
      <c r="C318" s="8">
        <v>1887</v>
      </c>
      <c r="D318" s="9">
        <v>45425</v>
      </c>
      <c r="E318" s="13" t="str">
        <f>+HYPERLINK("http://trademark.i-assist.jp/data/china/image_1887th/76633679.pdf","76633679")</f>
        <v>76633679</v>
      </c>
      <c r="F318" s="7" t="s">
        <v>880</v>
      </c>
      <c r="G318" s="7" t="s">
        <v>881</v>
      </c>
      <c r="H318" s="7" t="s">
        <v>882</v>
      </c>
      <c r="I318" s="9">
        <v>45317</v>
      </c>
    </row>
    <row r="319" spans="1:9" x14ac:dyDescent="0.15">
      <c r="A319" s="6">
        <v>318</v>
      </c>
      <c r="B319" s="7" t="s">
        <v>8</v>
      </c>
      <c r="C319" s="8">
        <v>1887</v>
      </c>
      <c r="D319" s="9">
        <v>45425</v>
      </c>
      <c r="E319" s="13" t="str">
        <f>+HYPERLINK("http://trademark.i-assist.jp/data/china/image_1887th/76634252.pdf","76634252")</f>
        <v>76634252</v>
      </c>
      <c r="F319" s="7" t="s">
        <v>883</v>
      </c>
      <c r="G319" s="7" t="s">
        <v>884</v>
      </c>
      <c r="H319" s="7" t="s">
        <v>885</v>
      </c>
      <c r="I319" s="9">
        <v>45317</v>
      </c>
    </row>
    <row r="320" spans="1:9" x14ac:dyDescent="0.15">
      <c r="A320" s="6">
        <v>319</v>
      </c>
      <c r="B320" s="7" t="s">
        <v>8</v>
      </c>
      <c r="C320" s="8">
        <v>1887</v>
      </c>
      <c r="D320" s="9">
        <v>45425</v>
      </c>
      <c r="E320" s="13" t="str">
        <f>+HYPERLINK("http://trademark.i-assist.jp/data/china/image_1887th/76634704.pdf","76634704")</f>
        <v>76634704</v>
      </c>
      <c r="F320" s="7" t="s">
        <v>886</v>
      </c>
      <c r="G320" s="7" t="s">
        <v>887</v>
      </c>
      <c r="H320" s="7" t="s">
        <v>888</v>
      </c>
      <c r="I320" s="9">
        <v>45317</v>
      </c>
    </row>
    <row r="321" spans="1:9" x14ac:dyDescent="0.15">
      <c r="A321" s="6">
        <v>320</v>
      </c>
      <c r="B321" s="7" t="s">
        <v>8</v>
      </c>
      <c r="C321" s="8">
        <v>1887</v>
      </c>
      <c r="D321" s="9">
        <v>45425</v>
      </c>
      <c r="E321" s="13" t="str">
        <f>+HYPERLINK("http://trademark.i-assist.jp/data/china/image_1887th/76635130.pdf","76635130")</f>
        <v>76635130</v>
      </c>
      <c r="F321" s="7" t="s">
        <v>889</v>
      </c>
      <c r="G321" s="7" t="s">
        <v>890</v>
      </c>
      <c r="H321" s="7" t="s">
        <v>891</v>
      </c>
      <c r="I321" s="9">
        <v>45317</v>
      </c>
    </row>
    <row r="322" spans="1:9" ht="27" x14ac:dyDescent="0.15">
      <c r="A322" s="6">
        <v>321</v>
      </c>
      <c r="B322" s="7" t="s">
        <v>8</v>
      </c>
      <c r="C322" s="8">
        <v>1887</v>
      </c>
      <c r="D322" s="9">
        <v>45425</v>
      </c>
      <c r="E322" s="13" t="str">
        <f>+HYPERLINK("http://trademark.i-assist.jp/data/china/image_1887th/76635187.pdf","76635187")</f>
        <v>76635187</v>
      </c>
      <c r="F322" s="7" t="s">
        <v>892</v>
      </c>
      <c r="G322" s="7" t="s">
        <v>893</v>
      </c>
      <c r="H322" s="7" t="s">
        <v>894</v>
      </c>
      <c r="I322" s="9">
        <v>45317</v>
      </c>
    </row>
    <row r="323" spans="1:9" x14ac:dyDescent="0.15">
      <c r="A323" s="6">
        <v>322</v>
      </c>
      <c r="B323" s="7" t="s">
        <v>8</v>
      </c>
      <c r="C323" s="8">
        <v>1887</v>
      </c>
      <c r="D323" s="9">
        <v>45425</v>
      </c>
      <c r="E323" s="13" t="str">
        <f>+HYPERLINK("http://trademark.i-assist.jp/data/china/image_1887th/76636007.pdf","76636007")</f>
        <v>76636007</v>
      </c>
      <c r="F323" s="7" t="s">
        <v>895</v>
      </c>
      <c r="G323" s="7" t="s">
        <v>896</v>
      </c>
      <c r="H323" s="7" t="s">
        <v>897</v>
      </c>
      <c r="I323" s="9">
        <v>45317</v>
      </c>
    </row>
    <row r="324" spans="1:9" x14ac:dyDescent="0.15">
      <c r="A324" s="6">
        <v>323</v>
      </c>
      <c r="B324" s="7" t="s">
        <v>8</v>
      </c>
      <c r="C324" s="8">
        <v>1887</v>
      </c>
      <c r="D324" s="9">
        <v>45425</v>
      </c>
      <c r="E324" s="13" t="str">
        <f>+HYPERLINK("http://trademark.i-assist.jp/data/china/image_1887th/76636415.pdf","76636415")</f>
        <v>76636415</v>
      </c>
      <c r="F324" s="7" t="s">
        <v>898</v>
      </c>
      <c r="G324" s="7" t="s">
        <v>899</v>
      </c>
      <c r="H324" s="7" t="s">
        <v>349</v>
      </c>
      <c r="I324" s="9">
        <v>45317</v>
      </c>
    </row>
    <row r="325" spans="1:9" x14ac:dyDescent="0.15">
      <c r="A325" s="6">
        <v>324</v>
      </c>
      <c r="B325" s="7" t="s">
        <v>8</v>
      </c>
      <c r="C325" s="8">
        <v>1887</v>
      </c>
      <c r="D325" s="9">
        <v>45425</v>
      </c>
      <c r="E325" s="13" t="str">
        <f>+HYPERLINK("http://trademark.i-assist.jp/data/china/image_1887th/76637827.pdf","76637827")</f>
        <v>76637827</v>
      </c>
      <c r="F325" s="7" t="s">
        <v>900</v>
      </c>
      <c r="G325" s="7" t="s">
        <v>901</v>
      </c>
      <c r="H325" s="7" t="s">
        <v>902</v>
      </c>
      <c r="I325" s="9">
        <v>45317</v>
      </c>
    </row>
    <row r="326" spans="1:9" x14ac:dyDescent="0.15">
      <c r="A326" s="6">
        <v>325</v>
      </c>
      <c r="B326" s="7" t="s">
        <v>8</v>
      </c>
      <c r="C326" s="8">
        <v>1887</v>
      </c>
      <c r="D326" s="9">
        <v>45425</v>
      </c>
      <c r="E326" s="13" t="str">
        <f>+HYPERLINK("http://trademark.i-assist.jp/data/china/image_1887th/76637988.pdf","76637988")</f>
        <v>76637988</v>
      </c>
      <c r="F326" s="7" t="s">
        <v>903</v>
      </c>
      <c r="G326" s="7" t="s">
        <v>904</v>
      </c>
      <c r="H326" s="7" t="s">
        <v>905</v>
      </c>
      <c r="I326" s="9">
        <v>45317</v>
      </c>
    </row>
    <row r="327" spans="1:9" ht="27" x14ac:dyDescent="0.15">
      <c r="A327" s="6">
        <v>326</v>
      </c>
      <c r="B327" s="7" t="s">
        <v>8</v>
      </c>
      <c r="C327" s="8">
        <v>1887</v>
      </c>
      <c r="D327" s="9">
        <v>45425</v>
      </c>
      <c r="E327" s="13" t="str">
        <f>+HYPERLINK("http://trademark.i-assist.jp/data/china/image_1887th/76638088.pdf","76638088")</f>
        <v>76638088</v>
      </c>
      <c r="F327" s="7" t="s">
        <v>906</v>
      </c>
      <c r="G327" s="7" t="s">
        <v>907</v>
      </c>
      <c r="H327" s="7" t="s">
        <v>908</v>
      </c>
      <c r="I327" s="9">
        <v>45317</v>
      </c>
    </row>
    <row r="328" spans="1:9" x14ac:dyDescent="0.15">
      <c r="A328" s="6">
        <v>327</v>
      </c>
      <c r="B328" s="7" t="s">
        <v>8</v>
      </c>
      <c r="C328" s="8">
        <v>1887</v>
      </c>
      <c r="D328" s="9">
        <v>45425</v>
      </c>
      <c r="E328" s="13" t="str">
        <f>+HYPERLINK("http://trademark.i-assist.jp/data/china/image_1887th/76638181.pdf","76638181")</f>
        <v>76638181</v>
      </c>
      <c r="F328" s="7" t="s">
        <v>909</v>
      </c>
      <c r="G328" s="7" t="s">
        <v>910</v>
      </c>
      <c r="H328" s="7" t="s">
        <v>911</v>
      </c>
      <c r="I328" s="9">
        <v>45317</v>
      </c>
    </row>
    <row r="329" spans="1:9" ht="27" x14ac:dyDescent="0.15">
      <c r="A329" s="6">
        <v>328</v>
      </c>
      <c r="B329" s="7" t="s">
        <v>8</v>
      </c>
      <c r="C329" s="8">
        <v>1887</v>
      </c>
      <c r="D329" s="9">
        <v>45425</v>
      </c>
      <c r="E329" s="13" t="str">
        <f>+HYPERLINK("http://trademark.i-assist.jp/data/china/image_1887th/76639535.pdf","76639535")</f>
        <v>76639535</v>
      </c>
      <c r="F329" s="7" t="s">
        <v>912</v>
      </c>
      <c r="G329" s="7" t="s">
        <v>913</v>
      </c>
      <c r="H329" s="7" t="s">
        <v>914</v>
      </c>
      <c r="I329" s="9">
        <v>45317</v>
      </c>
    </row>
    <row r="330" spans="1:9" x14ac:dyDescent="0.15">
      <c r="A330" s="6">
        <v>329</v>
      </c>
      <c r="B330" s="7" t="s">
        <v>8</v>
      </c>
      <c r="C330" s="8">
        <v>1887</v>
      </c>
      <c r="D330" s="9">
        <v>45425</v>
      </c>
      <c r="E330" s="13" t="str">
        <f>+HYPERLINK("http://trademark.i-assist.jp/data/china/image_1887th/76642518.pdf","76642518")</f>
        <v>76642518</v>
      </c>
      <c r="F330" s="7" t="s">
        <v>915</v>
      </c>
      <c r="G330" s="7" t="s">
        <v>916</v>
      </c>
      <c r="H330" s="7" t="s">
        <v>917</v>
      </c>
      <c r="I330" s="9">
        <v>45318</v>
      </c>
    </row>
    <row r="331" spans="1:9" x14ac:dyDescent="0.15">
      <c r="A331" s="6">
        <v>330</v>
      </c>
      <c r="B331" s="7" t="s">
        <v>8</v>
      </c>
      <c r="C331" s="8">
        <v>1887</v>
      </c>
      <c r="D331" s="9">
        <v>45425</v>
      </c>
      <c r="E331" s="13" t="str">
        <f>+HYPERLINK("http://trademark.i-assist.jp/data/china/image_1887th/76644031.pdf","76644031")</f>
        <v>76644031</v>
      </c>
      <c r="F331" s="7" t="s">
        <v>918</v>
      </c>
      <c r="G331" s="7" t="s">
        <v>919</v>
      </c>
      <c r="H331" s="7" t="s">
        <v>920</v>
      </c>
      <c r="I331" s="9">
        <v>45318</v>
      </c>
    </row>
    <row r="332" spans="1:9" x14ac:dyDescent="0.15">
      <c r="A332" s="6">
        <v>331</v>
      </c>
      <c r="B332" s="7" t="s">
        <v>8</v>
      </c>
      <c r="C332" s="8">
        <v>1887</v>
      </c>
      <c r="D332" s="9">
        <v>45425</v>
      </c>
      <c r="E332" s="13" t="str">
        <f>+HYPERLINK("http://trademark.i-assist.jp/data/china/image_1887th/76644977.pdf","76644977")</f>
        <v>76644977</v>
      </c>
      <c r="F332" s="7" t="s">
        <v>921</v>
      </c>
      <c r="G332" s="7" t="s">
        <v>922</v>
      </c>
      <c r="H332" s="7" t="s">
        <v>923</v>
      </c>
      <c r="I332" s="9">
        <v>45318</v>
      </c>
    </row>
    <row r="333" spans="1:9" x14ac:dyDescent="0.15">
      <c r="A333" s="6">
        <v>332</v>
      </c>
      <c r="B333" s="7" t="s">
        <v>8</v>
      </c>
      <c r="C333" s="8">
        <v>1887</v>
      </c>
      <c r="D333" s="9">
        <v>45425</v>
      </c>
      <c r="E333" s="13" t="str">
        <f>+HYPERLINK("http://trademark.i-assist.jp/data/china/image_1887th/76645191.pdf","76645191")</f>
        <v>76645191</v>
      </c>
      <c r="F333" s="7" t="s">
        <v>924</v>
      </c>
      <c r="G333" s="7" t="s">
        <v>925</v>
      </c>
      <c r="H333" s="7" t="s">
        <v>926</v>
      </c>
      <c r="I333" s="9">
        <v>45318</v>
      </c>
    </row>
    <row r="334" spans="1:9" x14ac:dyDescent="0.15">
      <c r="A334" s="6">
        <v>333</v>
      </c>
      <c r="B334" s="7" t="s">
        <v>8</v>
      </c>
      <c r="C334" s="8">
        <v>1887</v>
      </c>
      <c r="D334" s="9">
        <v>45425</v>
      </c>
      <c r="E334" s="13" t="str">
        <f>+HYPERLINK("http://trademark.i-assist.jp/data/china/image_1887th/76645628.pdf","76645628")</f>
        <v>76645628</v>
      </c>
      <c r="F334" s="7" t="s">
        <v>927</v>
      </c>
      <c r="G334" s="7" t="s">
        <v>928</v>
      </c>
      <c r="H334" s="7" t="s">
        <v>929</v>
      </c>
      <c r="I334" s="9">
        <v>45318</v>
      </c>
    </row>
    <row r="335" spans="1:9" x14ac:dyDescent="0.15">
      <c r="A335" s="6">
        <v>334</v>
      </c>
      <c r="B335" s="7" t="s">
        <v>8</v>
      </c>
      <c r="C335" s="8">
        <v>1887</v>
      </c>
      <c r="D335" s="9">
        <v>45425</v>
      </c>
      <c r="E335" s="13" t="str">
        <f>+HYPERLINK("http://trademark.i-assist.jp/data/china/image_1887th/76646075.pdf","76646075")</f>
        <v>76646075</v>
      </c>
      <c r="F335" s="7" t="s">
        <v>930</v>
      </c>
      <c r="G335" s="7" t="s">
        <v>931</v>
      </c>
      <c r="H335" s="7" t="s">
        <v>932</v>
      </c>
      <c r="I335" s="9">
        <v>45318</v>
      </c>
    </row>
    <row r="336" spans="1:9" x14ac:dyDescent="0.15">
      <c r="A336" s="6">
        <v>335</v>
      </c>
      <c r="B336" s="7" t="s">
        <v>8</v>
      </c>
      <c r="C336" s="8">
        <v>1887</v>
      </c>
      <c r="D336" s="9">
        <v>45425</v>
      </c>
      <c r="E336" s="13" t="str">
        <f>+HYPERLINK("http://trademark.i-assist.jp/data/china/image_1887th/76648374.pdf","76648374")</f>
        <v>76648374</v>
      </c>
      <c r="F336" s="7" t="s">
        <v>933</v>
      </c>
      <c r="G336" s="7" t="s">
        <v>934</v>
      </c>
      <c r="H336" s="7" t="s">
        <v>935</v>
      </c>
      <c r="I336" s="9">
        <v>45319</v>
      </c>
    </row>
    <row r="337" spans="1:9" x14ac:dyDescent="0.15">
      <c r="A337" s="6">
        <v>336</v>
      </c>
      <c r="B337" s="7" t="s">
        <v>8</v>
      </c>
      <c r="C337" s="8">
        <v>1887</v>
      </c>
      <c r="D337" s="9">
        <v>45425</v>
      </c>
      <c r="E337" s="13" t="str">
        <f>+HYPERLINK("http://trademark.i-assist.jp/data/china/image_1887th/76648815.pdf","76648815")</f>
        <v>76648815</v>
      </c>
      <c r="F337" s="7" t="s">
        <v>936</v>
      </c>
      <c r="G337" s="7" t="s">
        <v>937</v>
      </c>
      <c r="H337" s="7" t="s">
        <v>938</v>
      </c>
      <c r="I337" s="9">
        <v>45319</v>
      </c>
    </row>
    <row r="338" spans="1:9" x14ac:dyDescent="0.15">
      <c r="A338" s="6">
        <v>337</v>
      </c>
      <c r="B338" s="7" t="s">
        <v>8</v>
      </c>
      <c r="C338" s="8">
        <v>1887</v>
      </c>
      <c r="D338" s="9">
        <v>45425</v>
      </c>
      <c r="E338" s="13" t="str">
        <f>+HYPERLINK("http://trademark.i-assist.jp/data/china/image_1887th/76648845.pdf","76648845")</f>
        <v>76648845</v>
      </c>
      <c r="F338" s="7" t="s">
        <v>939</v>
      </c>
      <c r="G338" s="7" t="s">
        <v>940</v>
      </c>
      <c r="H338" s="7" t="s">
        <v>941</v>
      </c>
      <c r="I338" s="9">
        <v>45319</v>
      </c>
    </row>
    <row r="339" spans="1:9" x14ac:dyDescent="0.15">
      <c r="A339" s="6">
        <v>338</v>
      </c>
      <c r="B339" s="7" t="s">
        <v>8</v>
      </c>
      <c r="C339" s="8">
        <v>1887</v>
      </c>
      <c r="D339" s="9">
        <v>45425</v>
      </c>
      <c r="E339" s="13" t="str">
        <f>+HYPERLINK("http://trademark.i-assist.jp/data/china/image_1887th/76648999.pdf","76648999")</f>
        <v>76648999</v>
      </c>
      <c r="F339" s="7" t="s">
        <v>942</v>
      </c>
      <c r="G339" s="7" t="s">
        <v>943</v>
      </c>
      <c r="H339" s="7" t="s">
        <v>944</v>
      </c>
      <c r="I339" s="9">
        <v>45319</v>
      </c>
    </row>
    <row r="340" spans="1:9" ht="27" x14ac:dyDescent="0.15">
      <c r="A340" s="6">
        <v>339</v>
      </c>
      <c r="B340" s="7" t="s">
        <v>8</v>
      </c>
      <c r="C340" s="8">
        <v>1887</v>
      </c>
      <c r="D340" s="9">
        <v>45425</v>
      </c>
      <c r="E340" s="13" t="str">
        <f>+HYPERLINK("http://trademark.i-assist.jp/data/china/image_1887th/76649595.pdf","76649595")</f>
        <v>76649595</v>
      </c>
      <c r="F340" s="7" t="s">
        <v>945</v>
      </c>
      <c r="G340" s="7" t="s">
        <v>946</v>
      </c>
      <c r="H340" s="7" t="s">
        <v>947</v>
      </c>
      <c r="I340" s="9">
        <v>45320</v>
      </c>
    </row>
    <row r="341" spans="1:9" x14ac:dyDescent="0.15">
      <c r="A341" s="6">
        <v>340</v>
      </c>
      <c r="B341" s="7" t="s">
        <v>8</v>
      </c>
      <c r="C341" s="8">
        <v>1887</v>
      </c>
      <c r="D341" s="9">
        <v>45425</v>
      </c>
      <c r="E341" s="13" t="str">
        <f>+HYPERLINK("http://trademark.i-assist.jp/data/china/image_1887th/76649683.pdf","76649683")</f>
        <v>76649683</v>
      </c>
      <c r="F341" s="7" t="s">
        <v>948</v>
      </c>
      <c r="G341" s="7" t="s">
        <v>949</v>
      </c>
      <c r="H341" s="7" t="s">
        <v>950</v>
      </c>
      <c r="I341" s="9">
        <v>45320</v>
      </c>
    </row>
    <row r="342" spans="1:9" x14ac:dyDescent="0.15">
      <c r="A342" s="6">
        <v>341</v>
      </c>
      <c r="B342" s="7" t="s">
        <v>8</v>
      </c>
      <c r="C342" s="8">
        <v>1887</v>
      </c>
      <c r="D342" s="9">
        <v>45425</v>
      </c>
      <c r="E342" s="13" t="str">
        <f>+HYPERLINK("http://trademark.i-assist.jp/data/china/image_1887th/76649707.pdf","76649707")</f>
        <v>76649707</v>
      </c>
      <c r="F342" s="7" t="s">
        <v>951</v>
      </c>
      <c r="G342" s="7" t="s">
        <v>952</v>
      </c>
      <c r="H342" s="7" t="s">
        <v>953</v>
      </c>
      <c r="I342" s="9">
        <v>45320</v>
      </c>
    </row>
    <row r="343" spans="1:9" ht="27" x14ac:dyDescent="0.15">
      <c r="A343" s="6">
        <v>342</v>
      </c>
      <c r="B343" s="7" t="s">
        <v>8</v>
      </c>
      <c r="C343" s="8">
        <v>1887</v>
      </c>
      <c r="D343" s="9">
        <v>45425</v>
      </c>
      <c r="E343" s="13" t="str">
        <f>+HYPERLINK("http://trademark.i-assist.jp/data/china/image_1887th/76650142.pdf","76650142")</f>
        <v>76650142</v>
      </c>
      <c r="F343" s="7" t="s">
        <v>954</v>
      </c>
      <c r="G343" s="7" t="s">
        <v>955</v>
      </c>
      <c r="H343" s="7" t="s">
        <v>956</v>
      </c>
      <c r="I343" s="9">
        <v>45320</v>
      </c>
    </row>
    <row r="344" spans="1:9" x14ac:dyDescent="0.15">
      <c r="A344" s="6">
        <v>343</v>
      </c>
      <c r="B344" s="7" t="s">
        <v>8</v>
      </c>
      <c r="C344" s="8">
        <v>1887</v>
      </c>
      <c r="D344" s="9">
        <v>45425</v>
      </c>
      <c r="E344" s="13" t="str">
        <f>+HYPERLINK("http://trademark.i-assist.jp/data/china/image_1887th/76650414.pdf","76650414")</f>
        <v>76650414</v>
      </c>
      <c r="F344" s="7" t="s">
        <v>957</v>
      </c>
      <c r="G344" s="7" t="s">
        <v>958</v>
      </c>
      <c r="H344" s="7" t="s">
        <v>959</v>
      </c>
      <c r="I344" s="9">
        <v>45320</v>
      </c>
    </row>
    <row r="345" spans="1:9" x14ac:dyDescent="0.15">
      <c r="A345" s="6">
        <v>344</v>
      </c>
      <c r="B345" s="7" t="s">
        <v>8</v>
      </c>
      <c r="C345" s="8">
        <v>1887</v>
      </c>
      <c r="D345" s="9">
        <v>45425</v>
      </c>
      <c r="E345" s="13" t="str">
        <f>+HYPERLINK("http://trademark.i-assist.jp/data/china/image_1887th/76651406.pdf","76651406")</f>
        <v>76651406</v>
      </c>
      <c r="F345" s="7" t="s">
        <v>960</v>
      </c>
      <c r="G345" s="7" t="s">
        <v>961</v>
      </c>
      <c r="H345" s="7" t="s">
        <v>962</v>
      </c>
      <c r="I345" s="9">
        <v>45320</v>
      </c>
    </row>
    <row r="346" spans="1:9" x14ac:dyDescent="0.15">
      <c r="A346" s="6">
        <v>345</v>
      </c>
      <c r="B346" s="7" t="s">
        <v>8</v>
      </c>
      <c r="C346" s="8">
        <v>1887</v>
      </c>
      <c r="D346" s="9">
        <v>45425</v>
      </c>
      <c r="E346" s="13" t="str">
        <f>+HYPERLINK("http://trademark.i-assist.jp/data/china/image_1887th/76651990.pdf","76651990")</f>
        <v>76651990</v>
      </c>
      <c r="F346" s="7" t="s">
        <v>963</v>
      </c>
      <c r="G346" s="7" t="s">
        <v>964</v>
      </c>
      <c r="H346" s="7" t="s">
        <v>965</v>
      </c>
      <c r="I346" s="9">
        <v>45320</v>
      </c>
    </row>
    <row r="347" spans="1:9" ht="27" x14ac:dyDescent="0.15">
      <c r="A347" s="6">
        <v>346</v>
      </c>
      <c r="B347" s="7" t="s">
        <v>8</v>
      </c>
      <c r="C347" s="8">
        <v>1887</v>
      </c>
      <c r="D347" s="9">
        <v>45425</v>
      </c>
      <c r="E347" s="13" t="str">
        <f>+HYPERLINK("http://trademark.i-assist.jp/data/china/image_1887th/76652307.pdf","76652307")</f>
        <v>76652307</v>
      </c>
      <c r="F347" s="7" t="s">
        <v>966</v>
      </c>
      <c r="G347" s="7" t="s">
        <v>967</v>
      </c>
      <c r="H347" s="7" t="s">
        <v>968</v>
      </c>
      <c r="I347" s="9">
        <v>45320</v>
      </c>
    </row>
    <row r="348" spans="1:9" x14ac:dyDescent="0.15">
      <c r="A348" s="6">
        <v>347</v>
      </c>
      <c r="B348" s="7" t="s">
        <v>8</v>
      </c>
      <c r="C348" s="8">
        <v>1887</v>
      </c>
      <c r="D348" s="9">
        <v>45425</v>
      </c>
      <c r="E348" s="13" t="str">
        <f>+HYPERLINK("http://trademark.i-assist.jp/data/china/image_1887th/76652466.pdf","76652466")</f>
        <v>76652466</v>
      </c>
      <c r="F348" s="7" t="s">
        <v>969</v>
      </c>
      <c r="G348" s="7" t="s">
        <v>970</v>
      </c>
      <c r="H348" s="7" t="s">
        <v>971</v>
      </c>
      <c r="I348" s="9">
        <v>45320</v>
      </c>
    </row>
    <row r="349" spans="1:9" x14ac:dyDescent="0.15">
      <c r="A349" s="6">
        <v>348</v>
      </c>
      <c r="B349" s="7" t="s">
        <v>8</v>
      </c>
      <c r="C349" s="8">
        <v>1887</v>
      </c>
      <c r="D349" s="9">
        <v>45425</v>
      </c>
      <c r="E349" s="13" t="str">
        <f>+HYPERLINK("http://trademark.i-assist.jp/data/china/image_1887th/76652817.pdf","76652817")</f>
        <v>76652817</v>
      </c>
      <c r="F349" s="7" t="s">
        <v>972</v>
      </c>
      <c r="G349" s="7" t="s">
        <v>973</v>
      </c>
      <c r="H349" s="7" t="s">
        <v>974</v>
      </c>
      <c r="I349" s="9">
        <v>45320</v>
      </c>
    </row>
    <row r="350" spans="1:9" x14ac:dyDescent="0.15">
      <c r="A350" s="6">
        <v>349</v>
      </c>
      <c r="B350" s="7" t="s">
        <v>8</v>
      </c>
      <c r="C350" s="8">
        <v>1887</v>
      </c>
      <c r="D350" s="9">
        <v>45425</v>
      </c>
      <c r="E350" s="13" t="str">
        <f>+HYPERLINK("http://trademark.i-assist.jp/data/china/image_1887th/76653648.pdf","76653648")</f>
        <v>76653648</v>
      </c>
      <c r="F350" s="7" t="s">
        <v>975</v>
      </c>
      <c r="G350" s="7" t="s">
        <v>414</v>
      </c>
      <c r="H350" s="7" t="s">
        <v>976</v>
      </c>
      <c r="I350" s="9">
        <v>45320</v>
      </c>
    </row>
    <row r="351" spans="1:9" x14ac:dyDescent="0.15">
      <c r="A351" s="6">
        <v>350</v>
      </c>
      <c r="B351" s="7" t="s">
        <v>8</v>
      </c>
      <c r="C351" s="8">
        <v>1887</v>
      </c>
      <c r="D351" s="9">
        <v>45425</v>
      </c>
      <c r="E351" s="13" t="str">
        <f>+HYPERLINK("http://trademark.i-assist.jp/data/china/image_1887th/76654942.pdf","76654942")</f>
        <v>76654942</v>
      </c>
      <c r="F351" s="7" t="s">
        <v>977</v>
      </c>
      <c r="G351" s="7" t="s">
        <v>978</v>
      </c>
      <c r="H351" s="7" t="s">
        <v>979</v>
      </c>
      <c r="I351" s="9">
        <v>45320</v>
      </c>
    </row>
    <row r="352" spans="1:9" x14ac:dyDescent="0.15">
      <c r="A352" s="6">
        <v>351</v>
      </c>
      <c r="B352" s="7" t="s">
        <v>8</v>
      </c>
      <c r="C352" s="8">
        <v>1887</v>
      </c>
      <c r="D352" s="9">
        <v>45425</v>
      </c>
      <c r="E352" s="13" t="str">
        <f>+HYPERLINK("http://trademark.i-assist.jp/data/china/image_1887th/76655069.pdf","76655069")</f>
        <v>76655069</v>
      </c>
      <c r="F352" s="7" t="s">
        <v>980</v>
      </c>
      <c r="G352" s="7" t="s">
        <v>981</v>
      </c>
      <c r="H352" s="7" t="s">
        <v>982</v>
      </c>
      <c r="I352" s="9">
        <v>45320</v>
      </c>
    </row>
    <row r="353" spans="1:9" x14ac:dyDescent="0.15">
      <c r="A353" s="6">
        <v>352</v>
      </c>
      <c r="B353" s="7" t="s">
        <v>8</v>
      </c>
      <c r="C353" s="8">
        <v>1887</v>
      </c>
      <c r="D353" s="9">
        <v>45425</v>
      </c>
      <c r="E353" s="13" t="str">
        <f>+HYPERLINK("http://trademark.i-assist.jp/data/china/image_1887th/76656143.pdf","76656143")</f>
        <v>76656143</v>
      </c>
      <c r="F353" s="7" t="s">
        <v>983</v>
      </c>
      <c r="G353" s="7" t="s">
        <v>984</v>
      </c>
      <c r="H353" s="7" t="s">
        <v>985</v>
      </c>
      <c r="I353" s="9">
        <v>45320</v>
      </c>
    </row>
    <row r="354" spans="1:9" x14ac:dyDescent="0.15">
      <c r="A354" s="6">
        <v>353</v>
      </c>
      <c r="B354" s="7" t="s">
        <v>8</v>
      </c>
      <c r="C354" s="8">
        <v>1887</v>
      </c>
      <c r="D354" s="9">
        <v>45425</v>
      </c>
      <c r="E354" s="13" t="str">
        <f>+HYPERLINK("http://trademark.i-assist.jp/data/china/image_1887th/76656287.pdf","76656287")</f>
        <v>76656287</v>
      </c>
      <c r="F354" s="7" t="s">
        <v>986</v>
      </c>
      <c r="G354" s="7" t="s">
        <v>987</v>
      </c>
      <c r="H354" s="7" t="s">
        <v>988</v>
      </c>
      <c r="I354" s="9">
        <v>45320</v>
      </c>
    </row>
    <row r="355" spans="1:9" x14ac:dyDescent="0.15">
      <c r="A355" s="6">
        <v>354</v>
      </c>
      <c r="B355" s="7" t="s">
        <v>8</v>
      </c>
      <c r="C355" s="8">
        <v>1887</v>
      </c>
      <c r="D355" s="9">
        <v>45425</v>
      </c>
      <c r="E355" s="13" t="str">
        <f>+HYPERLINK("http://trademark.i-assist.jp/data/china/image_1887th/76656932.pdf","76656932")</f>
        <v>76656932</v>
      </c>
      <c r="F355" s="7" t="s">
        <v>989</v>
      </c>
      <c r="G355" s="7" t="s">
        <v>990</v>
      </c>
      <c r="H355" s="7" t="s">
        <v>991</v>
      </c>
      <c r="I355" s="9">
        <v>45320</v>
      </c>
    </row>
    <row r="356" spans="1:9" x14ac:dyDescent="0.15">
      <c r="A356" s="6">
        <v>355</v>
      </c>
      <c r="B356" s="7" t="s">
        <v>8</v>
      </c>
      <c r="C356" s="8">
        <v>1887</v>
      </c>
      <c r="D356" s="9">
        <v>45425</v>
      </c>
      <c r="E356" s="13" t="str">
        <f>+HYPERLINK("http://trademark.i-assist.jp/data/china/image_1887th/76656960.pdf","76656960")</f>
        <v>76656960</v>
      </c>
      <c r="F356" s="7" t="s">
        <v>992</v>
      </c>
      <c r="G356" s="7" t="s">
        <v>949</v>
      </c>
      <c r="H356" s="7" t="s">
        <v>950</v>
      </c>
      <c r="I356" s="9">
        <v>45320</v>
      </c>
    </row>
    <row r="357" spans="1:9" x14ac:dyDescent="0.15">
      <c r="A357" s="6">
        <v>356</v>
      </c>
      <c r="B357" s="7" t="s">
        <v>8</v>
      </c>
      <c r="C357" s="8">
        <v>1887</v>
      </c>
      <c r="D357" s="9">
        <v>45425</v>
      </c>
      <c r="E357" s="13" t="str">
        <f>+HYPERLINK("http://trademark.i-assist.jp/data/china/image_1887th/76657323.pdf","76657323")</f>
        <v>76657323</v>
      </c>
      <c r="F357" s="7" t="s">
        <v>993</v>
      </c>
      <c r="G357" s="7" t="s">
        <v>994</v>
      </c>
      <c r="H357" s="7" t="s">
        <v>995</v>
      </c>
      <c r="I357" s="9">
        <v>45320</v>
      </c>
    </row>
    <row r="358" spans="1:9" x14ac:dyDescent="0.15">
      <c r="A358" s="6">
        <v>357</v>
      </c>
      <c r="B358" s="7" t="s">
        <v>8</v>
      </c>
      <c r="C358" s="8">
        <v>1887</v>
      </c>
      <c r="D358" s="9">
        <v>45425</v>
      </c>
      <c r="E358" s="13" t="str">
        <f>+HYPERLINK("http://trademark.i-assist.jp/data/china/image_1887th/76658070.pdf","76658070")</f>
        <v>76658070</v>
      </c>
      <c r="F358" s="7" t="s">
        <v>996</v>
      </c>
      <c r="G358" s="7" t="s">
        <v>997</v>
      </c>
      <c r="H358" s="7" t="s">
        <v>998</v>
      </c>
      <c r="I358" s="9">
        <v>45320</v>
      </c>
    </row>
    <row r="359" spans="1:9" x14ac:dyDescent="0.15">
      <c r="A359" s="6">
        <v>358</v>
      </c>
      <c r="B359" s="7" t="s">
        <v>8</v>
      </c>
      <c r="C359" s="8">
        <v>1887</v>
      </c>
      <c r="D359" s="9">
        <v>45425</v>
      </c>
      <c r="E359" s="13" t="str">
        <f>+HYPERLINK("http://trademark.i-assist.jp/data/china/image_1887th/76658203.pdf","76658203")</f>
        <v>76658203</v>
      </c>
      <c r="F359" s="7" t="s">
        <v>999</v>
      </c>
      <c r="G359" s="7" t="s">
        <v>743</v>
      </c>
      <c r="H359" s="7" t="s">
        <v>1000</v>
      </c>
      <c r="I359" s="9">
        <v>45320</v>
      </c>
    </row>
    <row r="360" spans="1:9" x14ac:dyDescent="0.15">
      <c r="A360" s="6">
        <v>359</v>
      </c>
      <c r="B360" s="7" t="s">
        <v>8</v>
      </c>
      <c r="C360" s="8">
        <v>1887</v>
      </c>
      <c r="D360" s="9">
        <v>45425</v>
      </c>
      <c r="E360" s="13" t="str">
        <f>+HYPERLINK("http://trademark.i-assist.jp/data/china/image_1887th/76659352.pdf","76659352")</f>
        <v>76659352</v>
      </c>
      <c r="F360" s="7" t="s">
        <v>1001</v>
      </c>
      <c r="G360" s="7" t="s">
        <v>1002</v>
      </c>
      <c r="H360" s="7" t="s">
        <v>1003</v>
      </c>
      <c r="I360" s="9">
        <v>45320</v>
      </c>
    </row>
    <row r="361" spans="1:9" x14ac:dyDescent="0.15">
      <c r="A361" s="6">
        <v>360</v>
      </c>
      <c r="B361" s="7" t="s">
        <v>8</v>
      </c>
      <c r="C361" s="8">
        <v>1887</v>
      </c>
      <c r="D361" s="9">
        <v>45425</v>
      </c>
      <c r="E361" s="13" t="str">
        <f>+HYPERLINK("http://trademark.i-assist.jp/data/china/image_1887th/76660109.pdf","76660109")</f>
        <v>76660109</v>
      </c>
      <c r="F361" s="7" t="s">
        <v>957</v>
      </c>
      <c r="G361" s="7" t="s">
        <v>958</v>
      </c>
      <c r="H361" s="7" t="s">
        <v>1004</v>
      </c>
      <c r="I361" s="9">
        <v>45320</v>
      </c>
    </row>
    <row r="362" spans="1:9" x14ac:dyDescent="0.15">
      <c r="A362" s="6">
        <v>361</v>
      </c>
      <c r="B362" s="7" t="s">
        <v>8</v>
      </c>
      <c r="C362" s="8">
        <v>1887</v>
      </c>
      <c r="D362" s="9">
        <v>45425</v>
      </c>
      <c r="E362" s="13" t="str">
        <f>+HYPERLINK("http://trademark.i-assist.jp/data/china/image_1887th/76661611.pdf","76661611")</f>
        <v>76661611</v>
      </c>
      <c r="F362" s="7" t="s">
        <v>1005</v>
      </c>
      <c r="G362" s="7" t="s">
        <v>1006</v>
      </c>
      <c r="H362" s="7" t="s">
        <v>1007</v>
      </c>
      <c r="I362" s="9">
        <v>45320</v>
      </c>
    </row>
    <row r="363" spans="1:9" x14ac:dyDescent="0.15">
      <c r="A363" s="6">
        <v>362</v>
      </c>
      <c r="B363" s="7" t="s">
        <v>8</v>
      </c>
      <c r="C363" s="8">
        <v>1887</v>
      </c>
      <c r="D363" s="9">
        <v>45425</v>
      </c>
      <c r="E363" s="13" t="str">
        <f>+HYPERLINK("http://trademark.i-assist.jp/data/china/image_1887th/76661755.pdf","76661755")</f>
        <v>76661755</v>
      </c>
      <c r="F363" s="7" t="s">
        <v>1008</v>
      </c>
      <c r="G363" s="7" t="s">
        <v>1009</v>
      </c>
      <c r="H363" s="7" t="s">
        <v>1010</v>
      </c>
      <c r="I363" s="9">
        <v>45320</v>
      </c>
    </row>
    <row r="364" spans="1:9" x14ac:dyDescent="0.15">
      <c r="A364" s="6">
        <v>363</v>
      </c>
      <c r="B364" s="7" t="s">
        <v>8</v>
      </c>
      <c r="C364" s="8">
        <v>1887</v>
      </c>
      <c r="D364" s="9">
        <v>45425</v>
      </c>
      <c r="E364" s="13" t="str">
        <f>+HYPERLINK("http://trademark.i-assist.jp/data/china/image_1887th/76662058.pdf","76662058")</f>
        <v>76662058</v>
      </c>
      <c r="F364" s="7" t="s">
        <v>1011</v>
      </c>
      <c r="G364" s="7" t="s">
        <v>1012</v>
      </c>
      <c r="H364" s="7" t="s">
        <v>1013</v>
      </c>
      <c r="I364" s="9">
        <v>45320</v>
      </c>
    </row>
    <row r="365" spans="1:9" ht="27" x14ac:dyDescent="0.15">
      <c r="A365" s="6">
        <v>364</v>
      </c>
      <c r="B365" s="7" t="s">
        <v>8</v>
      </c>
      <c r="C365" s="8">
        <v>1887</v>
      </c>
      <c r="D365" s="9">
        <v>45425</v>
      </c>
      <c r="E365" s="13" t="str">
        <f>+HYPERLINK("http://trademark.i-assist.jp/data/china/image_1887th/76662149.pdf","76662149")</f>
        <v>76662149</v>
      </c>
      <c r="F365" s="7" t="s">
        <v>1014</v>
      </c>
      <c r="G365" s="7" t="s">
        <v>1015</v>
      </c>
      <c r="H365" s="7" t="s">
        <v>1016</v>
      </c>
      <c r="I365" s="9">
        <v>45320</v>
      </c>
    </row>
    <row r="366" spans="1:9" x14ac:dyDescent="0.15">
      <c r="A366" s="6">
        <v>365</v>
      </c>
      <c r="B366" s="7" t="s">
        <v>8</v>
      </c>
      <c r="C366" s="8">
        <v>1887</v>
      </c>
      <c r="D366" s="9">
        <v>45425</v>
      </c>
      <c r="E366" s="13" t="str">
        <f>+HYPERLINK("http://trademark.i-assist.jp/data/china/image_1887th/76662411.pdf","76662411")</f>
        <v>76662411</v>
      </c>
      <c r="F366" s="7" t="s">
        <v>1017</v>
      </c>
      <c r="G366" s="7" t="s">
        <v>1018</v>
      </c>
      <c r="H366" s="7" t="s">
        <v>1019</v>
      </c>
      <c r="I366" s="9">
        <v>45320</v>
      </c>
    </row>
    <row r="367" spans="1:9" x14ac:dyDescent="0.15">
      <c r="A367" s="6">
        <v>366</v>
      </c>
      <c r="B367" s="7" t="s">
        <v>8</v>
      </c>
      <c r="C367" s="8">
        <v>1887</v>
      </c>
      <c r="D367" s="9">
        <v>45425</v>
      </c>
      <c r="E367" s="13" t="str">
        <f>+HYPERLINK("http://trademark.i-assist.jp/data/china/image_1887th/76662804.pdf","76662804")</f>
        <v>76662804</v>
      </c>
      <c r="F367" s="7" t="s">
        <v>1020</v>
      </c>
      <c r="G367" s="7" t="s">
        <v>1021</v>
      </c>
      <c r="H367" s="7" t="s">
        <v>1022</v>
      </c>
      <c r="I367" s="9">
        <v>45320</v>
      </c>
    </row>
    <row r="368" spans="1:9" x14ac:dyDescent="0.15">
      <c r="A368" s="6">
        <v>367</v>
      </c>
      <c r="B368" s="7" t="s">
        <v>8</v>
      </c>
      <c r="C368" s="8">
        <v>1887</v>
      </c>
      <c r="D368" s="9">
        <v>45425</v>
      </c>
      <c r="E368" s="13" t="str">
        <f>+HYPERLINK("http://trademark.i-assist.jp/data/china/image_1887th/76663832.pdf","76663832")</f>
        <v>76663832</v>
      </c>
      <c r="F368" s="7" t="s">
        <v>1023</v>
      </c>
      <c r="G368" s="7" t="s">
        <v>1024</v>
      </c>
      <c r="H368" s="7" t="s">
        <v>1025</v>
      </c>
      <c r="I368" s="9">
        <v>45320</v>
      </c>
    </row>
    <row r="369" spans="1:9" x14ac:dyDescent="0.15">
      <c r="A369" s="6">
        <v>368</v>
      </c>
      <c r="B369" s="7" t="s">
        <v>8</v>
      </c>
      <c r="C369" s="8">
        <v>1887</v>
      </c>
      <c r="D369" s="9">
        <v>45425</v>
      </c>
      <c r="E369" s="13" t="str">
        <f>+HYPERLINK("http://trademark.i-assist.jp/data/china/image_1887th/76664008.pdf","76664008")</f>
        <v>76664008</v>
      </c>
      <c r="F369" s="7" t="s">
        <v>1026</v>
      </c>
      <c r="G369" s="7" t="s">
        <v>1027</v>
      </c>
      <c r="H369" s="7" t="s">
        <v>1028</v>
      </c>
      <c r="I369" s="9">
        <v>45320</v>
      </c>
    </row>
    <row r="370" spans="1:9" x14ac:dyDescent="0.15">
      <c r="A370" s="6">
        <v>369</v>
      </c>
      <c r="B370" s="7" t="s">
        <v>8</v>
      </c>
      <c r="C370" s="8">
        <v>1887</v>
      </c>
      <c r="D370" s="9">
        <v>45425</v>
      </c>
      <c r="E370" s="13" t="str">
        <f>+HYPERLINK("http://trademark.i-assist.jp/data/china/image_1887th/76664146.pdf","76664146")</f>
        <v>76664146</v>
      </c>
      <c r="F370" s="7" t="s">
        <v>1029</v>
      </c>
      <c r="G370" s="7" t="s">
        <v>743</v>
      </c>
      <c r="H370" s="7" t="s">
        <v>1000</v>
      </c>
      <c r="I370" s="9">
        <v>45320</v>
      </c>
    </row>
    <row r="371" spans="1:9" x14ac:dyDescent="0.15">
      <c r="A371" s="6">
        <v>370</v>
      </c>
      <c r="B371" s="7" t="s">
        <v>8</v>
      </c>
      <c r="C371" s="8">
        <v>1887</v>
      </c>
      <c r="D371" s="9">
        <v>45425</v>
      </c>
      <c r="E371" s="13" t="str">
        <f>+HYPERLINK("http://trademark.i-assist.jp/data/china/image_1887th/76664155.pdf","76664155")</f>
        <v>76664155</v>
      </c>
      <c r="F371" s="7" t="s">
        <v>1030</v>
      </c>
      <c r="G371" s="7" t="s">
        <v>743</v>
      </c>
      <c r="H371" s="7" t="s">
        <v>1000</v>
      </c>
      <c r="I371" s="9">
        <v>45320</v>
      </c>
    </row>
    <row r="372" spans="1:9" x14ac:dyDescent="0.15">
      <c r="A372" s="6">
        <v>371</v>
      </c>
      <c r="B372" s="7" t="s">
        <v>8</v>
      </c>
      <c r="C372" s="8">
        <v>1887</v>
      </c>
      <c r="D372" s="9">
        <v>45425</v>
      </c>
      <c r="E372" s="13" t="str">
        <f>+HYPERLINK("http://trademark.i-assist.jp/data/china/image_1887th/76664191.pdf","76664191")</f>
        <v>76664191</v>
      </c>
      <c r="F372" s="7" t="s">
        <v>1031</v>
      </c>
      <c r="G372" s="7" t="s">
        <v>414</v>
      </c>
      <c r="H372" s="7" t="s">
        <v>976</v>
      </c>
      <c r="I372" s="9">
        <v>45320</v>
      </c>
    </row>
    <row r="373" spans="1:9" x14ac:dyDescent="0.15">
      <c r="A373" s="6">
        <v>372</v>
      </c>
      <c r="B373" s="7" t="s">
        <v>8</v>
      </c>
      <c r="C373" s="8">
        <v>1887</v>
      </c>
      <c r="D373" s="9">
        <v>45425</v>
      </c>
      <c r="E373" s="13" t="str">
        <f>+HYPERLINK("http://trademark.i-assist.jp/data/china/image_1887th/76664661.pdf","76664661")</f>
        <v>76664661</v>
      </c>
      <c r="F373" s="7" t="s">
        <v>1032</v>
      </c>
      <c r="G373" s="7" t="s">
        <v>1033</v>
      </c>
      <c r="H373" s="7" t="s">
        <v>1034</v>
      </c>
      <c r="I373" s="9">
        <v>45320</v>
      </c>
    </row>
    <row r="374" spans="1:9" x14ac:dyDescent="0.15">
      <c r="A374" s="6">
        <v>373</v>
      </c>
      <c r="B374" s="7" t="s">
        <v>8</v>
      </c>
      <c r="C374" s="8">
        <v>1887</v>
      </c>
      <c r="D374" s="9">
        <v>45425</v>
      </c>
      <c r="E374" s="13" t="str">
        <f>+HYPERLINK("http://trademark.i-assist.jp/data/china/image_1887th/76665576.pdf","76665576")</f>
        <v>76665576</v>
      </c>
      <c r="F374" s="7" t="s">
        <v>1035</v>
      </c>
      <c r="G374" s="7" t="s">
        <v>1036</v>
      </c>
      <c r="H374" s="7" t="s">
        <v>1037</v>
      </c>
      <c r="I374" s="9">
        <v>45320</v>
      </c>
    </row>
    <row r="375" spans="1:9" x14ac:dyDescent="0.15">
      <c r="A375" s="6">
        <v>374</v>
      </c>
      <c r="B375" s="7" t="s">
        <v>8</v>
      </c>
      <c r="C375" s="8">
        <v>1887</v>
      </c>
      <c r="D375" s="9">
        <v>45425</v>
      </c>
      <c r="E375" s="13" t="str">
        <f>+HYPERLINK("http://trademark.i-assist.jp/data/china/image_1887th/76667007.pdf","76667007")</f>
        <v>76667007</v>
      </c>
      <c r="F375" s="7" t="s">
        <v>54</v>
      </c>
      <c r="G375" s="7" t="s">
        <v>1038</v>
      </c>
      <c r="H375" s="7" t="s">
        <v>1039</v>
      </c>
      <c r="I375" s="9">
        <v>45320</v>
      </c>
    </row>
    <row r="376" spans="1:9" x14ac:dyDescent="0.15">
      <c r="A376" s="6">
        <v>375</v>
      </c>
      <c r="B376" s="7" t="s">
        <v>8</v>
      </c>
      <c r="C376" s="8">
        <v>1887</v>
      </c>
      <c r="D376" s="9">
        <v>45425</v>
      </c>
      <c r="E376" s="13" t="str">
        <f>+HYPERLINK("http://trademark.i-assist.jp/data/china/image_1887th/76667216.pdf","76667216")</f>
        <v>76667216</v>
      </c>
      <c r="F376" s="7" t="s">
        <v>1040</v>
      </c>
      <c r="G376" s="7" t="s">
        <v>1041</v>
      </c>
      <c r="H376" s="7" t="s">
        <v>1042</v>
      </c>
      <c r="I376" s="9">
        <v>45320</v>
      </c>
    </row>
    <row r="377" spans="1:9" x14ac:dyDescent="0.15">
      <c r="A377" s="6">
        <v>376</v>
      </c>
      <c r="B377" s="7" t="s">
        <v>8</v>
      </c>
      <c r="C377" s="8">
        <v>1887</v>
      </c>
      <c r="D377" s="9">
        <v>45425</v>
      </c>
      <c r="E377" s="13" t="str">
        <f>+HYPERLINK("http://trademark.i-assist.jp/data/china/image_1887th/76667218.pdf","76667218")</f>
        <v>76667218</v>
      </c>
      <c r="F377" s="7" t="s">
        <v>1043</v>
      </c>
      <c r="G377" s="7" t="s">
        <v>1044</v>
      </c>
      <c r="H377" s="7" t="s">
        <v>1045</v>
      </c>
      <c r="I377" s="9">
        <v>45320</v>
      </c>
    </row>
    <row r="378" spans="1:9" x14ac:dyDescent="0.15">
      <c r="A378" s="6">
        <v>377</v>
      </c>
      <c r="B378" s="7" t="s">
        <v>8</v>
      </c>
      <c r="C378" s="8">
        <v>1887</v>
      </c>
      <c r="D378" s="9">
        <v>45425</v>
      </c>
      <c r="E378" s="13" t="str">
        <f>+HYPERLINK("http://trademark.i-assist.jp/data/china/image_1887th/76667241.pdf","76667241")</f>
        <v>76667241</v>
      </c>
      <c r="F378" s="7" t="s">
        <v>1046</v>
      </c>
      <c r="G378" s="7" t="s">
        <v>1047</v>
      </c>
      <c r="H378" s="7" t="s">
        <v>1048</v>
      </c>
      <c r="I378" s="9">
        <v>45320</v>
      </c>
    </row>
    <row r="379" spans="1:9" x14ac:dyDescent="0.15">
      <c r="A379" s="6">
        <v>378</v>
      </c>
      <c r="B379" s="7" t="s">
        <v>8</v>
      </c>
      <c r="C379" s="8">
        <v>1887</v>
      </c>
      <c r="D379" s="9">
        <v>45425</v>
      </c>
      <c r="E379" s="13" t="str">
        <f>+HYPERLINK("http://trademark.i-assist.jp/data/china/image_1887th/76667472.pdf","76667472")</f>
        <v>76667472</v>
      </c>
      <c r="F379" s="7" t="s">
        <v>1049</v>
      </c>
      <c r="G379" s="7" t="s">
        <v>1050</v>
      </c>
      <c r="H379" s="7" t="s">
        <v>1051</v>
      </c>
      <c r="I379" s="9">
        <v>45320</v>
      </c>
    </row>
    <row r="380" spans="1:9" x14ac:dyDescent="0.15">
      <c r="A380" s="6">
        <v>379</v>
      </c>
      <c r="B380" s="7" t="s">
        <v>8</v>
      </c>
      <c r="C380" s="8">
        <v>1887</v>
      </c>
      <c r="D380" s="9">
        <v>45425</v>
      </c>
      <c r="E380" s="13" t="str">
        <f>+HYPERLINK("http://trademark.i-assist.jp/data/china/image_1887th/76668228.pdf","76668228")</f>
        <v>76668228</v>
      </c>
      <c r="F380" s="7" t="s">
        <v>1052</v>
      </c>
      <c r="G380" s="7" t="s">
        <v>1053</v>
      </c>
      <c r="H380" s="7" t="s">
        <v>1054</v>
      </c>
      <c r="I380" s="9">
        <v>45320</v>
      </c>
    </row>
    <row r="381" spans="1:9" x14ac:dyDescent="0.15">
      <c r="A381" s="6">
        <v>380</v>
      </c>
      <c r="B381" s="7" t="s">
        <v>8</v>
      </c>
      <c r="C381" s="8">
        <v>1887</v>
      </c>
      <c r="D381" s="9">
        <v>45425</v>
      </c>
      <c r="E381" s="13" t="str">
        <f>+HYPERLINK("http://trademark.i-assist.jp/data/china/image_1887th/76668452.pdf","76668452")</f>
        <v>76668452</v>
      </c>
      <c r="F381" s="7" t="s">
        <v>1055</v>
      </c>
      <c r="G381" s="7" t="s">
        <v>1056</v>
      </c>
      <c r="H381" s="7" t="s">
        <v>1057</v>
      </c>
      <c r="I381" s="9">
        <v>45320</v>
      </c>
    </row>
    <row r="382" spans="1:9" x14ac:dyDescent="0.15">
      <c r="A382" s="6">
        <v>381</v>
      </c>
      <c r="B382" s="7" t="s">
        <v>8</v>
      </c>
      <c r="C382" s="8">
        <v>1887</v>
      </c>
      <c r="D382" s="9">
        <v>45425</v>
      </c>
      <c r="E382" s="13" t="str">
        <f>+HYPERLINK("http://trademark.i-assist.jp/data/china/image_1887th/76669163.pdf","76669163")</f>
        <v>76669163</v>
      </c>
      <c r="F382" s="7" t="s">
        <v>1058</v>
      </c>
      <c r="G382" s="7" t="s">
        <v>1059</v>
      </c>
      <c r="H382" s="7" t="s">
        <v>1060</v>
      </c>
      <c r="I382" s="9">
        <v>45320</v>
      </c>
    </row>
    <row r="383" spans="1:9" x14ac:dyDescent="0.15">
      <c r="A383" s="6">
        <v>382</v>
      </c>
      <c r="B383" s="7" t="s">
        <v>8</v>
      </c>
      <c r="C383" s="8">
        <v>1887</v>
      </c>
      <c r="D383" s="9">
        <v>45425</v>
      </c>
      <c r="E383" s="13" t="str">
        <f>+HYPERLINK("http://trademark.i-assist.jp/data/china/image_1887th/76669381.pdf","76669381")</f>
        <v>76669381</v>
      </c>
      <c r="F383" s="7" t="s">
        <v>1061</v>
      </c>
      <c r="G383" s="7" t="s">
        <v>1062</v>
      </c>
      <c r="H383" s="7" t="s">
        <v>1063</v>
      </c>
      <c r="I383" s="9">
        <v>45320</v>
      </c>
    </row>
    <row r="384" spans="1:9" x14ac:dyDescent="0.15">
      <c r="A384" s="6">
        <v>383</v>
      </c>
      <c r="B384" s="7" t="s">
        <v>8</v>
      </c>
      <c r="C384" s="8">
        <v>1887</v>
      </c>
      <c r="D384" s="9">
        <v>45425</v>
      </c>
      <c r="E384" s="13" t="str">
        <f>+HYPERLINK("http://trademark.i-assist.jp/data/china/image_1887th/76669891.pdf","76669891")</f>
        <v>76669891</v>
      </c>
      <c r="F384" s="7" t="s">
        <v>1064</v>
      </c>
      <c r="G384" s="7" t="s">
        <v>1065</v>
      </c>
      <c r="H384" s="7" t="s">
        <v>1066</v>
      </c>
      <c r="I384" s="9">
        <v>45320</v>
      </c>
    </row>
    <row r="385" spans="1:9" x14ac:dyDescent="0.15">
      <c r="A385" s="6">
        <v>384</v>
      </c>
      <c r="B385" s="7" t="s">
        <v>8</v>
      </c>
      <c r="C385" s="8">
        <v>1887</v>
      </c>
      <c r="D385" s="9">
        <v>45425</v>
      </c>
      <c r="E385" s="13" t="str">
        <f>+HYPERLINK("http://trademark.i-assist.jp/data/china/image_1887th/76670555.pdf","76670555")</f>
        <v>76670555</v>
      </c>
      <c r="F385" s="7" t="s">
        <v>1067</v>
      </c>
      <c r="G385" s="7" t="s">
        <v>1068</v>
      </c>
      <c r="H385" s="7" t="s">
        <v>1069</v>
      </c>
      <c r="I385" s="9">
        <v>45320</v>
      </c>
    </row>
    <row r="386" spans="1:9" x14ac:dyDescent="0.15">
      <c r="A386" s="6">
        <v>385</v>
      </c>
      <c r="B386" s="7" t="s">
        <v>8</v>
      </c>
      <c r="C386" s="8">
        <v>1887</v>
      </c>
      <c r="D386" s="9">
        <v>45425</v>
      </c>
      <c r="E386" s="13" t="str">
        <f>+HYPERLINK("http://trademark.i-assist.jp/data/china/image_1887th/76670941.pdf","76670941")</f>
        <v>76670941</v>
      </c>
      <c r="F386" s="7" t="s">
        <v>1070</v>
      </c>
      <c r="G386" s="7" t="s">
        <v>1071</v>
      </c>
      <c r="H386" s="7" t="s">
        <v>1072</v>
      </c>
      <c r="I386" s="9">
        <v>45320</v>
      </c>
    </row>
    <row r="387" spans="1:9" x14ac:dyDescent="0.15">
      <c r="A387" s="6">
        <v>386</v>
      </c>
      <c r="B387" s="7" t="s">
        <v>8</v>
      </c>
      <c r="C387" s="8">
        <v>1887</v>
      </c>
      <c r="D387" s="9">
        <v>45425</v>
      </c>
      <c r="E387" s="13" t="str">
        <f>+HYPERLINK("http://trademark.i-assist.jp/data/china/image_1887th/76671249.pdf","76671249")</f>
        <v>76671249</v>
      </c>
      <c r="F387" s="7" t="s">
        <v>1073</v>
      </c>
      <c r="G387" s="7" t="s">
        <v>1074</v>
      </c>
      <c r="H387" s="7" t="s">
        <v>1075</v>
      </c>
      <c r="I387" s="9">
        <v>45320</v>
      </c>
    </row>
    <row r="388" spans="1:9" x14ac:dyDescent="0.15">
      <c r="A388" s="6">
        <v>387</v>
      </c>
      <c r="B388" s="7" t="s">
        <v>8</v>
      </c>
      <c r="C388" s="8">
        <v>1887</v>
      </c>
      <c r="D388" s="9">
        <v>45425</v>
      </c>
      <c r="E388" s="13" t="str">
        <f>+HYPERLINK("http://trademark.i-assist.jp/data/china/image_1887th/76671295.pdf","76671295")</f>
        <v>76671295</v>
      </c>
      <c r="F388" s="7" t="s">
        <v>1076</v>
      </c>
      <c r="G388" s="7" t="s">
        <v>1077</v>
      </c>
      <c r="H388" s="7" t="s">
        <v>1078</v>
      </c>
      <c r="I388" s="9">
        <v>45320</v>
      </c>
    </row>
    <row r="389" spans="1:9" x14ac:dyDescent="0.15">
      <c r="A389" s="6">
        <v>388</v>
      </c>
      <c r="B389" s="7" t="s">
        <v>8</v>
      </c>
      <c r="C389" s="8">
        <v>1887</v>
      </c>
      <c r="D389" s="9">
        <v>45425</v>
      </c>
      <c r="E389" s="13" t="str">
        <f>+HYPERLINK("http://trademark.i-assist.jp/data/china/image_1887th/76671886.pdf","76671886")</f>
        <v>76671886</v>
      </c>
      <c r="F389" s="7" t="s">
        <v>1079</v>
      </c>
      <c r="G389" s="7" t="s">
        <v>964</v>
      </c>
      <c r="H389" s="7" t="s">
        <v>965</v>
      </c>
      <c r="I389" s="9">
        <v>45320</v>
      </c>
    </row>
    <row r="390" spans="1:9" x14ac:dyDescent="0.15">
      <c r="A390" s="6">
        <v>389</v>
      </c>
      <c r="B390" s="7" t="s">
        <v>8</v>
      </c>
      <c r="C390" s="8">
        <v>1887</v>
      </c>
      <c r="D390" s="9">
        <v>45425</v>
      </c>
      <c r="E390" s="13" t="str">
        <f>+HYPERLINK("http://trademark.i-assist.jp/data/china/image_1887th/76674031.pdf","76674031")</f>
        <v>76674031</v>
      </c>
      <c r="F390" s="7" t="s">
        <v>1080</v>
      </c>
      <c r="G390" s="7" t="s">
        <v>743</v>
      </c>
      <c r="H390" s="7" t="s">
        <v>1000</v>
      </c>
      <c r="I390" s="9">
        <v>45320</v>
      </c>
    </row>
    <row r="391" spans="1:9" x14ac:dyDescent="0.15">
      <c r="A391" s="6">
        <v>390</v>
      </c>
      <c r="B391" s="7" t="s">
        <v>8</v>
      </c>
      <c r="C391" s="8">
        <v>1887</v>
      </c>
      <c r="D391" s="9">
        <v>45425</v>
      </c>
      <c r="E391" s="13" t="str">
        <f>+HYPERLINK("http://trademark.i-assist.jp/data/china/image_1887th/76674544.pdf","76674544")</f>
        <v>76674544</v>
      </c>
      <c r="F391" s="7" t="s">
        <v>54</v>
      </c>
      <c r="G391" s="7" t="s">
        <v>1009</v>
      </c>
      <c r="H391" s="7" t="s">
        <v>1081</v>
      </c>
      <c r="I391" s="9">
        <v>45320</v>
      </c>
    </row>
    <row r="392" spans="1:9" x14ac:dyDescent="0.15">
      <c r="A392" s="6">
        <v>391</v>
      </c>
      <c r="B392" s="7" t="s">
        <v>8</v>
      </c>
      <c r="C392" s="8">
        <v>1887</v>
      </c>
      <c r="D392" s="9">
        <v>45425</v>
      </c>
      <c r="E392" s="13" t="str">
        <f>+HYPERLINK("http://trademark.i-assist.jp/data/china/image_1887th/76675798.pdf","76675798")</f>
        <v>76675798</v>
      </c>
      <c r="F392" s="7" t="s">
        <v>1082</v>
      </c>
      <c r="G392" s="7" t="s">
        <v>1083</v>
      </c>
      <c r="H392" s="7" t="s">
        <v>1084</v>
      </c>
      <c r="I392" s="9">
        <v>45321</v>
      </c>
    </row>
    <row r="393" spans="1:9" x14ac:dyDescent="0.15">
      <c r="A393" s="6">
        <v>392</v>
      </c>
      <c r="B393" s="7" t="s">
        <v>8</v>
      </c>
      <c r="C393" s="8">
        <v>1887</v>
      </c>
      <c r="D393" s="9">
        <v>45425</v>
      </c>
      <c r="E393" s="13" t="str">
        <f>+HYPERLINK("http://trademark.i-assist.jp/data/china/image_1887th/76676225.pdf","76676225")</f>
        <v>76676225</v>
      </c>
      <c r="F393" s="7" t="s">
        <v>1085</v>
      </c>
      <c r="G393" s="7" t="s">
        <v>1086</v>
      </c>
      <c r="H393" s="7" t="s">
        <v>1087</v>
      </c>
      <c r="I393" s="9">
        <v>45321</v>
      </c>
    </row>
    <row r="394" spans="1:9" x14ac:dyDescent="0.15">
      <c r="A394" s="6">
        <v>393</v>
      </c>
      <c r="B394" s="7" t="s">
        <v>8</v>
      </c>
      <c r="C394" s="8">
        <v>1887</v>
      </c>
      <c r="D394" s="9">
        <v>45425</v>
      </c>
      <c r="E394" s="13" t="str">
        <f>+HYPERLINK("http://trademark.i-assist.jp/data/china/image_1887th/76676790.pdf","76676790")</f>
        <v>76676790</v>
      </c>
      <c r="F394" s="7" t="s">
        <v>1088</v>
      </c>
      <c r="G394" s="7" t="s">
        <v>1089</v>
      </c>
      <c r="H394" s="7" t="s">
        <v>1090</v>
      </c>
      <c r="I394" s="9">
        <v>45321</v>
      </c>
    </row>
    <row r="395" spans="1:9" x14ac:dyDescent="0.15">
      <c r="A395" s="6">
        <v>394</v>
      </c>
      <c r="B395" s="7" t="s">
        <v>8</v>
      </c>
      <c r="C395" s="8">
        <v>1887</v>
      </c>
      <c r="D395" s="9">
        <v>45425</v>
      </c>
      <c r="E395" s="13" t="str">
        <f>+HYPERLINK("http://trademark.i-assist.jp/data/china/image_1887th/76679375.pdf","76679375")</f>
        <v>76679375</v>
      </c>
      <c r="F395" s="7" t="s">
        <v>1091</v>
      </c>
      <c r="G395" s="7" t="s">
        <v>1092</v>
      </c>
      <c r="H395" s="7" t="s">
        <v>1093</v>
      </c>
      <c r="I395" s="9">
        <v>45321</v>
      </c>
    </row>
    <row r="396" spans="1:9" x14ac:dyDescent="0.15">
      <c r="A396" s="6">
        <v>395</v>
      </c>
      <c r="B396" s="7" t="s">
        <v>8</v>
      </c>
      <c r="C396" s="8">
        <v>1887</v>
      </c>
      <c r="D396" s="9">
        <v>45425</v>
      </c>
      <c r="E396" s="13" t="str">
        <f>+HYPERLINK("http://trademark.i-assist.jp/data/china/image_1887th/76680069.pdf","76680069")</f>
        <v>76680069</v>
      </c>
      <c r="F396" s="7" t="s">
        <v>1094</v>
      </c>
      <c r="G396" s="7" t="s">
        <v>1095</v>
      </c>
      <c r="H396" s="7" t="s">
        <v>1096</v>
      </c>
      <c r="I396" s="9">
        <v>45321</v>
      </c>
    </row>
    <row r="397" spans="1:9" x14ac:dyDescent="0.15">
      <c r="A397" s="6">
        <v>396</v>
      </c>
      <c r="B397" s="7" t="s">
        <v>8</v>
      </c>
      <c r="C397" s="8">
        <v>1887</v>
      </c>
      <c r="D397" s="9">
        <v>45425</v>
      </c>
      <c r="E397" s="13" t="str">
        <f>+HYPERLINK("http://trademark.i-assist.jp/data/china/image_1887th/76680425.pdf","76680425")</f>
        <v>76680425</v>
      </c>
      <c r="F397" s="7" t="s">
        <v>1097</v>
      </c>
      <c r="G397" s="7" t="s">
        <v>1098</v>
      </c>
      <c r="H397" s="7" t="s">
        <v>1099</v>
      </c>
      <c r="I397" s="9">
        <v>45321</v>
      </c>
    </row>
    <row r="398" spans="1:9" ht="27" x14ac:dyDescent="0.15">
      <c r="A398" s="6">
        <v>397</v>
      </c>
      <c r="B398" s="7" t="s">
        <v>8</v>
      </c>
      <c r="C398" s="8">
        <v>1887</v>
      </c>
      <c r="D398" s="9">
        <v>45425</v>
      </c>
      <c r="E398" s="13" t="str">
        <f>+HYPERLINK("http://trademark.i-assist.jp/data/china/image_1887th/76680698.pdf","76680698")</f>
        <v>76680698</v>
      </c>
      <c r="F398" s="7" t="s">
        <v>1100</v>
      </c>
      <c r="G398" s="7" t="s">
        <v>1101</v>
      </c>
      <c r="H398" s="7" t="s">
        <v>1102</v>
      </c>
      <c r="I398" s="9">
        <v>45321</v>
      </c>
    </row>
    <row r="399" spans="1:9" ht="27" x14ac:dyDescent="0.15">
      <c r="A399" s="6">
        <v>398</v>
      </c>
      <c r="B399" s="7" t="s">
        <v>8</v>
      </c>
      <c r="C399" s="8">
        <v>1887</v>
      </c>
      <c r="D399" s="9">
        <v>45425</v>
      </c>
      <c r="E399" s="13" t="str">
        <f>+HYPERLINK("http://trademark.i-assist.jp/data/china/image_1887th/76680845.pdf","76680845")</f>
        <v>76680845</v>
      </c>
      <c r="F399" s="7" t="s">
        <v>1103</v>
      </c>
      <c r="G399" s="7" t="s">
        <v>1104</v>
      </c>
      <c r="H399" s="7" t="s">
        <v>1105</v>
      </c>
      <c r="I399" s="9">
        <v>45321</v>
      </c>
    </row>
    <row r="400" spans="1:9" ht="27" x14ac:dyDescent="0.15">
      <c r="A400" s="6">
        <v>399</v>
      </c>
      <c r="B400" s="7" t="s">
        <v>8</v>
      </c>
      <c r="C400" s="8">
        <v>1887</v>
      </c>
      <c r="D400" s="9">
        <v>45425</v>
      </c>
      <c r="E400" s="13" t="str">
        <f>+HYPERLINK("http://trademark.i-assist.jp/data/china/image_1887th/76681319.pdf","76681319")</f>
        <v>76681319</v>
      </c>
      <c r="F400" s="7" t="s">
        <v>1106</v>
      </c>
      <c r="G400" s="7" t="s">
        <v>1107</v>
      </c>
      <c r="H400" s="7" t="s">
        <v>1108</v>
      </c>
      <c r="I400" s="9">
        <v>45321</v>
      </c>
    </row>
    <row r="401" spans="1:9" x14ac:dyDescent="0.15">
      <c r="A401" s="6">
        <v>400</v>
      </c>
      <c r="B401" s="7" t="s">
        <v>8</v>
      </c>
      <c r="C401" s="8">
        <v>1887</v>
      </c>
      <c r="D401" s="9">
        <v>45425</v>
      </c>
      <c r="E401" s="13" t="str">
        <f>+HYPERLINK("http://trademark.i-assist.jp/data/china/image_1887th/76681735.pdf","76681735")</f>
        <v>76681735</v>
      </c>
      <c r="F401" s="7" t="s">
        <v>1109</v>
      </c>
      <c r="G401" s="7" t="s">
        <v>1110</v>
      </c>
      <c r="H401" s="7" t="s">
        <v>1111</v>
      </c>
      <c r="I401" s="9">
        <v>45321</v>
      </c>
    </row>
    <row r="402" spans="1:9" x14ac:dyDescent="0.15">
      <c r="A402" s="6">
        <v>401</v>
      </c>
      <c r="B402" s="7" t="s">
        <v>8</v>
      </c>
      <c r="C402" s="8">
        <v>1887</v>
      </c>
      <c r="D402" s="9">
        <v>45425</v>
      </c>
      <c r="E402" s="13" t="str">
        <f>+HYPERLINK("http://trademark.i-assist.jp/data/china/image_1887th/76686044.pdf","76686044")</f>
        <v>76686044</v>
      </c>
      <c r="F402" s="7" t="s">
        <v>1112</v>
      </c>
      <c r="G402" s="7" t="s">
        <v>1113</v>
      </c>
      <c r="H402" s="7" t="s">
        <v>1114</v>
      </c>
      <c r="I402" s="9">
        <v>45321</v>
      </c>
    </row>
    <row r="403" spans="1:9" ht="27" x14ac:dyDescent="0.15">
      <c r="A403" s="6">
        <v>402</v>
      </c>
      <c r="B403" s="7" t="s">
        <v>8</v>
      </c>
      <c r="C403" s="8">
        <v>1887</v>
      </c>
      <c r="D403" s="9">
        <v>45425</v>
      </c>
      <c r="E403" s="13" t="str">
        <f>+HYPERLINK("http://trademark.i-assist.jp/data/china/image_1887th/76686150.pdf","76686150")</f>
        <v>76686150</v>
      </c>
      <c r="F403" s="7" t="s">
        <v>1115</v>
      </c>
      <c r="G403" s="7" t="s">
        <v>1116</v>
      </c>
      <c r="H403" s="7" t="s">
        <v>1117</v>
      </c>
      <c r="I403" s="9">
        <v>45321</v>
      </c>
    </row>
    <row r="404" spans="1:9" x14ac:dyDescent="0.15">
      <c r="A404" s="6">
        <v>403</v>
      </c>
      <c r="B404" s="7" t="s">
        <v>8</v>
      </c>
      <c r="C404" s="8">
        <v>1887</v>
      </c>
      <c r="D404" s="9">
        <v>45425</v>
      </c>
      <c r="E404" s="13" t="str">
        <f>+HYPERLINK("http://trademark.i-assist.jp/data/china/image_1887th/76686413.pdf","76686413")</f>
        <v>76686413</v>
      </c>
      <c r="F404" s="7" t="s">
        <v>1118</v>
      </c>
      <c r="G404" s="7" t="s">
        <v>1119</v>
      </c>
      <c r="H404" s="7" t="s">
        <v>1120</v>
      </c>
      <c r="I404" s="9">
        <v>45321</v>
      </c>
    </row>
    <row r="405" spans="1:9" x14ac:dyDescent="0.15">
      <c r="A405" s="6">
        <v>404</v>
      </c>
      <c r="B405" s="7" t="s">
        <v>8</v>
      </c>
      <c r="C405" s="8">
        <v>1887</v>
      </c>
      <c r="D405" s="9">
        <v>45425</v>
      </c>
      <c r="E405" s="13" t="str">
        <f>+HYPERLINK("http://trademark.i-assist.jp/data/china/image_1887th/76686565.pdf","76686565")</f>
        <v>76686565</v>
      </c>
      <c r="F405" s="7" t="s">
        <v>54</v>
      </c>
      <c r="G405" s="7" t="s">
        <v>1121</v>
      </c>
      <c r="H405" s="7" t="s">
        <v>1122</v>
      </c>
      <c r="I405" s="9">
        <v>45321</v>
      </c>
    </row>
    <row r="406" spans="1:9" x14ac:dyDescent="0.15">
      <c r="A406" s="6">
        <v>405</v>
      </c>
      <c r="B406" s="7" t="s">
        <v>8</v>
      </c>
      <c r="C406" s="8">
        <v>1887</v>
      </c>
      <c r="D406" s="9">
        <v>45425</v>
      </c>
      <c r="E406" s="13" t="str">
        <f>+HYPERLINK("http://trademark.i-assist.jp/data/china/image_1887th/76686812.pdf","76686812")</f>
        <v>76686812</v>
      </c>
      <c r="F406" s="7" t="s">
        <v>1123</v>
      </c>
      <c r="G406" s="7" t="s">
        <v>1124</v>
      </c>
      <c r="H406" s="7" t="s">
        <v>1125</v>
      </c>
      <c r="I406" s="9">
        <v>45321</v>
      </c>
    </row>
    <row r="407" spans="1:9" x14ac:dyDescent="0.15">
      <c r="A407" s="6">
        <v>406</v>
      </c>
      <c r="B407" s="7" t="s">
        <v>8</v>
      </c>
      <c r="C407" s="8">
        <v>1887</v>
      </c>
      <c r="D407" s="9">
        <v>45425</v>
      </c>
      <c r="E407" s="13" t="str">
        <f>+HYPERLINK("http://trademark.i-assist.jp/data/china/image_1887th/76686830.pdf","76686830")</f>
        <v>76686830</v>
      </c>
      <c r="F407" s="7" t="s">
        <v>1126</v>
      </c>
      <c r="G407" s="7" t="s">
        <v>1124</v>
      </c>
      <c r="H407" s="7" t="s">
        <v>1125</v>
      </c>
      <c r="I407" s="9">
        <v>45321</v>
      </c>
    </row>
    <row r="408" spans="1:9" x14ac:dyDescent="0.15">
      <c r="A408" s="6">
        <v>407</v>
      </c>
      <c r="B408" s="7" t="s">
        <v>8</v>
      </c>
      <c r="C408" s="8">
        <v>1887</v>
      </c>
      <c r="D408" s="9">
        <v>45425</v>
      </c>
      <c r="E408" s="13" t="str">
        <f>+HYPERLINK("http://trademark.i-assist.jp/data/china/image_1887th/76687362.pdf","76687362")</f>
        <v>76687362</v>
      </c>
      <c r="F408" s="7" t="s">
        <v>54</v>
      </c>
      <c r="G408" s="7" t="s">
        <v>1127</v>
      </c>
      <c r="H408" s="7" t="s">
        <v>1128</v>
      </c>
      <c r="I408" s="9">
        <v>45321</v>
      </c>
    </row>
    <row r="409" spans="1:9" x14ac:dyDescent="0.15">
      <c r="A409" s="6">
        <v>408</v>
      </c>
      <c r="B409" s="7" t="s">
        <v>8</v>
      </c>
      <c r="C409" s="8">
        <v>1887</v>
      </c>
      <c r="D409" s="9">
        <v>45425</v>
      </c>
      <c r="E409" s="13" t="str">
        <f>+HYPERLINK("http://trademark.i-assist.jp/data/china/image_1887th/76688384.pdf","76688384")</f>
        <v>76688384</v>
      </c>
      <c r="F409" s="7" t="s">
        <v>1129</v>
      </c>
      <c r="G409" s="7" t="s">
        <v>1130</v>
      </c>
      <c r="H409" s="7" t="s">
        <v>1131</v>
      </c>
      <c r="I409" s="9">
        <v>45321</v>
      </c>
    </row>
    <row r="410" spans="1:9" x14ac:dyDescent="0.15">
      <c r="A410" s="6">
        <v>409</v>
      </c>
      <c r="B410" s="7" t="s">
        <v>8</v>
      </c>
      <c r="C410" s="8">
        <v>1887</v>
      </c>
      <c r="D410" s="9">
        <v>45425</v>
      </c>
      <c r="E410" s="13" t="str">
        <f>+HYPERLINK("http://trademark.i-assist.jp/data/china/image_1887th/76688619.pdf","76688619")</f>
        <v>76688619</v>
      </c>
      <c r="F410" s="7" t="s">
        <v>1132</v>
      </c>
      <c r="G410" s="7" t="s">
        <v>1133</v>
      </c>
      <c r="H410" s="7" t="s">
        <v>1134</v>
      </c>
      <c r="I410" s="9">
        <v>45321</v>
      </c>
    </row>
    <row r="411" spans="1:9" x14ac:dyDescent="0.15">
      <c r="A411" s="6">
        <v>410</v>
      </c>
      <c r="B411" s="7" t="s">
        <v>8</v>
      </c>
      <c r="C411" s="8">
        <v>1887</v>
      </c>
      <c r="D411" s="9">
        <v>45425</v>
      </c>
      <c r="E411" s="13" t="str">
        <f>+HYPERLINK("http://trademark.i-assist.jp/data/china/image_1887th/76688656.pdf","76688656")</f>
        <v>76688656</v>
      </c>
      <c r="F411" s="7" t="s">
        <v>1135</v>
      </c>
      <c r="G411" s="7" t="s">
        <v>1136</v>
      </c>
      <c r="H411" s="7" t="s">
        <v>1137</v>
      </c>
      <c r="I411" s="9">
        <v>45321</v>
      </c>
    </row>
    <row r="412" spans="1:9" x14ac:dyDescent="0.15">
      <c r="A412" s="6">
        <v>411</v>
      </c>
      <c r="B412" s="7" t="s">
        <v>8</v>
      </c>
      <c r="C412" s="8">
        <v>1887</v>
      </c>
      <c r="D412" s="9">
        <v>45425</v>
      </c>
      <c r="E412" s="13" t="str">
        <f>+HYPERLINK("http://trademark.i-assist.jp/data/china/image_1887th/76688852.pdf","76688852")</f>
        <v>76688852</v>
      </c>
      <c r="F412" s="7" t="s">
        <v>1138</v>
      </c>
      <c r="G412" s="7" t="s">
        <v>1139</v>
      </c>
      <c r="H412" s="7" t="s">
        <v>1140</v>
      </c>
      <c r="I412" s="9">
        <v>45321</v>
      </c>
    </row>
    <row r="413" spans="1:9" x14ac:dyDescent="0.15">
      <c r="A413" s="6">
        <v>412</v>
      </c>
      <c r="B413" s="7" t="s">
        <v>8</v>
      </c>
      <c r="C413" s="8">
        <v>1887</v>
      </c>
      <c r="D413" s="9">
        <v>45425</v>
      </c>
      <c r="E413" s="13" t="str">
        <f>+HYPERLINK("http://trademark.i-assist.jp/data/china/image_1887th/76689501.pdf","76689501")</f>
        <v>76689501</v>
      </c>
      <c r="F413" s="7" t="s">
        <v>1141</v>
      </c>
      <c r="G413" s="7" t="s">
        <v>1142</v>
      </c>
      <c r="H413" s="7" t="s">
        <v>1143</v>
      </c>
      <c r="I413" s="9">
        <v>45321</v>
      </c>
    </row>
    <row r="414" spans="1:9" x14ac:dyDescent="0.15">
      <c r="A414" s="6">
        <v>413</v>
      </c>
      <c r="B414" s="7" t="s">
        <v>8</v>
      </c>
      <c r="C414" s="8">
        <v>1887</v>
      </c>
      <c r="D414" s="9">
        <v>45425</v>
      </c>
      <c r="E414" s="13" t="str">
        <f>+HYPERLINK("http://trademark.i-assist.jp/data/china/image_1887th/76689564.pdf","76689564")</f>
        <v>76689564</v>
      </c>
      <c r="F414" s="7" t="s">
        <v>1144</v>
      </c>
      <c r="G414" s="7" t="s">
        <v>1145</v>
      </c>
      <c r="H414" s="7" t="s">
        <v>1146</v>
      </c>
      <c r="I414" s="9">
        <v>45321</v>
      </c>
    </row>
    <row r="415" spans="1:9" x14ac:dyDescent="0.15">
      <c r="A415" s="6">
        <v>414</v>
      </c>
      <c r="B415" s="7" t="s">
        <v>8</v>
      </c>
      <c r="C415" s="8">
        <v>1887</v>
      </c>
      <c r="D415" s="9">
        <v>45425</v>
      </c>
      <c r="E415" s="13" t="str">
        <f>+HYPERLINK("http://trademark.i-assist.jp/data/china/image_1887th/76689765.pdf","76689765")</f>
        <v>76689765</v>
      </c>
      <c r="F415" s="7" t="s">
        <v>1147</v>
      </c>
      <c r="G415" s="7" t="s">
        <v>1148</v>
      </c>
      <c r="H415" s="7" t="s">
        <v>1149</v>
      </c>
      <c r="I415" s="9">
        <v>45321</v>
      </c>
    </row>
    <row r="416" spans="1:9" x14ac:dyDescent="0.15">
      <c r="A416" s="6">
        <v>415</v>
      </c>
      <c r="B416" s="7" t="s">
        <v>8</v>
      </c>
      <c r="C416" s="8">
        <v>1887</v>
      </c>
      <c r="D416" s="9">
        <v>45425</v>
      </c>
      <c r="E416" s="13" t="str">
        <f>+HYPERLINK("http://trademark.i-assist.jp/data/china/image_1887th/76690362.pdf","76690362")</f>
        <v>76690362</v>
      </c>
      <c r="F416" s="7" t="s">
        <v>1150</v>
      </c>
      <c r="G416" s="7" t="s">
        <v>1151</v>
      </c>
      <c r="H416" s="7" t="s">
        <v>1152</v>
      </c>
      <c r="I416" s="9">
        <v>45321</v>
      </c>
    </row>
    <row r="417" spans="1:9" x14ac:dyDescent="0.15">
      <c r="A417" s="6">
        <v>416</v>
      </c>
      <c r="B417" s="7" t="s">
        <v>8</v>
      </c>
      <c r="C417" s="8">
        <v>1887</v>
      </c>
      <c r="D417" s="9">
        <v>45425</v>
      </c>
      <c r="E417" s="13" t="str">
        <f>+HYPERLINK("http://trademark.i-assist.jp/data/china/image_1887th/76690750.pdf","76690750")</f>
        <v>76690750</v>
      </c>
      <c r="F417" s="7" t="s">
        <v>1153</v>
      </c>
      <c r="G417" s="7" t="s">
        <v>1124</v>
      </c>
      <c r="H417" s="7" t="s">
        <v>1125</v>
      </c>
      <c r="I417" s="9">
        <v>45321</v>
      </c>
    </row>
    <row r="418" spans="1:9" x14ac:dyDescent="0.15">
      <c r="A418" s="6">
        <v>417</v>
      </c>
      <c r="B418" s="7" t="s">
        <v>8</v>
      </c>
      <c r="C418" s="8">
        <v>1887</v>
      </c>
      <c r="D418" s="9">
        <v>45425</v>
      </c>
      <c r="E418" s="13" t="str">
        <f>+HYPERLINK("http://trademark.i-assist.jp/data/china/image_1887th/76691715.pdf","76691715")</f>
        <v>76691715</v>
      </c>
      <c r="F418" s="7" t="s">
        <v>1154</v>
      </c>
      <c r="G418" s="7" t="s">
        <v>1155</v>
      </c>
      <c r="H418" s="7" t="s">
        <v>1156</v>
      </c>
      <c r="I418" s="9">
        <v>45321</v>
      </c>
    </row>
    <row r="419" spans="1:9" x14ac:dyDescent="0.15">
      <c r="A419" s="6">
        <v>418</v>
      </c>
      <c r="B419" s="7" t="s">
        <v>8</v>
      </c>
      <c r="C419" s="8">
        <v>1887</v>
      </c>
      <c r="D419" s="9">
        <v>45425</v>
      </c>
      <c r="E419" s="13" t="str">
        <f>+HYPERLINK("http://trademark.i-assist.jp/data/china/image_1887th/76691819.pdf","76691819")</f>
        <v>76691819</v>
      </c>
      <c r="F419" s="7" t="s">
        <v>1157</v>
      </c>
      <c r="G419" s="7" t="s">
        <v>1158</v>
      </c>
      <c r="H419" s="7" t="s">
        <v>1159</v>
      </c>
      <c r="I419" s="9">
        <v>45321</v>
      </c>
    </row>
    <row r="420" spans="1:9" x14ac:dyDescent="0.15">
      <c r="A420" s="6">
        <v>419</v>
      </c>
      <c r="B420" s="7" t="s">
        <v>8</v>
      </c>
      <c r="C420" s="8">
        <v>1887</v>
      </c>
      <c r="D420" s="9">
        <v>45425</v>
      </c>
      <c r="E420" s="13" t="str">
        <f>+HYPERLINK("http://trademark.i-assist.jp/data/china/image_1887th/76691869.pdf","76691869")</f>
        <v>76691869</v>
      </c>
      <c r="F420" s="7" t="s">
        <v>1160</v>
      </c>
      <c r="G420" s="7" t="s">
        <v>1161</v>
      </c>
      <c r="H420" s="7" t="s">
        <v>1162</v>
      </c>
      <c r="I420" s="9">
        <v>45321</v>
      </c>
    </row>
    <row r="421" spans="1:9" x14ac:dyDescent="0.15">
      <c r="A421" s="6">
        <v>420</v>
      </c>
      <c r="B421" s="7" t="s">
        <v>8</v>
      </c>
      <c r="C421" s="8">
        <v>1887</v>
      </c>
      <c r="D421" s="9">
        <v>45425</v>
      </c>
      <c r="E421" s="13" t="str">
        <f>+HYPERLINK("http://trademark.i-assist.jp/data/china/image_1887th/76691982.pdf","76691982")</f>
        <v>76691982</v>
      </c>
      <c r="F421" s="7" t="s">
        <v>1163</v>
      </c>
      <c r="G421" s="7" t="s">
        <v>1124</v>
      </c>
      <c r="H421" s="7" t="s">
        <v>1125</v>
      </c>
      <c r="I421" s="9">
        <v>45321</v>
      </c>
    </row>
    <row r="422" spans="1:9" x14ac:dyDescent="0.15">
      <c r="A422" s="6">
        <v>421</v>
      </c>
      <c r="B422" s="7" t="s">
        <v>8</v>
      </c>
      <c r="C422" s="8">
        <v>1887</v>
      </c>
      <c r="D422" s="9">
        <v>45425</v>
      </c>
      <c r="E422" s="13" t="str">
        <f>+HYPERLINK("http://trademark.i-assist.jp/data/china/image_1887th/76692038.pdf","76692038")</f>
        <v>76692038</v>
      </c>
      <c r="F422" s="7" t="s">
        <v>1164</v>
      </c>
      <c r="G422" s="7" t="s">
        <v>1165</v>
      </c>
      <c r="H422" s="7" t="s">
        <v>1166</v>
      </c>
      <c r="I422" s="9">
        <v>45321</v>
      </c>
    </row>
    <row r="423" spans="1:9" ht="27" x14ac:dyDescent="0.15">
      <c r="A423" s="6">
        <v>422</v>
      </c>
      <c r="B423" s="7" t="s">
        <v>8</v>
      </c>
      <c r="C423" s="8">
        <v>1887</v>
      </c>
      <c r="D423" s="9">
        <v>45425</v>
      </c>
      <c r="E423" s="13" t="str">
        <f>+HYPERLINK("http://trademark.i-assist.jp/data/china/image_1887th/76692294.pdf","76692294")</f>
        <v>76692294</v>
      </c>
      <c r="F423" s="7" t="s">
        <v>1167</v>
      </c>
      <c r="G423" s="7" t="s">
        <v>1168</v>
      </c>
      <c r="H423" s="7" t="s">
        <v>1169</v>
      </c>
      <c r="I423" s="9">
        <v>45321</v>
      </c>
    </row>
    <row r="424" spans="1:9" x14ac:dyDescent="0.15">
      <c r="A424" s="6">
        <v>423</v>
      </c>
      <c r="B424" s="7" t="s">
        <v>8</v>
      </c>
      <c r="C424" s="8">
        <v>1887</v>
      </c>
      <c r="D424" s="9">
        <v>45425</v>
      </c>
      <c r="E424" s="13" t="str">
        <f>+HYPERLINK("http://trademark.i-assist.jp/data/china/image_1887th/76692408.pdf","76692408")</f>
        <v>76692408</v>
      </c>
      <c r="F424" s="7" t="s">
        <v>1170</v>
      </c>
      <c r="G424" s="7" t="s">
        <v>1171</v>
      </c>
      <c r="H424" s="7" t="s">
        <v>1172</v>
      </c>
      <c r="I424" s="9">
        <v>45321</v>
      </c>
    </row>
    <row r="425" spans="1:9" x14ac:dyDescent="0.15">
      <c r="A425" s="6">
        <v>424</v>
      </c>
      <c r="B425" s="7" t="s">
        <v>8</v>
      </c>
      <c r="C425" s="8">
        <v>1887</v>
      </c>
      <c r="D425" s="9">
        <v>45425</v>
      </c>
      <c r="E425" s="13" t="str">
        <f>+HYPERLINK("http://trademark.i-assist.jp/data/china/image_1887th/76692415.pdf","76692415")</f>
        <v>76692415</v>
      </c>
      <c r="F425" s="7" t="s">
        <v>1173</v>
      </c>
      <c r="G425" s="7" t="s">
        <v>1174</v>
      </c>
      <c r="H425" s="7" t="s">
        <v>1175</v>
      </c>
      <c r="I425" s="9">
        <v>45321</v>
      </c>
    </row>
    <row r="426" spans="1:9" x14ac:dyDescent="0.15">
      <c r="A426" s="6">
        <v>425</v>
      </c>
      <c r="B426" s="7" t="s">
        <v>8</v>
      </c>
      <c r="C426" s="8">
        <v>1887</v>
      </c>
      <c r="D426" s="9">
        <v>45425</v>
      </c>
      <c r="E426" s="13" t="str">
        <f>+HYPERLINK("http://trademark.i-assist.jp/data/china/image_1887th/76692662.pdf","76692662")</f>
        <v>76692662</v>
      </c>
      <c r="F426" s="7" t="s">
        <v>1176</v>
      </c>
      <c r="G426" s="7" t="s">
        <v>1177</v>
      </c>
      <c r="H426" s="7" t="s">
        <v>1178</v>
      </c>
      <c r="I426" s="9">
        <v>45321</v>
      </c>
    </row>
    <row r="427" spans="1:9" x14ac:dyDescent="0.15">
      <c r="A427" s="6">
        <v>426</v>
      </c>
      <c r="B427" s="7" t="s">
        <v>8</v>
      </c>
      <c r="C427" s="8">
        <v>1887</v>
      </c>
      <c r="D427" s="9">
        <v>45425</v>
      </c>
      <c r="E427" s="13" t="str">
        <f>+HYPERLINK("http://trademark.i-assist.jp/data/china/image_1887th/76692996.pdf","76692996")</f>
        <v>76692996</v>
      </c>
      <c r="F427" s="7" t="s">
        <v>1179</v>
      </c>
      <c r="G427" s="7" t="s">
        <v>1180</v>
      </c>
      <c r="H427" s="7" t="s">
        <v>1181</v>
      </c>
      <c r="I427" s="9">
        <v>45321</v>
      </c>
    </row>
    <row r="428" spans="1:9" x14ac:dyDescent="0.15">
      <c r="A428" s="6">
        <v>427</v>
      </c>
      <c r="B428" s="7" t="s">
        <v>8</v>
      </c>
      <c r="C428" s="8">
        <v>1887</v>
      </c>
      <c r="D428" s="9">
        <v>45425</v>
      </c>
      <c r="E428" s="13" t="str">
        <f>+HYPERLINK("http://trademark.i-assist.jp/data/china/image_1887th/76693029.pdf","76693029")</f>
        <v>76693029</v>
      </c>
      <c r="F428" s="7" t="s">
        <v>1182</v>
      </c>
      <c r="G428" s="7" t="s">
        <v>1183</v>
      </c>
      <c r="H428" s="7" t="s">
        <v>1184</v>
      </c>
      <c r="I428" s="9">
        <v>45321</v>
      </c>
    </row>
    <row r="429" spans="1:9" x14ac:dyDescent="0.15">
      <c r="A429" s="6">
        <v>428</v>
      </c>
      <c r="B429" s="7" t="s">
        <v>8</v>
      </c>
      <c r="C429" s="8">
        <v>1887</v>
      </c>
      <c r="D429" s="9">
        <v>45425</v>
      </c>
      <c r="E429" s="13" t="str">
        <f>+HYPERLINK("http://trademark.i-assist.jp/data/china/image_1887th/76693411.pdf","76693411")</f>
        <v>76693411</v>
      </c>
      <c r="F429" s="7" t="s">
        <v>54</v>
      </c>
      <c r="G429" s="7" t="s">
        <v>1185</v>
      </c>
      <c r="H429" s="7" t="s">
        <v>1186</v>
      </c>
      <c r="I429" s="9">
        <v>45321</v>
      </c>
    </row>
    <row r="430" spans="1:9" x14ac:dyDescent="0.15">
      <c r="A430" s="6">
        <v>429</v>
      </c>
      <c r="B430" s="7" t="s">
        <v>8</v>
      </c>
      <c r="C430" s="8">
        <v>1887</v>
      </c>
      <c r="D430" s="9">
        <v>45425</v>
      </c>
      <c r="E430" s="13" t="str">
        <f>+HYPERLINK("http://trademark.i-assist.jp/data/china/image_1887th/76693561.pdf","76693561")</f>
        <v>76693561</v>
      </c>
      <c r="F430" s="7" t="s">
        <v>1187</v>
      </c>
      <c r="G430" s="7" t="s">
        <v>1188</v>
      </c>
      <c r="H430" s="7" t="s">
        <v>1189</v>
      </c>
      <c r="I430" s="9">
        <v>45321</v>
      </c>
    </row>
    <row r="431" spans="1:9" x14ac:dyDescent="0.15">
      <c r="A431" s="6">
        <v>430</v>
      </c>
      <c r="B431" s="7" t="s">
        <v>8</v>
      </c>
      <c r="C431" s="8">
        <v>1887</v>
      </c>
      <c r="D431" s="9">
        <v>45425</v>
      </c>
      <c r="E431" s="13" t="str">
        <f>+HYPERLINK("http://trademark.i-assist.jp/data/china/image_1887th/76694032.pdf","76694032")</f>
        <v>76694032</v>
      </c>
      <c r="F431" s="7" t="s">
        <v>1190</v>
      </c>
      <c r="G431" s="7" t="s">
        <v>1191</v>
      </c>
      <c r="H431" s="7" t="s">
        <v>1192</v>
      </c>
      <c r="I431" s="9">
        <v>45321</v>
      </c>
    </row>
    <row r="432" spans="1:9" x14ac:dyDescent="0.15">
      <c r="A432" s="6">
        <v>431</v>
      </c>
      <c r="B432" s="7" t="s">
        <v>8</v>
      </c>
      <c r="C432" s="8">
        <v>1887</v>
      </c>
      <c r="D432" s="9">
        <v>45425</v>
      </c>
      <c r="E432" s="13" t="str">
        <f>+HYPERLINK("http://trademark.i-assist.jp/data/china/image_1887th/76694420.pdf","76694420")</f>
        <v>76694420</v>
      </c>
      <c r="F432" s="7" t="s">
        <v>1193</v>
      </c>
      <c r="G432" s="7" t="s">
        <v>1194</v>
      </c>
      <c r="H432" s="7" t="s">
        <v>1195</v>
      </c>
      <c r="I432" s="9">
        <v>45321</v>
      </c>
    </row>
    <row r="433" spans="1:9" x14ac:dyDescent="0.15">
      <c r="A433" s="6">
        <v>432</v>
      </c>
      <c r="B433" s="7" t="s">
        <v>8</v>
      </c>
      <c r="C433" s="8">
        <v>1887</v>
      </c>
      <c r="D433" s="9">
        <v>45425</v>
      </c>
      <c r="E433" s="13" t="str">
        <f>+HYPERLINK("http://trademark.i-assist.jp/data/china/image_1887th/76694657.pdf","76694657")</f>
        <v>76694657</v>
      </c>
      <c r="F433" s="7" t="s">
        <v>1196</v>
      </c>
      <c r="G433" s="7" t="s">
        <v>1197</v>
      </c>
      <c r="H433" s="7" t="s">
        <v>1198</v>
      </c>
      <c r="I433" s="9">
        <v>45321</v>
      </c>
    </row>
    <row r="434" spans="1:9" x14ac:dyDescent="0.15">
      <c r="A434" s="6">
        <v>433</v>
      </c>
      <c r="B434" s="7" t="s">
        <v>8</v>
      </c>
      <c r="C434" s="8">
        <v>1887</v>
      </c>
      <c r="D434" s="9">
        <v>45425</v>
      </c>
      <c r="E434" s="13" t="str">
        <f>+HYPERLINK("http://trademark.i-assist.jp/data/china/image_1887th/76694837.pdf","76694837")</f>
        <v>76694837</v>
      </c>
      <c r="F434" s="7" t="s">
        <v>1199</v>
      </c>
      <c r="G434" s="7" t="s">
        <v>1200</v>
      </c>
      <c r="H434" s="7" t="s">
        <v>1201</v>
      </c>
      <c r="I434" s="9">
        <v>45321</v>
      </c>
    </row>
    <row r="435" spans="1:9" x14ac:dyDescent="0.15">
      <c r="A435" s="6">
        <v>434</v>
      </c>
      <c r="B435" s="7" t="s">
        <v>8</v>
      </c>
      <c r="C435" s="8">
        <v>1887</v>
      </c>
      <c r="D435" s="9">
        <v>45425</v>
      </c>
      <c r="E435" s="13" t="str">
        <f>+HYPERLINK("http://trademark.i-assist.jp/data/china/image_1887th/76695828.pdf","76695828")</f>
        <v>76695828</v>
      </c>
      <c r="F435" s="7" t="s">
        <v>1202</v>
      </c>
      <c r="G435" s="7" t="s">
        <v>1203</v>
      </c>
      <c r="H435" s="7" t="s">
        <v>1204</v>
      </c>
      <c r="I435" s="9">
        <v>45321</v>
      </c>
    </row>
    <row r="436" spans="1:9" x14ac:dyDescent="0.15">
      <c r="A436" s="6">
        <v>435</v>
      </c>
      <c r="B436" s="7" t="s">
        <v>8</v>
      </c>
      <c r="C436" s="8">
        <v>1887</v>
      </c>
      <c r="D436" s="9">
        <v>45425</v>
      </c>
      <c r="E436" s="13" t="str">
        <f>+HYPERLINK("http://trademark.i-assist.jp/data/china/image_1887th/76695875.pdf","76695875")</f>
        <v>76695875</v>
      </c>
      <c r="F436" s="7" t="s">
        <v>1205</v>
      </c>
      <c r="G436" s="7" t="s">
        <v>1206</v>
      </c>
      <c r="H436" s="7" t="s">
        <v>1207</v>
      </c>
      <c r="I436" s="9">
        <v>45321</v>
      </c>
    </row>
    <row r="437" spans="1:9" x14ac:dyDescent="0.15">
      <c r="A437" s="6">
        <v>436</v>
      </c>
      <c r="B437" s="7" t="s">
        <v>8</v>
      </c>
      <c r="C437" s="8">
        <v>1887</v>
      </c>
      <c r="D437" s="9">
        <v>45425</v>
      </c>
      <c r="E437" s="13" t="str">
        <f>+HYPERLINK("http://trademark.i-assist.jp/data/china/image_1887th/76696352.pdf","76696352")</f>
        <v>76696352</v>
      </c>
      <c r="F437" s="7" t="s">
        <v>54</v>
      </c>
      <c r="G437" s="7" t="s">
        <v>1185</v>
      </c>
      <c r="H437" s="7" t="s">
        <v>1186</v>
      </c>
      <c r="I437" s="9">
        <v>45321</v>
      </c>
    </row>
    <row r="438" spans="1:9" x14ac:dyDescent="0.15">
      <c r="A438" s="6">
        <v>437</v>
      </c>
      <c r="B438" s="7" t="s">
        <v>8</v>
      </c>
      <c r="C438" s="8">
        <v>1887</v>
      </c>
      <c r="D438" s="9">
        <v>45425</v>
      </c>
      <c r="E438" s="13" t="str">
        <f>+HYPERLINK("http://trademark.i-assist.jp/data/china/image_1887th/76696434.pdf","76696434")</f>
        <v>76696434</v>
      </c>
      <c r="F438" s="7" t="s">
        <v>1208</v>
      </c>
      <c r="G438" s="7" t="s">
        <v>1209</v>
      </c>
      <c r="H438" s="7" t="s">
        <v>1210</v>
      </c>
      <c r="I438" s="9">
        <v>45321</v>
      </c>
    </row>
    <row r="439" spans="1:9" x14ac:dyDescent="0.15">
      <c r="A439" s="6">
        <v>438</v>
      </c>
      <c r="B439" s="7" t="s">
        <v>8</v>
      </c>
      <c r="C439" s="8">
        <v>1887</v>
      </c>
      <c r="D439" s="9">
        <v>45425</v>
      </c>
      <c r="E439" s="13" t="str">
        <f>+HYPERLINK("http://trademark.i-assist.jp/data/china/image_1887th/76696640.pdf","76696640")</f>
        <v>76696640</v>
      </c>
      <c r="F439" s="7" t="s">
        <v>1211</v>
      </c>
      <c r="G439" s="7" t="s">
        <v>1212</v>
      </c>
      <c r="H439" s="7" t="s">
        <v>1213</v>
      </c>
      <c r="I439" s="9">
        <v>45321</v>
      </c>
    </row>
    <row r="440" spans="1:9" x14ac:dyDescent="0.15">
      <c r="A440" s="6">
        <v>439</v>
      </c>
      <c r="B440" s="7" t="s">
        <v>8</v>
      </c>
      <c r="C440" s="8">
        <v>1887</v>
      </c>
      <c r="D440" s="9">
        <v>45425</v>
      </c>
      <c r="E440" s="13" t="str">
        <f>+HYPERLINK("http://trademark.i-assist.jp/data/china/image_1887th/76696719.pdf","76696719")</f>
        <v>76696719</v>
      </c>
      <c r="F440" s="7" t="s">
        <v>1214</v>
      </c>
      <c r="G440" s="7" t="s">
        <v>1215</v>
      </c>
      <c r="H440" s="7" t="s">
        <v>1216</v>
      </c>
      <c r="I440" s="9">
        <v>45321</v>
      </c>
    </row>
    <row r="441" spans="1:9" ht="27" x14ac:dyDescent="0.15">
      <c r="A441" s="6">
        <v>440</v>
      </c>
      <c r="B441" s="7" t="s">
        <v>8</v>
      </c>
      <c r="C441" s="8">
        <v>1887</v>
      </c>
      <c r="D441" s="9">
        <v>45425</v>
      </c>
      <c r="E441" s="13" t="str">
        <f>+HYPERLINK("http://trademark.i-assist.jp/data/china/image_1887th/76696974.pdf","76696974")</f>
        <v>76696974</v>
      </c>
      <c r="F441" s="7" t="s">
        <v>1217</v>
      </c>
      <c r="G441" s="7" t="s">
        <v>1218</v>
      </c>
      <c r="H441" s="7" t="s">
        <v>1219</v>
      </c>
      <c r="I441" s="9">
        <v>45321</v>
      </c>
    </row>
    <row r="442" spans="1:9" x14ac:dyDescent="0.15">
      <c r="A442" s="6">
        <v>441</v>
      </c>
      <c r="B442" s="7" t="s">
        <v>8</v>
      </c>
      <c r="C442" s="8">
        <v>1887</v>
      </c>
      <c r="D442" s="9">
        <v>45425</v>
      </c>
      <c r="E442" s="13" t="str">
        <f>+HYPERLINK("http://trademark.i-assist.jp/data/china/image_1887th/76697318.pdf","76697318")</f>
        <v>76697318</v>
      </c>
      <c r="F442" s="7" t="s">
        <v>1220</v>
      </c>
      <c r="G442" s="7" t="s">
        <v>1221</v>
      </c>
      <c r="H442" s="7" t="s">
        <v>1222</v>
      </c>
      <c r="I442" s="9">
        <v>45321</v>
      </c>
    </row>
    <row r="443" spans="1:9" x14ac:dyDescent="0.15">
      <c r="A443" s="6">
        <v>442</v>
      </c>
      <c r="B443" s="7" t="s">
        <v>8</v>
      </c>
      <c r="C443" s="8">
        <v>1887</v>
      </c>
      <c r="D443" s="9">
        <v>45425</v>
      </c>
      <c r="E443" s="13" t="str">
        <f>+HYPERLINK("http://trademark.i-assist.jp/data/china/image_1887th/76697595.pdf","76697595")</f>
        <v>76697595</v>
      </c>
      <c r="F443" s="7" t="s">
        <v>1160</v>
      </c>
      <c r="G443" s="7" t="s">
        <v>1161</v>
      </c>
      <c r="H443" s="7" t="s">
        <v>1162</v>
      </c>
      <c r="I443" s="9">
        <v>45321</v>
      </c>
    </row>
    <row r="444" spans="1:9" x14ac:dyDescent="0.15">
      <c r="A444" s="6">
        <v>443</v>
      </c>
      <c r="B444" s="7" t="s">
        <v>8</v>
      </c>
      <c r="C444" s="8">
        <v>1887</v>
      </c>
      <c r="D444" s="9">
        <v>45425</v>
      </c>
      <c r="E444" s="13" t="str">
        <f>+HYPERLINK("http://trademark.i-assist.jp/data/china/image_1887th/76697709.pdf","76697709")</f>
        <v>76697709</v>
      </c>
      <c r="F444" s="7" t="s">
        <v>1223</v>
      </c>
      <c r="G444" s="7" t="s">
        <v>1113</v>
      </c>
      <c r="H444" s="7" t="s">
        <v>1224</v>
      </c>
      <c r="I444" s="9">
        <v>45321</v>
      </c>
    </row>
    <row r="445" spans="1:9" x14ac:dyDescent="0.15">
      <c r="A445" s="6">
        <v>444</v>
      </c>
      <c r="B445" s="7" t="s">
        <v>8</v>
      </c>
      <c r="C445" s="8">
        <v>1887</v>
      </c>
      <c r="D445" s="9">
        <v>45425</v>
      </c>
      <c r="E445" s="13" t="str">
        <f>+HYPERLINK("http://trademark.i-assist.jp/data/china/image_1887th/76698291.pdf","76698291")</f>
        <v>76698291</v>
      </c>
      <c r="F445" s="7" t="s">
        <v>1160</v>
      </c>
      <c r="G445" s="7" t="s">
        <v>1161</v>
      </c>
      <c r="H445" s="7" t="s">
        <v>1162</v>
      </c>
      <c r="I445" s="9">
        <v>45321</v>
      </c>
    </row>
    <row r="446" spans="1:9" x14ac:dyDescent="0.15">
      <c r="A446" s="6">
        <v>445</v>
      </c>
      <c r="B446" s="7" t="s">
        <v>8</v>
      </c>
      <c r="C446" s="8">
        <v>1887</v>
      </c>
      <c r="D446" s="9">
        <v>45425</v>
      </c>
      <c r="E446" s="13" t="str">
        <f>+HYPERLINK("http://trademark.i-assist.jp/data/china/image_1887th/76698333.pdf","76698333")</f>
        <v>76698333</v>
      </c>
      <c r="F446" s="7" t="s">
        <v>1225</v>
      </c>
      <c r="G446" s="7" t="s">
        <v>1226</v>
      </c>
      <c r="H446" s="7" t="s">
        <v>1227</v>
      </c>
      <c r="I446" s="9">
        <v>45321</v>
      </c>
    </row>
    <row r="447" spans="1:9" x14ac:dyDescent="0.15">
      <c r="A447" s="6">
        <v>446</v>
      </c>
      <c r="B447" s="7" t="s">
        <v>8</v>
      </c>
      <c r="C447" s="8">
        <v>1887</v>
      </c>
      <c r="D447" s="9">
        <v>45425</v>
      </c>
      <c r="E447" s="13" t="str">
        <f>+HYPERLINK("http://trademark.i-assist.jp/data/china/image_1887th/76698390.pdf","76698390")</f>
        <v>76698390</v>
      </c>
      <c r="F447" s="7" t="s">
        <v>1228</v>
      </c>
      <c r="G447" s="7" t="s">
        <v>1229</v>
      </c>
      <c r="H447" s="7" t="s">
        <v>1230</v>
      </c>
      <c r="I447" s="9">
        <v>45321</v>
      </c>
    </row>
    <row r="448" spans="1:9" x14ac:dyDescent="0.15">
      <c r="A448" s="6">
        <v>447</v>
      </c>
      <c r="B448" s="7" t="s">
        <v>8</v>
      </c>
      <c r="C448" s="8">
        <v>1887</v>
      </c>
      <c r="D448" s="9">
        <v>45425</v>
      </c>
      <c r="E448" s="13" t="str">
        <f>+HYPERLINK("http://trademark.i-assist.jp/data/china/image_1887th/76698559.pdf","76698559")</f>
        <v>76698559</v>
      </c>
      <c r="F448" s="7" t="s">
        <v>1231</v>
      </c>
      <c r="G448" s="7" t="s">
        <v>1232</v>
      </c>
      <c r="H448" s="7" t="s">
        <v>1233</v>
      </c>
      <c r="I448" s="9">
        <v>45322</v>
      </c>
    </row>
    <row r="449" spans="1:9" x14ac:dyDescent="0.15">
      <c r="A449" s="6">
        <v>448</v>
      </c>
      <c r="B449" s="7" t="s">
        <v>8</v>
      </c>
      <c r="C449" s="8">
        <v>1887</v>
      </c>
      <c r="D449" s="9">
        <v>45425</v>
      </c>
      <c r="E449" s="13" t="str">
        <f>+HYPERLINK("http://trademark.i-assist.jp/data/china/image_1887th/76699371.pdf","76699371")</f>
        <v>76699371</v>
      </c>
      <c r="F449" s="7" t="s">
        <v>1234</v>
      </c>
      <c r="G449" s="7" t="s">
        <v>1235</v>
      </c>
      <c r="H449" s="7" t="s">
        <v>1236</v>
      </c>
      <c r="I449" s="9">
        <v>45322</v>
      </c>
    </row>
    <row r="450" spans="1:9" x14ac:dyDescent="0.15">
      <c r="A450" s="6">
        <v>449</v>
      </c>
      <c r="B450" s="7" t="s">
        <v>8</v>
      </c>
      <c r="C450" s="8">
        <v>1887</v>
      </c>
      <c r="D450" s="9">
        <v>45425</v>
      </c>
      <c r="E450" s="13" t="str">
        <f>+HYPERLINK("http://trademark.i-assist.jp/data/china/image_1887th/76699529.pdf","76699529")</f>
        <v>76699529</v>
      </c>
      <c r="F450" s="7" t="s">
        <v>54</v>
      </c>
      <c r="G450" s="7" t="s">
        <v>1237</v>
      </c>
      <c r="H450" s="7" t="s">
        <v>349</v>
      </c>
      <c r="I450" s="9">
        <v>45322</v>
      </c>
    </row>
    <row r="451" spans="1:9" x14ac:dyDescent="0.15">
      <c r="A451" s="6">
        <v>450</v>
      </c>
      <c r="B451" s="7" t="s">
        <v>8</v>
      </c>
      <c r="C451" s="8">
        <v>1887</v>
      </c>
      <c r="D451" s="9">
        <v>45425</v>
      </c>
      <c r="E451" s="13" t="str">
        <f>+HYPERLINK("http://trademark.i-assist.jp/data/china/image_1887th/76699631.pdf","76699631")</f>
        <v>76699631</v>
      </c>
      <c r="F451" s="7" t="s">
        <v>1238</v>
      </c>
      <c r="G451" s="7" t="s">
        <v>1239</v>
      </c>
      <c r="H451" s="7" t="s">
        <v>1240</v>
      </c>
      <c r="I451" s="9">
        <v>45322</v>
      </c>
    </row>
    <row r="452" spans="1:9" x14ac:dyDescent="0.15">
      <c r="A452" s="6">
        <v>451</v>
      </c>
      <c r="B452" s="7" t="s">
        <v>8</v>
      </c>
      <c r="C452" s="8">
        <v>1887</v>
      </c>
      <c r="D452" s="9">
        <v>45425</v>
      </c>
      <c r="E452" s="13" t="str">
        <f>+HYPERLINK("http://trademark.i-assist.jp/data/china/image_1887th/76700405.pdf","76700405")</f>
        <v>76700405</v>
      </c>
      <c r="F452" s="7" t="s">
        <v>1241</v>
      </c>
      <c r="G452" s="7" t="s">
        <v>1242</v>
      </c>
      <c r="H452" s="7" t="s">
        <v>1243</v>
      </c>
      <c r="I452" s="9">
        <v>45322</v>
      </c>
    </row>
    <row r="453" spans="1:9" x14ac:dyDescent="0.15">
      <c r="A453" s="6">
        <v>452</v>
      </c>
      <c r="B453" s="7" t="s">
        <v>8</v>
      </c>
      <c r="C453" s="8">
        <v>1887</v>
      </c>
      <c r="D453" s="9">
        <v>45425</v>
      </c>
      <c r="E453" s="13" t="str">
        <f>+HYPERLINK("http://trademark.i-assist.jp/data/china/image_1887th/76700787.pdf","76700787")</f>
        <v>76700787</v>
      </c>
      <c r="F453" s="7" t="s">
        <v>1244</v>
      </c>
      <c r="G453" s="7" t="s">
        <v>1245</v>
      </c>
      <c r="H453" s="7" t="s">
        <v>1246</v>
      </c>
      <c r="I453" s="9">
        <v>45322</v>
      </c>
    </row>
    <row r="454" spans="1:9" ht="27" x14ac:dyDescent="0.15">
      <c r="A454" s="6">
        <v>453</v>
      </c>
      <c r="B454" s="7" t="s">
        <v>8</v>
      </c>
      <c r="C454" s="8">
        <v>1887</v>
      </c>
      <c r="D454" s="9">
        <v>45425</v>
      </c>
      <c r="E454" s="13" t="str">
        <f>+HYPERLINK("http://trademark.i-assist.jp/data/china/image_1887th/76701079.pdf","76701079")</f>
        <v>76701079</v>
      </c>
      <c r="F454" s="7" t="s">
        <v>1247</v>
      </c>
      <c r="G454" s="7" t="s">
        <v>1248</v>
      </c>
      <c r="H454" s="7" t="s">
        <v>1249</v>
      </c>
      <c r="I454" s="9">
        <v>45322</v>
      </c>
    </row>
    <row r="455" spans="1:9" x14ac:dyDescent="0.15">
      <c r="A455" s="6">
        <v>454</v>
      </c>
      <c r="B455" s="7" t="s">
        <v>8</v>
      </c>
      <c r="C455" s="8">
        <v>1887</v>
      </c>
      <c r="D455" s="9">
        <v>45425</v>
      </c>
      <c r="E455" s="13" t="str">
        <f>+HYPERLINK("http://trademark.i-assist.jp/data/china/image_1887th/76701848.pdf","76701848")</f>
        <v>76701848</v>
      </c>
      <c r="F455" s="7" t="s">
        <v>1250</v>
      </c>
      <c r="G455" s="7" t="s">
        <v>1251</v>
      </c>
      <c r="H455" s="7" t="s">
        <v>1252</v>
      </c>
      <c r="I455" s="9">
        <v>45322</v>
      </c>
    </row>
    <row r="456" spans="1:9" ht="27" x14ac:dyDescent="0.15">
      <c r="A456" s="6">
        <v>455</v>
      </c>
      <c r="B456" s="7" t="s">
        <v>8</v>
      </c>
      <c r="C456" s="8">
        <v>1887</v>
      </c>
      <c r="D456" s="9">
        <v>45425</v>
      </c>
      <c r="E456" s="13" t="str">
        <f>+HYPERLINK("http://trademark.i-assist.jp/data/china/image_1887th/76703110.pdf","76703110")</f>
        <v>76703110</v>
      </c>
      <c r="F456" s="7" t="s">
        <v>54</v>
      </c>
      <c r="G456" s="7" t="s">
        <v>1253</v>
      </c>
      <c r="H456" s="7" t="s">
        <v>1254</v>
      </c>
      <c r="I456" s="9">
        <v>45322</v>
      </c>
    </row>
    <row r="457" spans="1:9" x14ac:dyDescent="0.15">
      <c r="A457" s="6">
        <v>456</v>
      </c>
      <c r="B457" s="7" t="s">
        <v>8</v>
      </c>
      <c r="C457" s="8">
        <v>1887</v>
      </c>
      <c r="D457" s="9">
        <v>45425</v>
      </c>
      <c r="E457" s="13" t="str">
        <f>+HYPERLINK("http://trademark.i-assist.jp/data/china/image_1887th/76703689.pdf","76703689")</f>
        <v>76703689</v>
      </c>
      <c r="F457" s="7" t="s">
        <v>1255</v>
      </c>
      <c r="G457" s="7" t="s">
        <v>1256</v>
      </c>
      <c r="H457" s="7" t="s">
        <v>1099</v>
      </c>
      <c r="I457" s="9">
        <v>45322</v>
      </c>
    </row>
    <row r="458" spans="1:9" x14ac:dyDescent="0.15">
      <c r="A458" s="6">
        <v>457</v>
      </c>
      <c r="B458" s="7" t="s">
        <v>8</v>
      </c>
      <c r="C458" s="8">
        <v>1887</v>
      </c>
      <c r="D458" s="9">
        <v>45425</v>
      </c>
      <c r="E458" s="13" t="str">
        <f>+HYPERLINK("http://trademark.i-assist.jp/data/china/image_1887th/76704116.pdf","76704116")</f>
        <v>76704116</v>
      </c>
      <c r="F458" s="7" t="s">
        <v>1257</v>
      </c>
      <c r="G458" s="7" t="s">
        <v>1258</v>
      </c>
      <c r="H458" s="7" t="s">
        <v>1259</v>
      </c>
      <c r="I458" s="9">
        <v>45322</v>
      </c>
    </row>
    <row r="459" spans="1:9" x14ac:dyDescent="0.15">
      <c r="A459" s="6">
        <v>458</v>
      </c>
      <c r="B459" s="7" t="s">
        <v>8</v>
      </c>
      <c r="C459" s="8">
        <v>1887</v>
      </c>
      <c r="D459" s="9">
        <v>45425</v>
      </c>
      <c r="E459" s="13" t="str">
        <f>+HYPERLINK("http://trademark.i-assist.jp/data/china/image_1887th/76704709.pdf","76704709")</f>
        <v>76704709</v>
      </c>
      <c r="F459" s="7" t="s">
        <v>1260</v>
      </c>
      <c r="G459" s="7" t="s">
        <v>1261</v>
      </c>
      <c r="H459" s="7" t="s">
        <v>1262</v>
      </c>
      <c r="I459" s="9">
        <v>45322</v>
      </c>
    </row>
    <row r="460" spans="1:9" x14ac:dyDescent="0.15">
      <c r="A460" s="6">
        <v>459</v>
      </c>
      <c r="B460" s="7" t="s">
        <v>8</v>
      </c>
      <c r="C460" s="8">
        <v>1887</v>
      </c>
      <c r="D460" s="9">
        <v>45425</v>
      </c>
      <c r="E460" s="13" t="str">
        <f>+HYPERLINK("http://trademark.i-assist.jp/data/china/image_1887th/76705087.pdf","76705087")</f>
        <v>76705087</v>
      </c>
      <c r="F460" s="7" t="s">
        <v>1263</v>
      </c>
      <c r="G460" s="7" t="s">
        <v>1264</v>
      </c>
      <c r="H460" s="7" t="s">
        <v>1265</v>
      </c>
      <c r="I460" s="9">
        <v>45322</v>
      </c>
    </row>
    <row r="461" spans="1:9" x14ac:dyDescent="0.15">
      <c r="A461" s="6">
        <v>460</v>
      </c>
      <c r="B461" s="7" t="s">
        <v>8</v>
      </c>
      <c r="C461" s="8">
        <v>1887</v>
      </c>
      <c r="D461" s="9">
        <v>45425</v>
      </c>
      <c r="E461" s="13" t="str">
        <f>+HYPERLINK("http://trademark.i-assist.jp/data/china/image_1887th/76706758.pdf","76706758")</f>
        <v>76706758</v>
      </c>
      <c r="F461" s="7" t="s">
        <v>1266</v>
      </c>
      <c r="G461" s="7" t="s">
        <v>1267</v>
      </c>
      <c r="H461" s="7" t="s">
        <v>1268</v>
      </c>
      <c r="I461" s="9">
        <v>45322</v>
      </c>
    </row>
    <row r="462" spans="1:9" x14ac:dyDescent="0.15">
      <c r="A462" s="6">
        <v>461</v>
      </c>
      <c r="B462" s="7" t="s">
        <v>8</v>
      </c>
      <c r="C462" s="8">
        <v>1887</v>
      </c>
      <c r="D462" s="9">
        <v>45425</v>
      </c>
      <c r="E462" s="13" t="str">
        <f>+HYPERLINK("http://trademark.i-assist.jp/data/china/image_1887th/76709361.pdf","76709361")</f>
        <v>76709361</v>
      </c>
      <c r="F462" s="7" t="s">
        <v>1269</v>
      </c>
      <c r="G462" s="7" t="s">
        <v>1270</v>
      </c>
      <c r="H462" s="7" t="s">
        <v>1271</v>
      </c>
      <c r="I462" s="9">
        <v>45322</v>
      </c>
    </row>
    <row r="463" spans="1:9" ht="27" x14ac:dyDescent="0.15">
      <c r="A463" s="6">
        <v>462</v>
      </c>
      <c r="B463" s="7" t="s">
        <v>8</v>
      </c>
      <c r="C463" s="8">
        <v>1887</v>
      </c>
      <c r="D463" s="9">
        <v>45425</v>
      </c>
      <c r="E463" s="13" t="str">
        <f>+HYPERLINK("http://trademark.i-assist.jp/data/china/image_1887th/76710172.pdf","76710172")</f>
        <v>76710172</v>
      </c>
      <c r="F463" s="7" t="s">
        <v>1272</v>
      </c>
      <c r="G463" s="7" t="s">
        <v>1273</v>
      </c>
      <c r="H463" s="7" t="s">
        <v>1274</v>
      </c>
      <c r="I463" s="9">
        <v>45322</v>
      </c>
    </row>
    <row r="464" spans="1:9" x14ac:dyDescent="0.15">
      <c r="A464" s="6">
        <v>463</v>
      </c>
      <c r="B464" s="7" t="s">
        <v>8</v>
      </c>
      <c r="C464" s="8">
        <v>1887</v>
      </c>
      <c r="D464" s="9">
        <v>45425</v>
      </c>
      <c r="E464" s="13" t="str">
        <f>+HYPERLINK("http://trademark.i-assist.jp/data/china/image_1887th/76710643.pdf","76710643")</f>
        <v>76710643</v>
      </c>
      <c r="F464" s="7" t="s">
        <v>1275</v>
      </c>
      <c r="G464" s="7" t="s">
        <v>1276</v>
      </c>
      <c r="H464" s="7" t="s">
        <v>1277</v>
      </c>
      <c r="I464" s="9">
        <v>45322</v>
      </c>
    </row>
    <row r="465" spans="1:9" ht="27" x14ac:dyDescent="0.15">
      <c r="A465" s="6">
        <v>464</v>
      </c>
      <c r="B465" s="7" t="s">
        <v>8</v>
      </c>
      <c r="C465" s="8">
        <v>1887</v>
      </c>
      <c r="D465" s="9">
        <v>45425</v>
      </c>
      <c r="E465" s="13" t="str">
        <f>+HYPERLINK("http://trademark.i-assist.jp/data/china/image_1887th/76711238.pdf","76711238")</f>
        <v>76711238</v>
      </c>
      <c r="F465" s="7" t="s">
        <v>1278</v>
      </c>
      <c r="G465" s="7" t="s">
        <v>1279</v>
      </c>
      <c r="H465" s="7" t="s">
        <v>1280</v>
      </c>
      <c r="I465" s="9">
        <v>45322</v>
      </c>
    </row>
    <row r="466" spans="1:9" ht="27" x14ac:dyDescent="0.15">
      <c r="A466" s="6">
        <v>465</v>
      </c>
      <c r="B466" s="7" t="s">
        <v>8</v>
      </c>
      <c r="C466" s="8">
        <v>1887</v>
      </c>
      <c r="D466" s="9">
        <v>45425</v>
      </c>
      <c r="E466" s="13" t="str">
        <f>+HYPERLINK("http://trademark.i-assist.jp/data/china/image_1887th/76711274.pdf","76711274")</f>
        <v>76711274</v>
      </c>
      <c r="F466" s="7" t="s">
        <v>1281</v>
      </c>
      <c r="G466" s="7" t="s">
        <v>1282</v>
      </c>
      <c r="H466" s="7" t="s">
        <v>1283</v>
      </c>
      <c r="I466" s="9">
        <v>45322</v>
      </c>
    </row>
    <row r="467" spans="1:9" x14ac:dyDescent="0.15">
      <c r="A467" s="6">
        <v>466</v>
      </c>
      <c r="B467" s="7" t="s">
        <v>8</v>
      </c>
      <c r="C467" s="8">
        <v>1887</v>
      </c>
      <c r="D467" s="9">
        <v>45425</v>
      </c>
      <c r="E467" s="13" t="str">
        <f>+HYPERLINK("http://trademark.i-assist.jp/data/china/image_1887th/76711955.pdf","76711955")</f>
        <v>76711955</v>
      </c>
      <c r="F467" s="7" t="s">
        <v>1284</v>
      </c>
      <c r="G467" s="7" t="s">
        <v>1285</v>
      </c>
      <c r="H467" s="7" t="s">
        <v>1286</v>
      </c>
      <c r="I467" s="9">
        <v>45322</v>
      </c>
    </row>
    <row r="468" spans="1:9" x14ac:dyDescent="0.15">
      <c r="A468" s="6">
        <v>467</v>
      </c>
      <c r="B468" s="7" t="s">
        <v>8</v>
      </c>
      <c r="C468" s="8">
        <v>1887</v>
      </c>
      <c r="D468" s="9">
        <v>45425</v>
      </c>
      <c r="E468" s="13" t="str">
        <f>+HYPERLINK("http://trademark.i-assist.jp/data/china/image_1887th/76712156.pdf","76712156")</f>
        <v>76712156</v>
      </c>
      <c r="F468" s="7" t="s">
        <v>1287</v>
      </c>
      <c r="G468" s="7" t="s">
        <v>1288</v>
      </c>
      <c r="H468" s="7" t="s">
        <v>1289</v>
      </c>
      <c r="I468" s="9">
        <v>45322</v>
      </c>
    </row>
    <row r="469" spans="1:9" x14ac:dyDescent="0.15">
      <c r="A469" s="6">
        <v>468</v>
      </c>
      <c r="B469" s="7" t="s">
        <v>8</v>
      </c>
      <c r="C469" s="8">
        <v>1887</v>
      </c>
      <c r="D469" s="9">
        <v>45425</v>
      </c>
      <c r="E469" s="13" t="str">
        <f>+HYPERLINK("http://trademark.i-assist.jp/data/china/image_1887th/76712914.pdf","76712914")</f>
        <v>76712914</v>
      </c>
      <c r="F469" s="7" t="s">
        <v>1290</v>
      </c>
      <c r="G469" s="7" t="s">
        <v>1291</v>
      </c>
      <c r="H469" s="7" t="s">
        <v>1292</v>
      </c>
      <c r="I469" s="9">
        <v>45322</v>
      </c>
    </row>
    <row r="470" spans="1:9" x14ac:dyDescent="0.15">
      <c r="A470" s="6">
        <v>469</v>
      </c>
      <c r="B470" s="7" t="s">
        <v>8</v>
      </c>
      <c r="C470" s="8">
        <v>1887</v>
      </c>
      <c r="D470" s="9">
        <v>45425</v>
      </c>
      <c r="E470" s="13" t="str">
        <f>+HYPERLINK("http://trademark.i-assist.jp/data/china/image_1887th/76712969.pdf","76712969")</f>
        <v>76712969</v>
      </c>
      <c r="F470" s="7" t="s">
        <v>54</v>
      </c>
      <c r="G470" s="7" t="s">
        <v>1293</v>
      </c>
      <c r="H470" s="7" t="s">
        <v>1294</v>
      </c>
      <c r="I470" s="9">
        <v>45322</v>
      </c>
    </row>
    <row r="471" spans="1:9" x14ac:dyDescent="0.15">
      <c r="A471" s="6">
        <v>470</v>
      </c>
      <c r="B471" s="7" t="s">
        <v>8</v>
      </c>
      <c r="C471" s="8">
        <v>1887</v>
      </c>
      <c r="D471" s="9">
        <v>45425</v>
      </c>
      <c r="E471" s="13" t="str">
        <f>+HYPERLINK("http://trademark.i-assist.jp/data/china/image_1887th/76713153.pdf","76713153")</f>
        <v>76713153</v>
      </c>
      <c r="F471" s="7" t="s">
        <v>1295</v>
      </c>
      <c r="G471" s="7" t="s">
        <v>1296</v>
      </c>
      <c r="H471" s="7" t="s">
        <v>1297</v>
      </c>
      <c r="I471" s="9">
        <v>45322</v>
      </c>
    </row>
    <row r="472" spans="1:9" x14ac:dyDescent="0.15">
      <c r="A472" s="6">
        <v>471</v>
      </c>
      <c r="B472" s="7" t="s">
        <v>8</v>
      </c>
      <c r="C472" s="8">
        <v>1887</v>
      </c>
      <c r="D472" s="9">
        <v>45425</v>
      </c>
      <c r="E472" s="13" t="str">
        <f>+HYPERLINK("http://trademark.i-assist.jp/data/china/image_1887th/76713546.pdf","76713546")</f>
        <v>76713546</v>
      </c>
      <c r="F472" s="7" t="s">
        <v>1298</v>
      </c>
      <c r="G472" s="7" t="s">
        <v>1299</v>
      </c>
      <c r="H472" s="7" t="s">
        <v>1300</v>
      </c>
      <c r="I472" s="9">
        <v>45322</v>
      </c>
    </row>
    <row r="473" spans="1:9" x14ac:dyDescent="0.15">
      <c r="A473" s="6">
        <v>472</v>
      </c>
      <c r="B473" s="7" t="s">
        <v>8</v>
      </c>
      <c r="C473" s="8">
        <v>1887</v>
      </c>
      <c r="D473" s="9">
        <v>45425</v>
      </c>
      <c r="E473" s="13" t="str">
        <f>+HYPERLINK("http://trademark.i-assist.jp/data/china/image_1887th/76714736.pdf","76714736")</f>
        <v>76714736</v>
      </c>
      <c r="F473" s="7" t="s">
        <v>1301</v>
      </c>
      <c r="G473" s="7" t="s">
        <v>1302</v>
      </c>
      <c r="H473" s="7" t="s">
        <v>1303</v>
      </c>
      <c r="I473" s="9">
        <v>45322</v>
      </c>
    </row>
    <row r="474" spans="1:9" ht="27" x14ac:dyDescent="0.15">
      <c r="A474" s="6">
        <v>473</v>
      </c>
      <c r="B474" s="7" t="s">
        <v>8</v>
      </c>
      <c r="C474" s="8">
        <v>1887</v>
      </c>
      <c r="D474" s="9">
        <v>45425</v>
      </c>
      <c r="E474" s="13" t="str">
        <f>+HYPERLINK("http://trademark.i-assist.jp/data/china/image_1887th/76714928.pdf","76714928")</f>
        <v>76714928</v>
      </c>
      <c r="F474" s="7" t="s">
        <v>1304</v>
      </c>
      <c r="G474" s="7" t="s">
        <v>1273</v>
      </c>
      <c r="H474" s="7" t="s">
        <v>1305</v>
      </c>
      <c r="I474" s="9">
        <v>45322</v>
      </c>
    </row>
    <row r="475" spans="1:9" x14ac:dyDescent="0.15">
      <c r="A475" s="6">
        <v>474</v>
      </c>
      <c r="B475" s="7" t="s">
        <v>8</v>
      </c>
      <c r="C475" s="8">
        <v>1887</v>
      </c>
      <c r="D475" s="9">
        <v>45425</v>
      </c>
      <c r="E475" s="13" t="str">
        <f>+HYPERLINK("http://trademark.i-assist.jp/data/china/image_1887th/76715493.pdf","76715493")</f>
        <v>76715493</v>
      </c>
      <c r="F475" s="7" t="s">
        <v>1306</v>
      </c>
      <c r="G475" s="7" t="s">
        <v>1307</v>
      </c>
      <c r="H475" s="7" t="s">
        <v>1308</v>
      </c>
      <c r="I475" s="9">
        <v>45322</v>
      </c>
    </row>
    <row r="476" spans="1:9" x14ac:dyDescent="0.15">
      <c r="A476" s="6">
        <v>475</v>
      </c>
      <c r="B476" s="7" t="s">
        <v>8</v>
      </c>
      <c r="C476" s="8">
        <v>1887</v>
      </c>
      <c r="D476" s="9">
        <v>45425</v>
      </c>
      <c r="E476" s="13" t="str">
        <f>+HYPERLINK("http://trademark.i-assist.jp/data/china/image_1887th/76716490.pdf","76716490")</f>
        <v>76716490</v>
      </c>
      <c r="F476" s="7" t="s">
        <v>1309</v>
      </c>
      <c r="G476" s="7" t="s">
        <v>1310</v>
      </c>
      <c r="H476" s="7" t="s">
        <v>1311</v>
      </c>
      <c r="I476" s="9">
        <v>45322</v>
      </c>
    </row>
    <row r="477" spans="1:9" x14ac:dyDescent="0.15">
      <c r="A477" s="6">
        <v>476</v>
      </c>
      <c r="B477" s="7" t="s">
        <v>8</v>
      </c>
      <c r="C477" s="8">
        <v>1887</v>
      </c>
      <c r="D477" s="9">
        <v>45425</v>
      </c>
      <c r="E477" s="13" t="str">
        <f>+HYPERLINK("http://trademark.i-assist.jp/data/china/image_1887th/76716596.pdf","76716596")</f>
        <v>76716596</v>
      </c>
      <c r="F477" s="7" t="s">
        <v>1312</v>
      </c>
      <c r="G477" s="7" t="s">
        <v>1313</v>
      </c>
      <c r="H477" s="7" t="s">
        <v>1314</v>
      </c>
      <c r="I477" s="9">
        <v>45322</v>
      </c>
    </row>
    <row r="478" spans="1:9" x14ac:dyDescent="0.15">
      <c r="A478" s="6">
        <v>477</v>
      </c>
      <c r="B478" s="7" t="s">
        <v>8</v>
      </c>
      <c r="C478" s="8">
        <v>1887</v>
      </c>
      <c r="D478" s="9">
        <v>45425</v>
      </c>
      <c r="E478" s="13" t="str">
        <f>+HYPERLINK("http://trademark.i-assist.jp/data/china/image_1887th/76717453.pdf","76717453")</f>
        <v>76717453</v>
      </c>
      <c r="F478" s="7" t="s">
        <v>1315</v>
      </c>
      <c r="G478" s="7" t="s">
        <v>1316</v>
      </c>
      <c r="H478" s="7" t="s">
        <v>1317</v>
      </c>
      <c r="I478" s="9">
        <v>45322</v>
      </c>
    </row>
    <row r="479" spans="1:9" ht="27" x14ac:dyDescent="0.15">
      <c r="A479" s="6">
        <v>478</v>
      </c>
      <c r="B479" s="7" t="s">
        <v>8</v>
      </c>
      <c r="C479" s="8">
        <v>1887</v>
      </c>
      <c r="D479" s="9">
        <v>45425</v>
      </c>
      <c r="E479" s="13" t="str">
        <f>+HYPERLINK("http://trademark.i-assist.jp/data/china/image_1887th/76717788.pdf","76717788")</f>
        <v>76717788</v>
      </c>
      <c r="F479" s="7" t="s">
        <v>1318</v>
      </c>
      <c r="G479" s="7" t="s">
        <v>1319</v>
      </c>
      <c r="H479" s="7" t="s">
        <v>1320</v>
      </c>
      <c r="I479" s="9">
        <v>45322</v>
      </c>
    </row>
    <row r="480" spans="1:9" x14ac:dyDescent="0.15">
      <c r="A480" s="6">
        <v>479</v>
      </c>
      <c r="B480" s="7" t="s">
        <v>8</v>
      </c>
      <c r="C480" s="8">
        <v>1887</v>
      </c>
      <c r="D480" s="9">
        <v>45425</v>
      </c>
      <c r="E480" s="13" t="str">
        <f>+HYPERLINK("http://trademark.i-assist.jp/data/china/image_1887th/76717789.pdf","76717789")</f>
        <v>76717789</v>
      </c>
      <c r="F480" s="7" t="s">
        <v>1321</v>
      </c>
      <c r="G480" s="7" t="s">
        <v>1322</v>
      </c>
      <c r="H480" s="7" t="s">
        <v>1323</v>
      </c>
      <c r="I480" s="9">
        <v>45322</v>
      </c>
    </row>
    <row r="481" spans="1:9" x14ac:dyDescent="0.15">
      <c r="A481" s="6">
        <v>480</v>
      </c>
      <c r="B481" s="7" t="s">
        <v>8</v>
      </c>
      <c r="C481" s="8">
        <v>1887</v>
      </c>
      <c r="D481" s="9">
        <v>45425</v>
      </c>
      <c r="E481" s="13" t="str">
        <f>+HYPERLINK("http://trademark.i-assist.jp/data/china/image_1887th/76718037.pdf","76718037")</f>
        <v>76718037</v>
      </c>
      <c r="F481" s="7" t="s">
        <v>1324</v>
      </c>
      <c r="G481" s="7" t="s">
        <v>1325</v>
      </c>
      <c r="H481" s="7" t="s">
        <v>1326</v>
      </c>
      <c r="I481" s="9">
        <v>45322</v>
      </c>
    </row>
    <row r="482" spans="1:9" x14ac:dyDescent="0.15">
      <c r="A482" s="6">
        <v>481</v>
      </c>
      <c r="B482" s="7" t="s">
        <v>8</v>
      </c>
      <c r="C482" s="8">
        <v>1887</v>
      </c>
      <c r="D482" s="9">
        <v>45425</v>
      </c>
      <c r="E482" s="13" t="str">
        <f>+HYPERLINK("http://trademark.i-assist.jp/data/china/image_1887th/76718546.pdf","76718546")</f>
        <v>76718546</v>
      </c>
      <c r="F482" s="7" t="s">
        <v>1327</v>
      </c>
      <c r="G482" s="7" t="s">
        <v>1328</v>
      </c>
      <c r="H482" s="7" t="s">
        <v>1329</v>
      </c>
      <c r="I482" s="9">
        <v>45322</v>
      </c>
    </row>
    <row r="483" spans="1:9" x14ac:dyDescent="0.15">
      <c r="A483" s="6">
        <v>482</v>
      </c>
      <c r="B483" s="7" t="s">
        <v>8</v>
      </c>
      <c r="C483" s="8">
        <v>1887</v>
      </c>
      <c r="D483" s="9">
        <v>45425</v>
      </c>
      <c r="E483" s="13" t="str">
        <f>+HYPERLINK("http://trademark.i-assist.jp/data/china/image_1887th/76718643.pdf","76718643")</f>
        <v>76718643</v>
      </c>
      <c r="F483" s="7" t="s">
        <v>1330</v>
      </c>
      <c r="G483" s="7" t="s">
        <v>1331</v>
      </c>
      <c r="H483" s="7" t="s">
        <v>1332</v>
      </c>
      <c r="I483" s="9">
        <v>45322</v>
      </c>
    </row>
    <row r="484" spans="1:9" x14ac:dyDescent="0.15">
      <c r="A484" s="6">
        <v>483</v>
      </c>
      <c r="B484" s="7" t="s">
        <v>8</v>
      </c>
      <c r="C484" s="8">
        <v>1887</v>
      </c>
      <c r="D484" s="9">
        <v>45425</v>
      </c>
      <c r="E484" s="13" t="str">
        <f>+HYPERLINK("http://trademark.i-assist.jp/data/china/image_1887th/76718718.pdf","76718718")</f>
        <v>76718718</v>
      </c>
      <c r="F484" s="7" t="s">
        <v>1333</v>
      </c>
      <c r="G484" s="7" t="s">
        <v>1334</v>
      </c>
      <c r="H484" s="7" t="s">
        <v>1335</v>
      </c>
      <c r="I484" s="9">
        <v>45322</v>
      </c>
    </row>
    <row r="485" spans="1:9" x14ac:dyDescent="0.15">
      <c r="A485" s="6">
        <v>484</v>
      </c>
      <c r="B485" s="7" t="s">
        <v>8</v>
      </c>
      <c r="C485" s="8">
        <v>1887</v>
      </c>
      <c r="D485" s="9">
        <v>45425</v>
      </c>
      <c r="E485" s="13" t="str">
        <f>+HYPERLINK("http://trademark.i-assist.jp/data/china/image_1887th/76718733.pdf","76718733")</f>
        <v>76718733</v>
      </c>
      <c r="F485" s="7" t="s">
        <v>1336</v>
      </c>
      <c r="G485" s="7" t="s">
        <v>1337</v>
      </c>
      <c r="H485" s="7" t="s">
        <v>1338</v>
      </c>
      <c r="I485" s="9">
        <v>45322</v>
      </c>
    </row>
    <row r="486" spans="1:9" x14ac:dyDescent="0.15">
      <c r="A486" s="6">
        <v>485</v>
      </c>
      <c r="B486" s="7" t="s">
        <v>8</v>
      </c>
      <c r="C486" s="8">
        <v>1887</v>
      </c>
      <c r="D486" s="9">
        <v>45425</v>
      </c>
      <c r="E486" s="13" t="str">
        <f>+HYPERLINK("http://trademark.i-assist.jp/data/china/image_1887th/76719291.pdf","76719291")</f>
        <v>76719291</v>
      </c>
      <c r="F486" s="7" t="s">
        <v>1339</v>
      </c>
      <c r="G486" s="7" t="s">
        <v>1340</v>
      </c>
      <c r="H486" s="7" t="s">
        <v>1341</v>
      </c>
      <c r="I486" s="9">
        <v>45322</v>
      </c>
    </row>
    <row r="487" spans="1:9" x14ac:dyDescent="0.15">
      <c r="A487" s="6">
        <v>486</v>
      </c>
      <c r="B487" s="7" t="s">
        <v>8</v>
      </c>
      <c r="C487" s="8">
        <v>1887</v>
      </c>
      <c r="D487" s="9">
        <v>45425</v>
      </c>
      <c r="E487" s="13" t="str">
        <f>+HYPERLINK("http://trademark.i-assist.jp/data/china/image_1887th/76719681.pdf","76719681")</f>
        <v>76719681</v>
      </c>
      <c r="F487" s="7" t="s">
        <v>1342</v>
      </c>
      <c r="G487" s="7" t="s">
        <v>1343</v>
      </c>
      <c r="H487" s="7" t="s">
        <v>1344</v>
      </c>
      <c r="I487" s="9">
        <v>45322</v>
      </c>
    </row>
    <row r="488" spans="1:9" x14ac:dyDescent="0.15">
      <c r="A488" s="6">
        <v>487</v>
      </c>
      <c r="B488" s="7" t="s">
        <v>8</v>
      </c>
      <c r="C488" s="8">
        <v>1887</v>
      </c>
      <c r="D488" s="9">
        <v>45425</v>
      </c>
      <c r="E488" s="13" t="str">
        <f>+HYPERLINK("http://trademark.i-assist.jp/data/china/image_1887th/76719776.pdf","76719776")</f>
        <v>76719776</v>
      </c>
      <c r="F488" s="7" t="s">
        <v>1345</v>
      </c>
      <c r="G488" s="7" t="s">
        <v>1346</v>
      </c>
      <c r="H488" s="7" t="s">
        <v>1347</v>
      </c>
      <c r="I488" s="9">
        <v>45322</v>
      </c>
    </row>
    <row r="489" spans="1:9" ht="27" x14ac:dyDescent="0.15">
      <c r="A489" s="6">
        <v>488</v>
      </c>
      <c r="B489" s="7" t="s">
        <v>8</v>
      </c>
      <c r="C489" s="8">
        <v>1887</v>
      </c>
      <c r="D489" s="9">
        <v>45425</v>
      </c>
      <c r="E489" s="13" t="str">
        <f>+HYPERLINK("http://trademark.i-assist.jp/data/china/image_1887th/76719797.pdf","76719797")</f>
        <v>76719797</v>
      </c>
      <c r="F489" s="7" t="s">
        <v>1348</v>
      </c>
      <c r="G489" s="7" t="s">
        <v>1349</v>
      </c>
      <c r="H489" s="7" t="s">
        <v>1350</v>
      </c>
      <c r="I489" s="9">
        <v>45322</v>
      </c>
    </row>
    <row r="490" spans="1:9" x14ac:dyDescent="0.15">
      <c r="A490" s="6">
        <v>489</v>
      </c>
      <c r="B490" s="7" t="s">
        <v>8</v>
      </c>
      <c r="C490" s="8">
        <v>1887</v>
      </c>
      <c r="D490" s="9">
        <v>45425</v>
      </c>
      <c r="E490" s="13" t="str">
        <f>+HYPERLINK("http://trademark.i-assist.jp/data/china/image_1887th/76719986.pdf","76719986")</f>
        <v>76719986</v>
      </c>
      <c r="F490" s="7" t="s">
        <v>1351</v>
      </c>
      <c r="G490" s="7" t="s">
        <v>1352</v>
      </c>
      <c r="H490" s="7" t="s">
        <v>982</v>
      </c>
      <c r="I490" s="9">
        <v>45322</v>
      </c>
    </row>
    <row r="491" spans="1:9" x14ac:dyDescent="0.15">
      <c r="A491" s="6">
        <v>490</v>
      </c>
      <c r="B491" s="7" t="s">
        <v>8</v>
      </c>
      <c r="C491" s="8">
        <v>1887</v>
      </c>
      <c r="D491" s="9">
        <v>45425</v>
      </c>
      <c r="E491" s="13" t="str">
        <f>+HYPERLINK("http://trademark.i-assist.jp/data/china/image_1887th/76720427.pdf","76720427")</f>
        <v>76720427</v>
      </c>
      <c r="F491" s="7" t="s">
        <v>1353</v>
      </c>
      <c r="G491" s="7" t="s">
        <v>1354</v>
      </c>
      <c r="H491" s="7" t="s">
        <v>1355</v>
      </c>
      <c r="I491" s="9">
        <v>45322</v>
      </c>
    </row>
    <row r="492" spans="1:9" x14ac:dyDescent="0.15">
      <c r="A492" s="6">
        <v>491</v>
      </c>
      <c r="B492" s="7" t="s">
        <v>8</v>
      </c>
      <c r="C492" s="8">
        <v>1887</v>
      </c>
      <c r="D492" s="9">
        <v>45425</v>
      </c>
      <c r="E492" s="13" t="str">
        <f>+HYPERLINK("http://trademark.i-assist.jp/data/china/image_1887th/76720674.pdf","76720674")</f>
        <v>76720674</v>
      </c>
      <c r="F492" s="7" t="s">
        <v>1356</v>
      </c>
      <c r="G492" s="7" t="s">
        <v>1357</v>
      </c>
      <c r="H492" s="7" t="s">
        <v>1358</v>
      </c>
      <c r="I492" s="9">
        <v>45322</v>
      </c>
    </row>
    <row r="493" spans="1:9" x14ac:dyDescent="0.15">
      <c r="A493" s="6">
        <v>492</v>
      </c>
      <c r="B493" s="7" t="s">
        <v>8</v>
      </c>
      <c r="C493" s="8">
        <v>1887</v>
      </c>
      <c r="D493" s="9">
        <v>45425</v>
      </c>
      <c r="E493" s="13" t="str">
        <f>+HYPERLINK("http://trademark.i-assist.jp/data/china/image_1887th/76720766.pdf","76720766")</f>
        <v>76720766</v>
      </c>
      <c r="F493" s="7" t="s">
        <v>1359</v>
      </c>
      <c r="G493" s="7" t="s">
        <v>1360</v>
      </c>
      <c r="H493" s="7" t="s">
        <v>1361</v>
      </c>
      <c r="I493" s="9">
        <v>45322</v>
      </c>
    </row>
    <row r="494" spans="1:9" x14ac:dyDescent="0.15">
      <c r="A494" s="6">
        <v>493</v>
      </c>
      <c r="B494" s="7" t="s">
        <v>8</v>
      </c>
      <c r="C494" s="8">
        <v>1887</v>
      </c>
      <c r="D494" s="9">
        <v>45425</v>
      </c>
      <c r="E494" s="13" t="str">
        <f>+HYPERLINK("http://trademark.i-assist.jp/data/china/image_1887th/76721147.pdf","76721147")</f>
        <v>76721147</v>
      </c>
      <c r="F494" s="7" t="s">
        <v>1362</v>
      </c>
      <c r="G494" s="7" t="s">
        <v>1363</v>
      </c>
      <c r="H494" s="7" t="s">
        <v>1364</v>
      </c>
      <c r="I494" s="9">
        <v>45322</v>
      </c>
    </row>
    <row r="495" spans="1:9" x14ac:dyDescent="0.15">
      <c r="A495" s="6">
        <v>494</v>
      </c>
      <c r="B495" s="7" t="s">
        <v>8</v>
      </c>
      <c r="C495" s="8">
        <v>1887</v>
      </c>
      <c r="D495" s="9">
        <v>45425</v>
      </c>
      <c r="E495" s="13" t="str">
        <f>+HYPERLINK("http://trademark.i-assist.jp/data/china/image_1887th/76721733.pdf","76721733")</f>
        <v>76721733</v>
      </c>
      <c r="F495" s="7" t="s">
        <v>1365</v>
      </c>
      <c r="G495" s="7" t="s">
        <v>1366</v>
      </c>
      <c r="H495" s="7" t="s">
        <v>1367</v>
      </c>
      <c r="I495" s="9">
        <v>45323</v>
      </c>
    </row>
    <row r="496" spans="1:9" x14ac:dyDescent="0.15">
      <c r="A496" s="6">
        <v>495</v>
      </c>
      <c r="B496" s="7" t="s">
        <v>8</v>
      </c>
      <c r="C496" s="8">
        <v>1887</v>
      </c>
      <c r="D496" s="9">
        <v>45425</v>
      </c>
      <c r="E496" s="13" t="str">
        <f>+HYPERLINK("http://trademark.i-assist.jp/data/china/image_1887th/76721929.pdf","76721929")</f>
        <v>76721929</v>
      </c>
      <c r="F496" s="7" t="s">
        <v>1368</v>
      </c>
      <c r="G496" s="7" t="s">
        <v>1369</v>
      </c>
      <c r="H496" s="7" t="s">
        <v>1370</v>
      </c>
      <c r="I496" s="9">
        <v>45323</v>
      </c>
    </row>
    <row r="497" spans="1:9" ht="27" x14ac:dyDescent="0.15">
      <c r="A497" s="6">
        <v>496</v>
      </c>
      <c r="B497" s="7" t="s">
        <v>8</v>
      </c>
      <c r="C497" s="8">
        <v>1887</v>
      </c>
      <c r="D497" s="9">
        <v>45425</v>
      </c>
      <c r="E497" s="13" t="str">
        <f>+HYPERLINK("http://trademark.i-assist.jp/data/china/image_1887th/76722288.pdf","76722288")</f>
        <v>76722288</v>
      </c>
      <c r="F497" s="7" t="s">
        <v>1371</v>
      </c>
      <c r="G497" s="7" t="s">
        <v>1372</v>
      </c>
      <c r="H497" s="7" t="s">
        <v>1373</v>
      </c>
      <c r="I497" s="9">
        <v>45323</v>
      </c>
    </row>
    <row r="498" spans="1:9" x14ac:dyDescent="0.15">
      <c r="A498" s="6">
        <v>497</v>
      </c>
      <c r="B498" s="7" t="s">
        <v>8</v>
      </c>
      <c r="C498" s="8">
        <v>1887</v>
      </c>
      <c r="D498" s="9">
        <v>45425</v>
      </c>
      <c r="E498" s="13" t="str">
        <f>+HYPERLINK("http://trademark.i-assist.jp/data/china/image_1887th/76723013.pdf","76723013")</f>
        <v>76723013</v>
      </c>
      <c r="F498" s="7" t="s">
        <v>1374</v>
      </c>
      <c r="G498" s="7" t="s">
        <v>1375</v>
      </c>
      <c r="H498" s="7" t="s">
        <v>1376</v>
      </c>
      <c r="I498" s="9">
        <v>45323</v>
      </c>
    </row>
    <row r="499" spans="1:9" x14ac:dyDescent="0.15">
      <c r="A499" s="6">
        <v>498</v>
      </c>
      <c r="B499" s="7" t="s">
        <v>8</v>
      </c>
      <c r="C499" s="8">
        <v>1887</v>
      </c>
      <c r="D499" s="9">
        <v>45425</v>
      </c>
      <c r="E499" s="13" t="str">
        <f>+HYPERLINK("http://trademark.i-assist.jp/data/china/image_1887th/76724273.pdf","76724273")</f>
        <v>76724273</v>
      </c>
      <c r="F499" s="7" t="s">
        <v>1377</v>
      </c>
      <c r="G499" s="7" t="s">
        <v>1378</v>
      </c>
      <c r="H499" s="7" t="s">
        <v>1379</v>
      </c>
      <c r="I499" s="9">
        <v>45323</v>
      </c>
    </row>
    <row r="500" spans="1:9" ht="27" x14ac:dyDescent="0.15">
      <c r="A500" s="6">
        <v>499</v>
      </c>
      <c r="B500" s="7" t="s">
        <v>8</v>
      </c>
      <c r="C500" s="8">
        <v>1887</v>
      </c>
      <c r="D500" s="9">
        <v>45425</v>
      </c>
      <c r="E500" s="13" t="str">
        <f>+HYPERLINK("http://trademark.i-assist.jp/data/china/image_1887th/76724891.pdf","76724891")</f>
        <v>76724891</v>
      </c>
      <c r="F500" s="7" t="s">
        <v>1380</v>
      </c>
      <c r="G500" s="7" t="s">
        <v>1381</v>
      </c>
      <c r="H500" s="7" t="s">
        <v>1382</v>
      </c>
      <c r="I500" s="9">
        <v>45323</v>
      </c>
    </row>
    <row r="501" spans="1:9" ht="27" x14ac:dyDescent="0.15">
      <c r="A501" s="6">
        <v>500</v>
      </c>
      <c r="B501" s="7" t="s">
        <v>8</v>
      </c>
      <c r="C501" s="8">
        <v>1887</v>
      </c>
      <c r="D501" s="9">
        <v>45425</v>
      </c>
      <c r="E501" s="13" t="str">
        <f>+HYPERLINK("http://trademark.i-assist.jp/data/china/image_1887th/76724908.pdf","76724908")</f>
        <v>76724908</v>
      </c>
      <c r="F501" s="7" t="s">
        <v>1383</v>
      </c>
      <c r="G501" s="7" t="s">
        <v>1384</v>
      </c>
      <c r="H501" s="7" t="s">
        <v>1385</v>
      </c>
      <c r="I501" s="9">
        <v>45323</v>
      </c>
    </row>
    <row r="502" spans="1:9" ht="27" x14ac:dyDescent="0.15">
      <c r="A502" s="6">
        <v>501</v>
      </c>
      <c r="B502" s="7" t="s">
        <v>8</v>
      </c>
      <c r="C502" s="8">
        <v>1887</v>
      </c>
      <c r="D502" s="9">
        <v>45425</v>
      </c>
      <c r="E502" s="13" t="str">
        <f>+HYPERLINK("http://trademark.i-assist.jp/data/china/image_1887th/76725287.pdf","76725287")</f>
        <v>76725287</v>
      </c>
      <c r="F502" s="7" t="s">
        <v>1386</v>
      </c>
      <c r="G502" s="7" t="s">
        <v>1387</v>
      </c>
      <c r="H502" s="7" t="s">
        <v>1388</v>
      </c>
      <c r="I502" s="9">
        <v>45323</v>
      </c>
    </row>
    <row r="503" spans="1:9" x14ac:dyDescent="0.15">
      <c r="A503" s="6">
        <v>502</v>
      </c>
      <c r="B503" s="7" t="s">
        <v>8</v>
      </c>
      <c r="C503" s="8">
        <v>1887</v>
      </c>
      <c r="D503" s="9">
        <v>45425</v>
      </c>
      <c r="E503" s="13" t="str">
        <f>+HYPERLINK("http://trademark.i-assist.jp/data/china/image_1887th/76725319.pdf","76725319")</f>
        <v>76725319</v>
      </c>
      <c r="F503" s="7" t="s">
        <v>1389</v>
      </c>
      <c r="G503" s="7" t="s">
        <v>1390</v>
      </c>
      <c r="H503" s="7" t="s">
        <v>1391</v>
      </c>
      <c r="I503" s="9">
        <v>45323</v>
      </c>
    </row>
    <row r="504" spans="1:9" x14ac:dyDescent="0.15">
      <c r="A504" s="6">
        <v>503</v>
      </c>
      <c r="B504" s="7" t="s">
        <v>8</v>
      </c>
      <c r="C504" s="8">
        <v>1887</v>
      </c>
      <c r="D504" s="9">
        <v>45425</v>
      </c>
      <c r="E504" s="13" t="str">
        <f>+HYPERLINK("http://trademark.i-assist.jp/data/china/image_1887th/76725390.pdf","76725390")</f>
        <v>76725390</v>
      </c>
      <c r="F504" s="7" t="s">
        <v>1392</v>
      </c>
      <c r="G504" s="7" t="s">
        <v>1393</v>
      </c>
      <c r="H504" s="7" t="s">
        <v>1394</v>
      </c>
      <c r="I504" s="9">
        <v>45323</v>
      </c>
    </row>
    <row r="505" spans="1:9" ht="27" x14ac:dyDescent="0.15">
      <c r="A505" s="6">
        <v>504</v>
      </c>
      <c r="B505" s="7" t="s">
        <v>8</v>
      </c>
      <c r="C505" s="8">
        <v>1887</v>
      </c>
      <c r="D505" s="9">
        <v>45425</v>
      </c>
      <c r="E505" s="13" t="str">
        <f>+HYPERLINK("http://trademark.i-assist.jp/data/china/image_1887th/76725419.pdf","76725419")</f>
        <v>76725419</v>
      </c>
      <c r="F505" s="7" t="s">
        <v>1395</v>
      </c>
      <c r="G505" s="7" t="s">
        <v>1372</v>
      </c>
      <c r="H505" s="7" t="s">
        <v>1396</v>
      </c>
      <c r="I505" s="9">
        <v>45323</v>
      </c>
    </row>
    <row r="506" spans="1:9" ht="27" x14ac:dyDescent="0.15">
      <c r="A506" s="6">
        <v>505</v>
      </c>
      <c r="B506" s="7" t="s">
        <v>8</v>
      </c>
      <c r="C506" s="8">
        <v>1887</v>
      </c>
      <c r="D506" s="9">
        <v>45425</v>
      </c>
      <c r="E506" s="13" t="str">
        <f>+HYPERLINK("http://trademark.i-assist.jp/data/china/image_1887th/76725428.pdf","76725428")</f>
        <v>76725428</v>
      </c>
      <c r="F506" s="7" t="s">
        <v>1397</v>
      </c>
      <c r="G506" s="7" t="s">
        <v>1372</v>
      </c>
      <c r="H506" s="7" t="s">
        <v>1398</v>
      </c>
      <c r="I506" s="9">
        <v>45323</v>
      </c>
    </row>
    <row r="507" spans="1:9" ht="27" x14ac:dyDescent="0.15">
      <c r="A507" s="6">
        <v>506</v>
      </c>
      <c r="B507" s="7" t="s">
        <v>8</v>
      </c>
      <c r="C507" s="8">
        <v>1887</v>
      </c>
      <c r="D507" s="9">
        <v>45425</v>
      </c>
      <c r="E507" s="13" t="str">
        <f>+HYPERLINK("http://trademark.i-assist.jp/data/china/image_1887th/76725492.pdf","76725492")</f>
        <v>76725492</v>
      </c>
      <c r="F507" s="7" t="s">
        <v>1399</v>
      </c>
      <c r="G507" s="7" t="s">
        <v>1372</v>
      </c>
      <c r="H507" s="7" t="s">
        <v>1400</v>
      </c>
      <c r="I507" s="9">
        <v>45323</v>
      </c>
    </row>
    <row r="508" spans="1:9" ht="27" x14ac:dyDescent="0.15">
      <c r="A508" s="6">
        <v>507</v>
      </c>
      <c r="B508" s="7" t="s">
        <v>8</v>
      </c>
      <c r="C508" s="8">
        <v>1887</v>
      </c>
      <c r="D508" s="9">
        <v>45425</v>
      </c>
      <c r="E508" s="13" t="str">
        <f>+HYPERLINK("http://trademark.i-assist.jp/data/china/image_1887th/76725499.pdf","76725499")</f>
        <v>76725499</v>
      </c>
      <c r="F508" s="7" t="s">
        <v>1401</v>
      </c>
      <c r="G508" s="7" t="s">
        <v>1372</v>
      </c>
      <c r="H508" s="7" t="s">
        <v>1402</v>
      </c>
      <c r="I508" s="9">
        <v>45323</v>
      </c>
    </row>
    <row r="509" spans="1:9" x14ac:dyDescent="0.15">
      <c r="A509" s="6">
        <v>508</v>
      </c>
      <c r="B509" s="7" t="s">
        <v>8</v>
      </c>
      <c r="C509" s="8">
        <v>1887</v>
      </c>
      <c r="D509" s="9">
        <v>45425</v>
      </c>
      <c r="E509" s="13" t="str">
        <f>+HYPERLINK("http://trademark.i-assist.jp/data/china/image_1887th/76725529.pdf","76725529")</f>
        <v>76725529</v>
      </c>
      <c r="F509" s="7" t="s">
        <v>1403</v>
      </c>
      <c r="G509" s="7" t="s">
        <v>1404</v>
      </c>
      <c r="H509" s="7" t="s">
        <v>1405</v>
      </c>
      <c r="I509" s="9">
        <v>45323</v>
      </c>
    </row>
    <row r="510" spans="1:9" x14ac:dyDescent="0.15">
      <c r="A510" s="6">
        <v>509</v>
      </c>
      <c r="B510" s="7" t="s">
        <v>8</v>
      </c>
      <c r="C510" s="8">
        <v>1887</v>
      </c>
      <c r="D510" s="9">
        <v>45425</v>
      </c>
      <c r="E510" s="13" t="str">
        <f>+HYPERLINK("http://trademark.i-assist.jp/data/china/image_1887th/76726157.pdf","76726157")</f>
        <v>76726157</v>
      </c>
      <c r="F510" s="7" t="s">
        <v>1406</v>
      </c>
      <c r="G510" s="7" t="s">
        <v>1407</v>
      </c>
      <c r="H510" s="7" t="s">
        <v>1408</v>
      </c>
      <c r="I510" s="9">
        <v>45323</v>
      </c>
    </row>
    <row r="511" spans="1:9" ht="27" x14ac:dyDescent="0.15">
      <c r="A511" s="6">
        <v>510</v>
      </c>
      <c r="B511" s="7" t="s">
        <v>8</v>
      </c>
      <c r="C511" s="8">
        <v>1887</v>
      </c>
      <c r="D511" s="9">
        <v>45425</v>
      </c>
      <c r="E511" s="13" t="str">
        <f>+HYPERLINK("http://trademark.i-assist.jp/data/china/image_1887th/76727062.pdf","76727062")</f>
        <v>76727062</v>
      </c>
      <c r="F511" s="7" t="s">
        <v>54</v>
      </c>
      <c r="G511" s="7" t="s">
        <v>1409</v>
      </c>
      <c r="H511" s="7" t="s">
        <v>1410</v>
      </c>
      <c r="I511" s="9">
        <v>45323</v>
      </c>
    </row>
    <row r="512" spans="1:9" x14ac:dyDescent="0.15">
      <c r="A512" s="6">
        <v>511</v>
      </c>
      <c r="B512" s="7" t="s">
        <v>8</v>
      </c>
      <c r="C512" s="8">
        <v>1887</v>
      </c>
      <c r="D512" s="9">
        <v>45425</v>
      </c>
      <c r="E512" s="13" t="str">
        <f>+HYPERLINK("http://trademark.i-assist.jp/data/china/image_1887th/76727326.pdf","76727326")</f>
        <v>76727326</v>
      </c>
      <c r="F512" s="7" t="s">
        <v>1377</v>
      </c>
      <c r="G512" s="7" t="s">
        <v>1378</v>
      </c>
      <c r="H512" s="7" t="s">
        <v>1379</v>
      </c>
      <c r="I512" s="9">
        <v>45323</v>
      </c>
    </row>
    <row r="513" spans="1:9" x14ac:dyDescent="0.15">
      <c r="A513" s="6">
        <v>512</v>
      </c>
      <c r="B513" s="7" t="s">
        <v>8</v>
      </c>
      <c r="C513" s="8">
        <v>1887</v>
      </c>
      <c r="D513" s="9">
        <v>45425</v>
      </c>
      <c r="E513" s="13" t="str">
        <f>+HYPERLINK("http://trademark.i-assist.jp/data/china/image_1887th/76727457.pdf","76727457")</f>
        <v>76727457</v>
      </c>
      <c r="F513" s="7" t="s">
        <v>1411</v>
      </c>
      <c r="G513" s="7" t="s">
        <v>1412</v>
      </c>
      <c r="H513" s="7" t="s">
        <v>1413</v>
      </c>
      <c r="I513" s="9">
        <v>45323</v>
      </c>
    </row>
    <row r="514" spans="1:9" x14ac:dyDescent="0.15">
      <c r="A514" s="6">
        <v>513</v>
      </c>
      <c r="B514" s="7" t="s">
        <v>8</v>
      </c>
      <c r="C514" s="8">
        <v>1887</v>
      </c>
      <c r="D514" s="9">
        <v>45425</v>
      </c>
      <c r="E514" s="13" t="str">
        <f>+HYPERLINK("http://trademark.i-assist.jp/data/china/image_1887th/76727835.pdf","76727835")</f>
        <v>76727835</v>
      </c>
      <c r="F514" s="7" t="s">
        <v>1414</v>
      </c>
      <c r="G514" s="7" t="s">
        <v>1415</v>
      </c>
      <c r="H514" s="7" t="s">
        <v>1416</v>
      </c>
      <c r="I514" s="9">
        <v>45323</v>
      </c>
    </row>
    <row r="515" spans="1:9" ht="27" x14ac:dyDescent="0.15">
      <c r="A515" s="6">
        <v>514</v>
      </c>
      <c r="B515" s="7" t="s">
        <v>8</v>
      </c>
      <c r="C515" s="8">
        <v>1887</v>
      </c>
      <c r="D515" s="9">
        <v>45425</v>
      </c>
      <c r="E515" s="13" t="str">
        <f>+HYPERLINK("http://trademark.i-assist.jp/data/china/image_1887th/76727846.pdf","76727846")</f>
        <v>76727846</v>
      </c>
      <c r="F515" s="7" t="s">
        <v>1417</v>
      </c>
      <c r="G515" s="7" t="s">
        <v>1372</v>
      </c>
      <c r="H515" s="7" t="s">
        <v>1418</v>
      </c>
      <c r="I515" s="9">
        <v>45323</v>
      </c>
    </row>
    <row r="516" spans="1:9" ht="27" x14ac:dyDescent="0.15">
      <c r="A516" s="6">
        <v>515</v>
      </c>
      <c r="B516" s="7" t="s">
        <v>8</v>
      </c>
      <c r="C516" s="8">
        <v>1887</v>
      </c>
      <c r="D516" s="9">
        <v>45425</v>
      </c>
      <c r="E516" s="13" t="str">
        <f>+HYPERLINK("http://trademark.i-assist.jp/data/china/image_1887th/76727892.pdf","76727892")</f>
        <v>76727892</v>
      </c>
      <c r="F516" s="7" t="s">
        <v>1419</v>
      </c>
      <c r="G516" s="7" t="s">
        <v>1372</v>
      </c>
      <c r="H516" s="7" t="s">
        <v>1420</v>
      </c>
      <c r="I516" s="9">
        <v>45323</v>
      </c>
    </row>
    <row r="517" spans="1:9" x14ac:dyDescent="0.15">
      <c r="A517" s="6">
        <v>516</v>
      </c>
      <c r="B517" s="7" t="s">
        <v>8</v>
      </c>
      <c r="C517" s="8">
        <v>1887</v>
      </c>
      <c r="D517" s="9">
        <v>45425</v>
      </c>
      <c r="E517" s="13" t="str">
        <f>+HYPERLINK("http://trademark.i-assist.jp/data/china/image_1887th/76728473.pdf","76728473")</f>
        <v>76728473</v>
      </c>
      <c r="F517" s="7" t="s">
        <v>1421</v>
      </c>
      <c r="G517" s="7" t="s">
        <v>1422</v>
      </c>
      <c r="H517" s="7" t="s">
        <v>1423</v>
      </c>
      <c r="I517" s="9">
        <v>45323</v>
      </c>
    </row>
    <row r="518" spans="1:9" x14ac:dyDescent="0.15">
      <c r="A518" s="6">
        <v>517</v>
      </c>
      <c r="B518" s="7" t="s">
        <v>8</v>
      </c>
      <c r="C518" s="8">
        <v>1887</v>
      </c>
      <c r="D518" s="9">
        <v>45425</v>
      </c>
      <c r="E518" s="13" t="str">
        <f>+HYPERLINK("http://trademark.i-assist.jp/data/china/image_1887th/76728622.pdf","76728622")</f>
        <v>76728622</v>
      </c>
      <c r="F518" s="7" t="s">
        <v>1424</v>
      </c>
      <c r="G518" s="7" t="s">
        <v>1425</v>
      </c>
      <c r="H518" s="7" t="s">
        <v>1426</v>
      </c>
      <c r="I518" s="9">
        <v>45323</v>
      </c>
    </row>
    <row r="519" spans="1:9" x14ac:dyDescent="0.15">
      <c r="A519" s="6">
        <v>518</v>
      </c>
      <c r="B519" s="7" t="s">
        <v>8</v>
      </c>
      <c r="C519" s="8">
        <v>1887</v>
      </c>
      <c r="D519" s="9">
        <v>45425</v>
      </c>
      <c r="E519" s="13" t="str">
        <f>+HYPERLINK("http://trademark.i-assist.jp/data/china/image_1887th/76729405.pdf","76729405")</f>
        <v>76729405</v>
      </c>
      <c r="F519" s="7" t="s">
        <v>1427</v>
      </c>
      <c r="G519" s="7" t="s">
        <v>1428</v>
      </c>
      <c r="H519" s="7" t="s">
        <v>1429</v>
      </c>
      <c r="I519" s="9">
        <v>45323</v>
      </c>
    </row>
    <row r="520" spans="1:9" x14ac:dyDescent="0.15">
      <c r="A520" s="6">
        <v>519</v>
      </c>
      <c r="B520" s="7" t="s">
        <v>8</v>
      </c>
      <c r="C520" s="8">
        <v>1887</v>
      </c>
      <c r="D520" s="9">
        <v>45425</v>
      </c>
      <c r="E520" s="13" t="str">
        <f>+HYPERLINK("http://trademark.i-assist.jp/data/china/image_1887th/76729411.pdf","76729411")</f>
        <v>76729411</v>
      </c>
      <c r="F520" s="7" t="s">
        <v>1430</v>
      </c>
      <c r="G520" s="7" t="s">
        <v>1428</v>
      </c>
      <c r="H520" s="7" t="s">
        <v>1429</v>
      </c>
      <c r="I520" s="9">
        <v>45323</v>
      </c>
    </row>
    <row r="521" spans="1:9" x14ac:dyDescent="0.15">
      <c r="A521" s="6">
        <v>520</v>
      </c>
      <c r="B521" s="7" t="s">
        <v>8</v>
      </c>
      <c r="C521" s="8">
        <v>1887</v>
      </c>
      <c r="D521" s="9">
        <v>45425</v>
      </c>
      <c r="E521" s="13" t="str">
        <f>+HYPERLINK("http://trademark.i-assist.jp/data/china/image_1887th/76730031.pdf","76730031")</f>
        <v>76730031</v>
      </c>
      <c r="F521" s="7" t="s">
        <v>1431</v>
      </c>
      <c r="G521" s="7" t="s">
        <v>1432</v>
      </c>
      <c r="H521" s="7" t="s">
        <v>1433</v>
      </c>
      <c r="I521" s="9">
        <v>45323</v>
      </c>
    </row>
    <row r="522" spans="1:9" x14ac:dyDescent="0.15">
      <c r="A522" s="6">
        <v>521</v>
      </c>
      <c r="B522" s="7" t="s">
        <v>8</v>
      </c>
      <c r="C522" s="8">
        <v>1887</v>
      </c>
      <c r="D522" s="9">
        <v>45425</v>
      </c>
      <c r="E522" s="13" t="str">
        <f>+HYPERLINK("http://trademark.i-assist.jp/data/china/image_1887th/76730198.pdf","76730198")</f>
        <v>76730198</v>
      </c>
      <c r="F522" s="7" t="s">
        <v>54</v>
      </c>
      <c r="G522" s="7" t="s">
        <v>1434</v>
      </c>
      <c r="H522" s="7" t="s">
        <v>1435</v>
      </c>
      <c r="I522" s="9">
        <v>45323</v>
      </c>
    </row>
    <row r="523" spans="1:9" x14ac:dyDescent="0.15">
      <c r="A523" s="6">
        <v>522</v>
      </c>
      <c r="B523" s="7" t="s">
        <v>8</v>
      </c>
      <c r="C523" s="8">
        <v>1887</v>
      </c>
      <c r="D523" s="9">
        <v>45425</v>
      </c>
      <c r="E523" s="13" t="str">
        <f>+HYPERLINK("http://trademark.i-assist.jp/data/china/image_1887th/76730785.pdf","76730785")</f>
        <v>76730785</v>
      </c>
      <c r="F523" s="7" t="s">
        <v>1436</v>
      </c>
      <c r="G523" s="7" t="s">
        <v>1415</v>
      </c>
      <c r="H523" s="7" t="s">
        <v>1437</v>
      </c>
      <c r="I523" s="9">
        <v>45323</v>
      </c>
    </row>
    <row r="524" spans="1:9" x14ac:dyDescent="0.15">
      <c r="A524" s="6">
        <v>523</v>
      </c>
      <c r="B524" s="7" t="s">
        <v>8</v>
      </c>
      <c r="C524" s="8">
        <v>1887</v>
      </c>
      <c r="D524" s="9">
        <v>45425</v>
      </c>
      <c r="E524" s="13" t="str">
        <f>+HYPERLINK("http://trademark.i-assist.jp/data/china/image_1887th/76731511.pdf","76731511")</f>
        <v>76731511</v>
      </c>
      <c r="F524" s="7" t="s">
        <v>1438</v>
      </c>
      <c r="G524" s="7" t="s">
        <v>1439</v>
      </c>
      <c r="H524" s="7" t="s">
        <v>1440</v>
      </c>
      <c r="I524" s="9">
        <v>45323</v>
      </c>
    </row>
    <row r="525" spans="1:9" x14ac:dyDescent="0.15">
      <c r="A525" s="6">
        <v>524</v>
      </c>
      <c r="B525" s="7" t="s">
        <v>8</v>
      </c>
      <c r="C525" s="8">
        <v>1887</v>
      </c>
      <c r="D525" s="9">
        <v>45425</v>
      </c>
      <c r="E525" s="13" t="str">
        <f>+HYPERLINK("http://trademark.i-assist.jp/data/china/image_1887th/76731673.pdf","76731673")</f>
        <v>76731673</v>
      </c>
      <c r="F525" s="7" t="s">
        <v>1441</v>
      </c>
      <c r="G525" s="7" t="s">
        <v>1442</v>
      </c>
      <c r="H525" s="7" t="s">
        <v>1443</v>
      </c>
      <c r="I525" s="9">
        <v>45323</v>
      </c>
    </row>
    <row r="526" spans="1:9" ht="27" x14ac:dyDescent="0.15">
      <c r="A526" s="6">
        <v>525</v>
      </c>
      <c r="B526" s="7" t="s">
        <v>8</v>
      </c>
      <c r="C526" s="8">
        <v>1887</v>
      </c>
      <c r="D526" s="9">
        <v>45425</v>
      </c>
      <c r="E526" s="13" t="str">
        <f>+HYPERLINK("http://trademark.i-assist.jp/data/china/image_1887th/76731871.pdf","76731871")</f>
        <v>76731871</v>
      </c>
      <c r="F526" s="7" t="s">
        <v>1444</v>
      </c>
      <c r="G526" s="7" t="s">
        <v>1372</v>
      </c>
      <c r="H526" s="7" t="s">
        <v>1445</v>
      </c>
      <c r="I526" s="9">
        <v>45323</v>
      </c>
    </row>
    <row r="527" spans="1:9" x14ac:dyDescent="0.15">
      <c r="A527" s="6">
        <v>526</v>
      </c>
      <c r="B527" s="7" t="s">
        <v>8</v>
      </c>
      <c r="C527" s="8">
        <v>1887</v>
      </c>
      <c r="D527" s="9">
        <v>45425</v>
      </c>
      <c r="E527" s="13" t="str">
        <f>+HYPERLINK("http://trademark.i-assist.jp/data/china/image_1887th/76732760.pdf","76732760")</f>
        <v>76732760</v>
      </c>
      <c r="F527" s="7" t="s">
        <v>1446</v>
      </c>
      <c r="G527" s="7" t="s">
        <v>1447</v>
      </c>
      <c r="H527" s="7" t="s">
        <v>1448</v>
      </c>
      <c r="I527" s="9">
        <v>45323</v>
      </c>
    </row>
    <row r="528" spans="1:9" x14ac:dyDescent="0.15">
      <c r="A528" s="6">
        <v>527</v>
      </c>
      <c r="B528" s="7" t="s">
        <v>8</v>
      </c>
      <c r="C528" s="8">
        <v>1887</v>
      </c>
      <c r="D528" s="9">
        <v>45425</v>
      </c>
      <c r="E528" s="13" t="str">
        <f>+HYPERLINK("http://trademark.i-assist.jp/data/china/image_1887th/76733816.pdf","76733816")</f>
        <v>76733816</v>
      </c>
      <c r="F528" s="7" t="s">
        <v>1449</v>
      </c>
      <c r="G528" s="7" t="s">
        <v>1450</v>
      </c>
      <c r="H528" s="7" t="s">
        <v>1451</v>
      </c>
      <c r="I528" s="9">
        <v>45323</v>
      </c>
    </row>
    <row r="529" spans="1:9" ht="27" x14ac:dyDescent="0.15">
      <c r="A529" s="6">
        <v>528</v>
      </c>
      <c r="B529" s="7" t="s">
        <v>8</v>
      </c>
      <c r="C529" s="8">
        <v>1887</v>
      </c>
      <c r="D529" s="9">
        <v>45425</v>
      </c>
      <c r="E529" s="13" t="str">
        <f>+HYPERLINK("http://trademark.i-assist.jp/data/china/image_1887th/76733858.pdf","76733858")</f>
        <v>76733858</v>
      </c>
      <c r="F529" s="7" t="s">
        <v>1452</v>
      </c>
      <c r="G529" s="7" t="s">
        <v>1453</v>
      </c>
      <c r="H529" s="7" t="s">
        <v>1454</v>
      </c>
      <c r="I529" s="9">
        <v>45323</v>
      </c>
    </row>
    <row r="530" spans="1:9" x14ac:dyDescent="0.15">
      <c r="A530" s="6">
        <v>529</v>
      </c>
      <c r="B530" s="7" t="s">
        <v>8</v>
      </c>
      <c r="C530" s="8">
        <v>1887</v>
      </c>
      <c r="D530" s="9">
        <v>45425</v>
      </c>
      <c r="E530" s="13" t="str">
        <f>+HYPERLINK("http://trademark.i-assist.jp/data/china/image_1887th/76733894.pdf","76733894")</f>
        <v>76733894</v>
      </c>
      <c r="F530" s="7" t="s">
        <v>1455</v>
      </c>
      <c r="G530" s="7" t="s">
        <v>1456</v>
      </c>
      <c r="H530" s="7" t="s">
        <v>1457</v>
      </c>
      <c r="I530" s="9">
        <v>45323</v>
      </c>
    </row>
    <row r="531" spans="1:9" x14ac:dyDescent="0.15">
      <c r="A531" s="6">
        <v>530</v>
      </c>
      <c r="B531" s="7" t="s">
        <v>8</v>
      </c>
      <c r="C531" s="8">
        <v>1887</v>
      </c>
      <c r="D531" s="9">
        <v>45425</v>
      </c>
      <c r="E531" s="13" t="str">
        <f>+HYPERLINK("http://trademark.i-assist.jp/data/china/image_1887th/76734096.pdf","76734096")</f>
        <v>76734096</v>
      </c>
      <c r="F531" s="7" t="s">
        <v>1458</v>
      </c>
      <c r="G531" s="7" t="s">
        <v>1459</v>
      </c>
      <c r="H531" s="7" t="s">
        <v>1460</v>
      </c>
      <c r="I531" s="9">
        <v>45323</v>
      </c>
    </row>
    <row r="532" spans="1:9" ht="27" x14ac:dyDescent="0.15">
      <c r="A532" s="6">
        <v>531</v>
      </c>
      <c r="B532" s="7" t="s">
        <v>8</v>
      </c>
      <c r="C532" s="8">
        <v>1887</v>
      </c>
      <c r="D532" s="9">
        <v>45425</v>
      </c>
      <c r="E532" s="13" t="str">
        <f>+HYPERLINK("http://trademark.i-assist.jp/data/china/image_1887th/76734148.pdf","76734148")</f>
        <v>76734148</v>
      </c>
      <c r="F532" s="7" t="s">
        <v>1461</v>
      </c>
      <c r="G532" s="7" t="s">
        <v>1462</v>
      </c>
      <c r="H532" s="7" t="s">
        <v>1463</v>
      </c>
      <c r="I532" s="9">
        <v>45323</v>
      </c>
    </row>
    <row r="533" spans="1:9" x14ac:dyDescent="0.15">
      <c r="A533" s="6">
        <v>532</v>
      </c>
      <c r="B533" s="7" t="s">
        <v>8</v>
      </c>
      <c r="C533" s="8">
        <v>1887</v>
      </c>
      <c r="D533" s="9">
        <v>45425</v>
      </c>
      <c r="E533" s="13" t="str">
        <f>+HYPERLINK("http://trademark.i-assist.jp/data/china/image_1887th/76734302.pdf","76734302")</f>
        <v>76734302</v>
      </c>
      <c r="F533" s="7" t="s">
        <v>1464</v>
      </c>
      <c r="G533" s="7" t="s">
        <v>1465</v>
      </c>
      <c r="H533" s="7" t="s">
        <v>982</v>
      </c>
      <c r="I533" s="9">
        <v>45323</v>
      </c>
    </row>
    <row r="534" spans="1:9" x14ac:dyDescent="0.15">
      <c r="A534" s="6">
        <v>533</v>
      </c>
      <c r="B534" s="7" t="s">
        <v>8</v>
      </c>
      <c r="C534" s="8">
        <v>1887</v>
      </c>
      <c r="D534" s="9">
        <v>45425</v>
      </c>
      <c r="E534" s="13" t="str">
        <f>+HYPERLINK("http://trademark.i-assist.jp/data/china/image_1887th/76734349.pdf","76734349")</f>
        <v>76734349</v>
      </c>
      <c r="F534" s="7" t="s">
        <v>1466</v>
      </c>
      <c r="G534" s="7" t="s">
        <v>1467</v>
      </c>
      <c r="H534" s="7" t="s">
        <v>1468</v>
      </c>
      <c r="I534" s="9">
        <v>45323</v>
      </c>
    </row>
    <row r="535" spans="1:9" x14ac:dyDescent="0.15">
      <c r="A535" s="6">
        <v>534</v>
      </c>
      <c r="B535" s="7" t="s">
        <v>8</v>
      </c>
      <c r="C535" s="8">
        <v>1887</v>
      </c>
      <c r="D535" s="9">
        <v>45425</v>
      </c>
      <c r="E535" s="13" t="str">
        <f>+HYPERLINK("http://trademark.i-assist.jp/data/china/image_1887th/76734612.pdf","76734612")</f>
        <v>76734612</v>
      </c>
      <c r="F535" s="7" t="s">
        <v>1469</v>
      </c>
      <c r="G535" s="7" t="s">
        <v>1470</v>
      </c>
      <c r="H535" s="7" t="s">
        <v>1471</v>
      </c>
      <c r="I535" s="9">
        <v>45323</v>
      </c>
    </row>
    <row r="536" spans="1:9" x14ac:dyDescent="0.15">
      <c r="A536" s="6">
        <v>535</v>
      </c>
      <c r="B536" s="7" t="s">
        <v>8</v>
      </c>
      <c r="C536" s="8">
        <v>1887</v>
      </c>
      <c r="D536" s="9">
        <v>45425</v>
      </c>
      <c r="E536" s="13" t="str">
        <f>+HYPERLINK("http://trademark.i-assist.jp/data/china/image_1887th/76734811.pdf","76734811")</f>
        <v>76734811</v>
      </c>
      <c r="F536" s="7" t="s">
        <v>1472</v>
      </c>
      <c r="G536" s="7" t="s">
        <v>1473</v>
      </c>
      <c r="H536" s="7" t="s">
        <v>1474</v>
      </c>
      <c r="I536" s="9">
        <v>45323</v>
      </c>
    </row>
    <row r="537" spans="1:9" x14ac:dyDescent="0.15">
      <c r="A537" s="6">
        <v>536</v>
      </c>
      <c r="B537" s="7" t="s">
        <v>8</v>
      </c>
      <c r="C537" s="8">
        <v>1887</v>
      </c>
      <c r="D537" s="9">
        <v>45425</v>
      </c>
      <c r="E537" s="13" t="str">
        <f>+HYPERLINK("http://trademark.i-assist.jp/data/china/image_1887th/76735213.pdf","76735213")</f>
        <v>76735213</v>
      </c>
      <c r="F537" s="7" t="s">
        <v>1475</v>
      </c>
      <c r="G537" s="7" t="s">
        <v>1476</v>
      </c>
      <c r="H537" s="7" t="s">
        <v>1477</v>
      </c>
      <c r="I537" s="9">
        <v>45323</v>
      </c>
    </row>
    <row r="538" spans="1:9" ht="27" x14ac:dyDescent="0.15">
      <c r="A538" s="6">
        <v>537</v>
      </c>
      <c r="B538" s="7" t="s">
        <v>8</v>
      </c>
      <c r="C538" s="8">
        <v>1887</v>
      </c>
      <c r="D538" s="9">
        <v>45425</v>
      </c>
      <c r="E538" s="13" t="str">
        <f>+HYPERLINK("http://trademark.i-assist.jp/data/china/image_1887th/76735640.pdf","76735640")</f>
        <v>76735640</v>
      </c>
      <c r="F538" s="7" t="s">
        <v>1478</v>
      </c>
      <c r="G538" s="7" t="s">
        <v>1462</v>
      </c>
      <c r="H538" s="7" t="s">
        <v>1463</v>
      </c>
      <c r="I538" s="9">
        <v>45323</v>
      </c>
    </row>
    <row r="539" spans="1:9" x14ac:dyDescent="0.15">
      <c r="A539" s="6">
        <v>538</v>
      </c>
      <c r="B539" s="7" t="s">
        <v>8</v>
      </c>
      <c r="C539" s="8">
        <v>1887</v>
      </c>
      <c r="D539" s="9">
        <v>45425</v>
      </c>
      <c r="E539" s="13" t="str">
        <f>+HYPERLINK("http://trademark.i-assist.jp/data/china/image_1887th/76735721.pdf","76735721")</f>
        <v>76735721</v>
      </c>
      <c r="F539" s="7" t="s">
        <v>1479</v>
      </c>
      <c r="G539" s="7" t="s">
        <v>1480</v>
      </c>
      <c r="H539" s="7" t="s">
        <v>1481</v>
      </c>
      <c r="I539" s="9">
        <v>45323</v>
      </c>
    </row>
    <row r="540" spans="1:9" ht="27" x14ac:dyDescent="0.15">
      <c r="A540" s="6">
        <v>539</v>
      </c>
      <c r="B540" s="7" t="s">
        <v>8</v>
      </c>
      <c r="C540" s="8">
        <v>1887</v>
      </c>
      <c r="D540" s="9">
        <v>45425</v>
      </c>
      <c r="E540" s="13" t="str">
        <f>+HYPERLINK("http://trademark.i-assist.jp/data/china/image_1887th/76735759.pdf","76735759")</f>
        <v>76735759</v>
      </c>
      <c r="F540" s="7" t="s">
        <v>1482</v>
      </c>
      <c r="G540" s="7" t="s">
        <v>1483</v>
      </c>
      <c r="H540" s="7" t="s">
        <v>1484</v>
      </c>
      <c r="I540" s="9">
        <v>45323</v>
      </c>
    </row>
    <row r="541" spans="1:9" x14ac:dyDescent="0.15">
      <c r="A541" s="6">
        <v>540</v>
      </c>
      <c r="B541" s="7" t="s">
        <v>8</v>
      </c>
      <c r="C541" s="8">
        <v>1887</v>
      </c>
      <c r="D541" s="9">
        <v>45425</v>
      </c>
      <c r="E541" s="13" t="str">
        <f>+HYPERLINK("http://trademark.i-assist.jp/data/china/image_1887th/76735834.pdf","76735834")</f>
        <v>76735834</v>
      </c>
      <c r="F541" s="7" t="s">
        <v>1485</v>
      </c>
      <c r="G541" s="7" t="s">
        <v>1486</v>
      </c>
      <c r="H541" s="7" t="s">
        <v>1487</v>
      </c>
      <c r="I541" s="9">
        <v>45323</v>
      </c>
    </row>
    <row r="542" spans="1:9" ht="27" x14ac:dyDescent="0.15">
      <c r="A542" s="6">
        <v>541</v>
      </c>
      <c r="B542" s="7" t="s">
        <v>8</v>
      </c>
      <c r="C542" s="8">
        <v>1887</v>
      </c>
      <c r="D542" s="9">
        <v>45425</v>
      </c>
      <c r="E542" s="13" t="str">
        <f>+HYPERLINK("http://trademark.i-assist.jp/data/china/image_1887th/76736610.pdf","76736610")</f>
        <v>76736610</v>
      </c>
      <c r="F542" s="7" t="s">
        <v>1488</v>
      </c>
      <c r="G542" s="7" t="s">
        <v>1489</v>
      </c>
      <c r="H542" s="7" t="s">
        <v>1490</v>
      </c>
      <c r="I542" s="9">
        <v>45323</v>
      </c>
    </row>
    <row r="543" spans="1:9" x14ac:dyDescent="0.15">
      <c r="A543" s="6">
        <v>542</v>
      </c>
      <c r="B543" s="7" t="s">
        <v>8</v>
      </c>
      <c r="C543" s="8">
        <v>1887</v>
      </c>
      <c r="D543" s="9">
        <v>45425</v>
      </c>
      <c r="E543" s="13" t="str">
        <f>+HYPERLINK("http://trademark.i-assist.jp/data/china/image_1887th/76736767.pdf","76736767")</f>
        <v>76736767</v>
      </c>
      <c r="F543" s="7" t="s">
        <v>1491</v>
      </c>
      <c r="G543" s="7" t="s">
        <v>1492</v>
      </c>
      <c r="H543" s="7" t="s">
        <v>1493</v>
      </c>
      <c r="I543" s="9">
        <v>45323</v>
      </c>
    </row>
    <row r="544" spans="1:9" x14ac:dyDescent="0.15">
      <c r="A544" s="6">
        <v>543</v>
      </c>
      <c r="B544" s="7" t="s">
        <v>8</v>
      </c>
      <c r="C544" s="8">
        <v>1887</v>
      </c>
      <c r="D544" s="9">
        <v>45425</v>
      </c>
      <c r="E544" s="13" t="str">
        <f>+HYPERLINK("http://trademark.i-assist.jp/data/china/image_1887th/76736773.pdf","76736773")</f>
        <v>76736773</v>
      </c>
      <c r="F544" s="7" t="s">
        <v>1494</v>
      </c>
      <c r="G544" s="7" t="s">
        <v>1492</v>
      </c>
      <c r="H544" s="7" t="s">
        <v>1495</v>
      </c>
      <c r="I544" s="9">
        <v>45323</v>
      </c>
    </row>
    <row r="545" spans="1:9" x14ac:dyDescent="0.15">
      <c r="A545" s="6">
        <v>544</v>
      </c>
      <c r="B545" s="7" t="s">
        <v>8</v>
      </c>
      <c r="C545" s="8">
        <v>1887</v>
      </c>
      <c r="D545" s="9">
        <v>45425</v>
      </c>
      <c r="E545" s="13" t="str">
        <f>+HYPERLINK("http://trademark.i-assist.jp/data/china/image_1887th/76737042.pdf","76737042")</f>
        <v>76737042</v>
      </c>
      <c r="F545" s="7" t="s">
        <v>1496</v>
      </c>
      <c r="G545" s="7" t="s">
        <v>1497</v>
      </c>
      <c r="H545" s="7" t="s">
        <v>1498</v>
      </c>
      <c r="I545" s="9">
        <v>45323</v>
      </c>
    </row>
    <row r="546" spans="1:9" x14ac:dyDescent="0.15">
      <c r="A546" s="6">
        <v>545</v>
      </c>
      <c r="B546" s="7" t="s">
        <v>8</v>
      </c>
      <c r="C546" s="8">
        <v>1887</v>
      </c>
      <c r="D546" s="9">
        <v>45425</v>
      </c>
      <c r="E546" s="13" t="str">
        <f>+HYPERLINK("http://trademark.i-assist.jp/data/china/image_1887th/76737268.pdf","76737268")</f>
        <v>76737268</v>
      </c>
      <c r="F546" s="7" t="s">
        <v>1499</v>
      </c>
      <c r="G546" s="7" t="s">
        <v>1500</v>
      </c>
      <c r="H546" s="7" t="s">
        <v>1501</v>
      </c>
      <c r="I546" s="9">
        <v>45323</v>
      </c>
    </row>
    <row r="547" spans="1:9" x14ac:dyDescent="0.15">
      <c r="A547" s="6">
        <v>546</v>
      </c>
      <c r="B547" s="7" t="s">
        <v>8</v>
      </c>
      <c r="C547" s="8">
        <v>1887</v>
      </c>
      <c r="D547" s="9">
        <v>45425</v>
      </c>
      <c r="E547" s="13" t="str">
        <f>+HYPERLINK("http://trademark.i-assist.jp/data/china/image_1887th/76738778.pdf","76738778")</f>
        <v>76738778</v>
      </c>
      <c r="F547" s="7" t="s">
        <v>1502</v>
      </c>
      <c r="G547" s="7" t="s">
        <v>1503</v>
      </c>
      <c r="H547" s="7" t="s">
        <v>1504</v>
      </c>
      <c r="I547" s="9">
        <v>45323</v>
      </c>
    </row>
    <row r="548" spans="1:9" ht="27" x14ac:dyDescent="0.15">
      <c r="A548" s="6">
        <v>547</v>
      </c>
      <c r="B548" s="7" t="s">
        <v>8</v>
      </c>
      <c r="C548" s="8">
        <v>1887</v>
      </c>
      <c r="D548" s="9">
        <v>45425</v>
      </c>
      <c r="E548" s="13" t="str">
        <f>+HYPERLINK("http://trademark.i-assist.jp/data/china/image_1887th/76738904.pdf","76738904")</f>
        <v>76738904</v>
      </c>
      <c r="F548" s="7" t="s">
        <v>1505</v>
      </c>
      <c r="G548" s="7" t="s">
        <v>1506</v>
      </c>
      <c r="H548" s="7" t="s">
        <v>1507</v>
      </c>
      <c r="I548" s="9">
        <v>45323</v>
      </c>
    </row>
    <row r="549" spans="1:9" ht="27" x14ac:dyDescent="0.15">
      <c r="A549" s="6">
        <v>548</v>
      </c>
      <c r="B549" s="7" t="s">
        <v>8</v>
      </c>
      <c r="C549" s="8">
        <v>1887</v>
      </c>
      <c r="D549" s="9">
        <v>45425</v>
      </c>
      <c r="E549" s="13" t="str">
        <f>+HYPERLINK("http://trademark.i-assist.jp/data/china/image_1887th/76739027.pdf","76739027")</f>
        <v>76739027</v>
      </c>
      <c r="F549" s="7" t="s">
        <v>1508</v>
      </c>
      <c r="G549" s="7" t="s">
        <v>1372</v>
      </c>
      <c r="H549" s="7" t="s">
        <v>1509</v>
      </c>
      <c r="I549" s="9">
        <v>45323</v>
      </c>
    </row>
    <row r="550" spans="1:9" x14ac:dyDescent="0.15">
      <c r="A550" s="6">
        <v>549</v>
      </c>
      <c r="B550" s="7" t="s">
        <v>8</v>
      </c>
      <c r="C550" s="8">
        <v>1887</v>
      </c>
      <c r="D550" s="9">
        <v>45425</v>
      </c>
      <c r="E550" s="13" t="str">
        <f>+HYPERLINK("http://trademark.i-assist.jp/data/china/image_1887th/76739261.pdf","76739261")</f>
        <v>76739261</v>
      </c>
      <c r="F550" s="7" t="s">
        <v>1377</v>
      </c>
      <c r="G550" s="7" t="s">
        <v>1378</v>
      </c>
      <c r="H550" s="7" t="s">
        <v>1379</v>
      </c>
      <c r="I550" s="9">
        <v>45323</v>
      </c>
    </row>
    <row r="551" spans="1:9" x14ac:dyDescent="0.15">
      <c r="A551" s="6">
        <v>550</v>
      </c>
      <c r="B551" s="7" t="s">
        <v>8</v>
      </c>
      <c r="C551" s="8">
        <v>1887</v>
      </c>
      <c r="D551" s="9">
        <v>45425</v>
      </c>
      <c r="E551" s="13" t="str">
        <f>+HYPERLINK("http://trademark.i-assist.jp/data/china/image_1887th/76739296.pdf","76739296")</f>
        <v>76739296</v>
      </c>
      <c r="F551" s="7" t="s">
        <v>1510</v>
      </c>
      <c r="G551" s="7" t="s">
        <v>1511</v>
      </c>
      <c r="H551" s="7" t="s">
        <v>1512</v>
      </c>
      <c r="I551" s="9">
        <v>45323</v>
      </c>
    </row>
    <row r="552" spans="1:9" x14ac:dyDescent="0.15">
      <c r="A552" s="6">
        <v>551</v>
      </c>
      <c r="B552" s="7" t="s">
        <v>8</v>
      </c>
      <c r="C552" s="8">
        <v>1887</v>
      </c>
      <c r="D552" s="9">
        <v>45425</v>
      </c>
      <c r="E552" s="13" t="str">
        <f>+HYPERLINK("http://trademark.i-assist.jp/data/china/image_1887th/76741018.pdf","76741018")</f>
        <v>76741018</v>
      </c>
      <c r="F552" s="7" t="s">
        <v>1513</v>
      </c>
      <c r="G552" s="7" t="s">
        <v>743</v>
      </c>
      <c r="H552" s="7" t="s">
        <v>1000</v>
      </c>
      <c r="I552" s="9">
        <v>45323</v>
      </c>
    </row>
    <row r="553" spans="1:9" x14ac:dyDescent="0.15">
      <c r="A553" s="6">
        <v>552</v>
      </c>
      <c r="B553" s="7" t="s">
        <v>8</v>
      </c>
      <c r="C553" s="8">
        <v>1887</v>
      </c>
      <c r="D553" s="9">
        <v>45425</v>
      </c>
      <c r="E553" s="13" t="str">
        <f>+HYPERLINK("http://trademark.i-assist.jp/data/china/image_1887th/76741155.pdf","76741155")</f>
        <v>76741155</v>
      </c>
      <c r="F553" s="7" t="s">
        <v>1514</v>
      </c>
      <c r="G553" s="7" t="s">
        <v>1500</v>
      </c>
      <c r="H553" s="7" t="s">
        <v>1501</v>
      </c>
      <c r="I553" s="9">
        <v>45323</v>
      </c>
    </row>
    <row r="554" spans="1:9" x14ac:dyDescent="0.15">
      <c r="A554" s="6">
        <v>553</v>
      </c>
      <c r="B554" s="7" t="s">
        <v>8</v>
      </c>
      <c r="C554" s="8">
        <v>1887</v>
      </c>
      <c r="D554" s="9">
        <v>45425</v>
      </c>
      <c r="E554" s="13" t="str">
        <f>+HYPERLINK("http://trademark.i-assist.jp/data/china/image_1887th/76741195.pdf","76741195")</f>
        <v>76741195</v>
      </c>
      <c r="F554" s="7" t="s">
        <v>1515</v>
      </c>
      <c r="G554" s="7" t="s">
        <v>1516</v>
      </c>
      <c r="H554" s="7" t="s">
        <v>1517</v>
      </c>
      <c r="I554" s="9">
        <v>45323</v>
      </c>
    </row>
    <row r="555" spans="1:9" x14ac:dyDescent="0.15">
      <c r="A555" s="6">
        <v>554</v>
      </c>
      <c r="B555" s="7" t="s">
        <v>8</v>
      </c>
      <c r="C555" s="8">
        <v>1887</v>
      </c>
      <c r="D555" s="9">
        <v>45425</v>
      </c>
      <c r="E555" s="13" t="str">
        <f>+HYPERLINK("http://trademark.i-assist.jp/data/china/image_1887th/76741252.pdf","76741252")</f>
        <v>76741252</v>
      </c>
      <c r="F555" s="7" t="s">
        <v>1518</v>
      </c>
      <c r="G555" s="7" t="s">
        <v>1519</v>
      </c>
      <c r="H555" s="7" t="s">
        <v>1520</v>
      </c>
      <c r="I555" s="9">
        <v>45323</v>
      </c>
    </row>
    <row r="556" spans="1:9" x14ac:dyDescent="0.15">
      <c r="A556" s="6">
        <v>555</v>
      </c>
      <c r="B556" s="7" t="s">
        <v>8</v>
      </c>
      <c r="C556" s="8">
        <v>1887</v>
      </c>
      <c r="D556" s="9">
        <v>45425</v>
      </c>
      <c r="E556" s="13" t="str">
        <f>+HYPERLINK("http://trademark.i-assist.jp/data/china/image_1887th/76741283.pdf","76741283")</f>
        <v>76741283</v>
      </c>
      <c r="F556" s="7" t="s">
        <v>1368</v>
      </c>
      <c r="G556" s="7" t="s">
        <v>1369</v>
      </c>
      <c r="H556" s="7" t="s">
        <v>1521</v>
      </c>
      <c r="I556" s="9">
        <v>45323</v>
      </c>
    </row>
    <row r="557" spans="1:9" x14ac:dyDescent="0.15">
      <c r="A557" s="6">
        <v>556</v>
      </c>
      <c r="B557" s="7" t="s">
        <v>8</v>
      </c>
      <c r="C557" s="8">
        <v>1887</v>
      </c>
      <c r="D557" s="9">
        <v>45425</v>
      </c>
      <c r="E557" s="13" t="str">
        <f>+HYPERLINK("http://trademark.i-assist.jp/data/china/image_1887th/76742200.pdf","76742200")</f>
        <v>76742200</v>
      </c>
      <c r="F557" s="7" t="s">
        <v>1522</v>
      </c>
      <c r="G557" s="7" t="s">
        <v>1473</v>
      </c>
      <c r="H557" s="7" t="s">
        <v>1523</v>
      </c>
      <c r="I557" s="9">
        <v>45323</v>
      </c>
    </row>
    <row r="558" spans="1:9" x14ac:dyDescent="0.15">
      <c r="A558" s="6">
        <v>557</v>
      </c>
      <c r="B558" s="7" t="s">
        <v>8</v>
      </c>
      <c r="C558" s="8">
        <v>1887</v>
      </c>
      <c r="D558" s="9">
        <v>45425</v>
      </c>
      <c r="E558" s="13" t="str">
        <f>+HYPERLINK("http://trademark.i-assist.jp/data/china/image_1887th/76742857.pdf","76742857")</f>
        <v>76742857</v>
      </c>
      <c r="F558" s="7" t="s">
        <v>1524</v>
      </c>
      <c r="G558" s="7" t="s">
        <v>1525</v>
      </c>
      <c r="H558" s="7" t="s">
        <v>1526</v>
      </c>
      <c r="I558" s="9">
        <v>45324</v>
      </c>
    </row>
    <row r="559" spans="1:9" ht="27" x14ac:dyDescent="0.15">
      <c r="A559" s="6">
        <v>558</v>
      </c>
      <c r="B559" s="7" t="s">
        <v>8</v>
      </c>
      <c r="C559" s="8">
        <v>1887</v>
      </c>
      <c r="D559" s="9">
        <v>45425</v>
      </c>
      <c r="E559" s="13" t="str">
        <f>+HYPERLINK("http://trademark.i-assist.jp/data/china/image_1887th/76742888.pdf","76742888")</f>
        <v>76742888</v>
      </c>
      <c r="F559" s="7" t="s">
        <v>1527</v>
      </c>
      <c r="G559" s="7" t="s">
        <v>1528</v>
      </c>
      <c r="H559" s="7" t="s">
        <v>1529</v>
      </c>
      <c r="I559" s="9">
        <v>45324</v>
      </c>
    </row>
    <row r="560" spans="1:9" x14ac:dyDescent="0.15">
      <c r="A560" s="6">
        <v>559</v>
      </c>
      <c r="B560" s="7" t="s">
        <v>8</v>
      </c>
      <c r="C560" s="8">
        <v>1887</v>
      </c>
      <c r="D560" s="9">
        <v>45425</v>
      </c>
      <c r="E560" s="13" t="str">
        <f>+HYPERLINK("http://trademark.i-assist.jp/data/china/image_1887th/76743045.pdf","76743045")</f>
        <v>76743045</v>
      </c>
      <c r="F560" s="7" t="s">
        <v>1530</v>
      </c>
      <c r="G560" s="7" t="s">
        <v>1531</v>
      </c>
      <c r="H560" s="7" t="s">
        <v>1532</v>
      </c>
      <c r="I560" s="9">
        <v>45324</v>
      </c>
    </row>
    <row r="561" spans="1:9" x14ac:dyDescent="0.15">
      <c r="A561" s="6">
        <v>560</v>
      </c>
      <c r="B561" s="7" t="s">
        <v>8</v>
      </c>
      <c r="C561" s="8">
        <v>1887</v>
      </c>
      <c r="D561" s="9">
        <v>45425</v>
      </c>
      <c r="E561" s="13" t="str">
        <f>+HYPERLINK("http://trademark.i-assist.jp/data/china/image_1887th/76743710.pdf","76743710")</f>
        <v>76743710</v>
      </c>
      <c r="F561" s="7" t="s">
        <v>1533</v>
      </c>
      <c r="G561" s="7" t="s">
        <v>1534</v>
      </c>
      <c r="H561" s="7" t="s">
        <v>1535</v>
      </c>
      <c r="I561" s="9">
        <v>45324</v>
      </c>
    </row>
    <row r="562" spans="1:9" x14ac:dyDescent="0.15">
      <c r="A562" s="6">
        <v>561</v>
      </c>
      <c r="B562" s="7" t="s">
        <v>8</v>
      </c>
      <c r="C562" s="8">
        <v>1887</v>
      </c>
      <c r="D562" s="9">
        <v>45425</v>
      </c>
      <c r="E562" s="13" t="str">
        <f>+HYPERLINK("http://trademark.i-assist.jp/data/china/image_1887th/76744779.pdf","76744779")</f>
        <v>76744779</v>
      </c>
      <c r="F562" s="7" t="s">
        <v>1536</v>
      </c>
      <c r="G562" s="7" t="s">
        <v>1537</v>
      </c>
      <c r="H562" s="7" t="s">
        <v>1538</v>
      </c>
      <c r="I562" s="9">
        <v>45324</v>
      </c>
    </row>
    <row r="563" spans="1:9" ht="27" x14ac:dyDescent="0.15">
      <c r="A563" s="6">
        <v>562</v>
      </c>
      <c r="B563" s="7" t="s">
        <v>8</v>
      </c>
      <c r="C563" s="8">
        <v>1887</v>
      </c>
      <c r="D563" s="9">
        <v>45425</v>
      </c>
      <c r="E563" s="13" t="str">
        <f>+HYPERLINK("http://trademark.i-assist.jp/data/china/image_1887th/76745577.pdf","76745577")</f>
        <v>76745577</v>
      </c>
      <c r="F563" s="7" t="s">
        <v>1539</v>
      </c>
      <c r="G563" s="7" t="s">
        <v>1540</v>
      </c>
      <c r="H563" s="7" t="s">
        <v>1541</v>
      </c>
      <c r="I563" s="9">
        <v>45324</v>
      </c>
    </row>
    <row r="564" spans="1:9" x14ac:dyDescent="0.15">
      <c r="A564" s="6">
        <v>563</v>
      </c>
      <c r="B564" s="7" t="s">
        <v>8</v>
      </c>
      <c r="C564" s="8">
        <v>1887</v>
      </c>
      <c r="D564" s="9">
        <v>45425</v>
      </c>
      <c r="E564" s="13" t="str">
        <f>+HYPERLINK("http://trademark.i-assist.jp/data/china/image_1887th/76745863.pdf","76745863")</f>
        <v>76745863</v>
      </c>
      <c r="F564" s="7" t="s">
        <v>1542</v>
      </c>
      <c r="G564" s="7" t="s">
        <v>1543</v>
      </c>
      <c r="H564" s="7" t="s">
        <v>1544</v>
      </c>
      <c r="I564" s="9">
        <v>45324</v>
      </c>
    </row>
    <row r="565" spans="1:9" x14ac:dyDescent="0.15">
      <c r="A565" s="6">
        <v>564</v>
      </c>
      <c r="B565" s="7" t="s">
        <v>8</v>
      </c>
      <c r="C565" s="8">
        <v>1887</v>
      </c>
      <c r="D565" s="9">
        <v>45425</v>
      </c>
      <c r="E565" s="13" t="str">
        <f>+HYPERLINK("http://trademark.i-assist.jp/data/china/image_1887th/76745937.pdf","76745937")</f>
        <v>76745937</v>
      </c>
      <c r="F565" s="7" t="s">
        <v>1545</v>
      </c>
      <c r="G565" s="7" t="s">
        <v>1546</v>
      </c>
      <c r="H565" s="7" t="s">
        <v>1547</v>
      </c>
      <c r="I565" s="9">
        <v>45324</v>
      </c>
    </row>
    <row r="566" spans="1:9" ht="27" x14ac:dyDescent="0.15">
      <c r="A566" s="6">
        <v>565</v>
      </c>
      <c r="B566" s="7" t="s">
        <v>8</v>
      </c>
      <c r="C566" s="8">
        <v>1887</v>
      </c>
      <c r="D566" s="9">
        <v>45425</v>
      </c>
      <c r="E566" s="13" t="str">
        <f>+HYPERLINK("http://trademark.i-assist.jp/data/china/image_1887th/76746476.pdf","76746476")</f>
        <v>76746476</v>
      </c>
      <c r="F566" s="7" t="s">
        <v>54</v>
      </c>
      <c r="G566" s="7" t="s">
        <v>1548</v>
      </c>
      <c r="H566" s="7" t="s">
        <v>1549</v>
      </c>
      <c r="I566" s="9">
        <v>45324</v>
      </c>
    </row>
    <row r="567" spans="1:9" x14ac:dyDescent="0.15">
      <c r="A567" s="6">
        <v>566</v>
      </c>
      <c r="B567" s="7" t="s">
        <v>8</v>
      </c>
      <c r="C567" s="8">
        <v>1887</v>
      </c>
      <c r="D567" s="9">
        <v>45425</v>
      </c>
      <c r="E567" s="13" t="str">
        <f>+HYPERLINK("http://trademark.i-assist.jp/data/china/image_1887th/76747051.pdf","76747051")</f>
        <v>76747051</v>
      </c>
      <c r="F567" s="7" t="s">
        <v>1550</v>
      </c>
      <c r="G567" s="7" t="s">
        <v>1551</v>
      </c>
      <c r="H567" s="7" t="s">
        <v>1552</v>
      </c>
      <c r="I567" s="9">
        <v>45324</v>
      </c>
    </row>
    <row r="568" spans="1:9" x14ac:dyDescent="0.15">
      <c r="A568" s="6">
        <v>567</v>
      </c>
      <c r="B568" s="7" t="s">
        <v>8</v>
      </c>
      <c r="C568" s="8">
        <v>1887</v>
      </c>
      <c r="D568" s="9">
        <v>45425</v>
      </c>
      <c r="E568" s="13" t="str">
        <f>+HYPERLINK("http://trademark.i-assist.jp/data/china/image_1887th/76747113.pdf","76747113")</f>
        <v>76747113</v>
      </c>
      <c r="F568" s="7" t="s">
        <v>1553</v>
      </c>
      <c r="G568" s="7" t="s">
        <v>1554</v>
      </c>
      <c r="H568" s="7" t="s">
        <v>1555</v>
      </c>
      <c r="I568" s="9">
        <v>45324</v>
      </c>
    </row>
    <row r="569" spans="1:9" ht="27" x14ac:dyDescent="0.15">
      <c r="A569" s="6">
        <v>568</v>
      </c>
      <c r="B569" s="7" t="s">
        <v>8</v>
      </c>
      <c r="C569" s="8">
        <v>1887</v>
      </c>
      <c r="D569" s="9">
        <v>45425</v>
      </c>
      <c r="E569" s="13" t="str">
        <f>+HYPERLINK("http://trademark.i-assist.jp/data/china/image_1887th/76748857.pdf","76748857")</f>
        <v>76748857</v>
      </c>
      <c r="F569" s="7" t="s">
        <v>1556</v>
      </c>
      <c r="G569" s="7" t="s">
        <v>1557</v>
      </c>
      <c r="H569" s="7" t="s">
        <v>1558</v>
      </c>
      <c r="I569" s="9">
        <v>45324</v>
      </c>
    </row>
    <row r="570" spans="1:9" ht="27" x14ac:dyDescent="0.15">
      <c r="A570" s="6">
        <v>569</v>
      </c>
      <c r="B570" s="7" t="s">
        <v>8</v>
      </c>
      <c r="C570" s="8">
        <v>1887</v>
      </c>
      <c r="D570" s="9">
        <v>45425</v>
      </c>
      <c r="E570" s="13" t="str">
        <f>+HYPERLINK("http://trademark.i-assist.jp/data/china/image_1887th/76749501.pdf","76749501")</f>
        <v>76749501</v>
      </c>
      <c r="F570" s="7" t="s">
        <v>1559</v>
      </c>
      <c r="G570" s="7" t="s">
        <v>1560</v>
      </c>
      <c r="H570" s="7" t="s">
        <v>1561</v>
      </c>
      <c r="I570" s="9">
        <v>45324</v>
      </c>
    </row>
    <row r="571" spans="1:9" x14ac:dyDescent="0.15">
      <c r="A571" s="6">
        <v>570</v>
      </c>
      <c r="B571" s="7" t="s">
        <v>8</v>
      </c>
      <c r="C571" s="8">
        <v>1887</v>
      </c>
      <c r="D571" s="9">
        <v>45425</v>
      </c>
      <c r="E571" s="13" t="str">
        <f>+HYPERLINK("http://trademark.i-assist.jp/data/china/image_1887th/76749835.pdf","76749835")</f>
        <v>76749835</v>
      </c>
      <c r="F571" s="7" t="s">
        <v>1562</v>
      </c>
      <c r="G571" s="7" t="s">
        <v>1563</v>
      </c>
      <c r="H571" s="7" t="s">
        <v>1564</v>
      </c>
      <c r="I571" s="9">
        <v>45324</v>
      </c>
    </row>
    <row r="572" spans="1:9" x14ac:dyDescent="0.15">
      <c r="A572" s="6">
        <v>571</v>
      </c>
      <c r="B572" s="7" t="s">
        <v>8</v>
      </c>
      <c r="C572" s="8">
        <v>1887</v>
      </c>
      <c r="D572" s="9">
        <v>45425</v>
      </c>
      <c r="E572" s="13" t="str">
        <f>+HYPERLINK("http://trademark.i-assist.jp/data/china/image_1887th/76749837.pdf","76749837")</f>
        <v>76749837</v>
      </c>
      <c r="F572" s="7" t="s">
        <v>1565</v>
      </c>
      <c r="G572" s="7" t="s">
        <v>1525</v>
      </c>
      <c r="H572" s="7" t="s">
        <v>1566</v>
      </c>
      <c r="I572" s="9">
        <v>45324</v>
      </c>
    </row>
    <row r="573" spans="1:9" x14ac:dyDescent="0.15">
      <c r="A573" s="6">
        <v>572</v>
      </c>
      <c r="B573" s="7" t="s">
        <v>8</v>
      </c>
      <c r="C573" s="8">
        <v>1887</v>
      </c>
      <c r="D573" s="9">
        <v>45425</v>
      </c>
      <c r="E573" s="13" t="str">
        <f>+HYPERLINK("http://trademark.i-assist.jp/data/china/image_1887th/76751714.pdf","76751714")</f>
        <v>76751714</v>
      </c>
      <c r="F573" s="7" t="s">
        <v>1567</v>
      </c>
      <c r="G573" s="7" t="s">
        <v>1568</v>
      </c>
      <c r="H573" s="7" t="s">
        <v>1474</v>
      </c>
      <c r="I573" s="9">
        <v>45324</v>
      </c>
    </row>
    <row r="574" spans="1:9" ht="27" x14ac:dyDescent="0.15">
      <c r="A574" s="6">
        <v>573</v>
      </c>
      <c r="B574" s="7" t="s">
        <v>8</v>
      </c>
      <c r="C574" s="8">
        <v>1887</v>
      </c>
      <c r="D574" s="9">
        <v>45425</v>
      </c>
      <c r="E574" s="13" t="str">
        <f>+HYPERLINK("http://trademark.i-assist.jp/data/china/image_1887th/76752218.pdf","76752218")</f>
        <v>76752218</v>
      </c>
      <c r="F574" s="7" t="s">
        <v>1569</v>
      </c>
      <c r="G574" s="7" t="s">
        <v>1570</v>
      </c>
      <c r="H574" s="7" t="s">
        <v>1571</v>
      </c>
      <c r="I574" s="9">
        <v>45324</v>
      </c>
    </row>
    <row r="575" spans="1:9" x14ac:dyDescent="0.15">
      <c r="A575" s="6">
        <v>574</v>
      </c>
      <c r="B575" s="7" t="s">
        <v>8</v>
      </c>
      <c r="C575" s="8">
        <v>1887</v>
      </c>
      <c r="D575" s="9">
        <v>45425</v>
      </c>
      <c r="E575" s="13" t="str">
        <f>+HYPERLINK("http://trademark.i-assist.jp/data/china/image_1887th/76753957.pdf","76753957")</f>
        <v>76753957</v>
      </c>
      <c r="F575" s="7" t="s">
        <v>1572</v>
      </c>
      <c r="G575" s="7" t="s">
        <v>1573</v>
      </c>
      <c r="H575" s="7" t="s">
        <v>1574</v>
      </c>
      <c r="I575" s="9">
        <v>45324</v>
      </c>
    </row>
    <row r="576" spans="1:9" ht="27" x14ac:dyDescent="0.15">
      <c r="A576" s="6">
        <v>575</v>
      </c>
      <c r="B576" s="7" t="s">
        <v>8</v>
      </c>
      <c r="C576" s="8">
        <v>1887</v>
      </c>
      <c r="D576" s="9">
        <v>45425</v>
      </c>
      <c r="E576" s="13" t="str">
        <f>+HYPERLINK("http://trademark.i-assist.jp/data/china/image_1887th/76754028.pdf","76754028")</f>
        <v>76754028</v>
      </c>
      <c r="F576" s="7" t="s">
        <v>1575</v>
      </c>
      <c r="G576" s="7" t="s">
        <v>1576</v>
      </c>
      <c r="H576" s="7" t="s">
        <v>1577</v>
      </c>
      <c r="I576" s="9">
        <v>45324</v>
      </c>
    </row>
    <row r="577" spans="1:9" x14ac:dyDescent="0.15">
      <c r="A577" s="6">
        <v>576</v>
      </c>
      <c r="B577" s="7" t="s">
        <v>8</v>
      </c>
      <c r="C577" s="8">
        <v>1887</v>
      </c>
      <c r="D577" s="9">
        <v>45425</v>
      </c>
      <c r="E577" s="13" t="str">
        <f>+HYPERLINK("http://trademark.i-assist.jp/data/china/image_1887th/76754111.pdf","76754111")</f>
        <v>76754111</v>
      </c>
      <c r="F577" s="7" t="s">
        <v>1578</v>
      </c>
      <c r="G577" s="7" t="s">
        <v>1579</v>
      </c>
      <c r="H577" s="7" t="s">
        <v>1580</v>
      </c>
      <c r="I577" s="9">
        <v>45324</v>
      </c>
    </row>
    <row r="578" spans="1:9" x14ac:dyDescent="0.15">
      <c r="A578" s="6">
        <v>577</v>
      </c>
      <c r="B578" s="7" t="s">
        <v>8</v>
      </c>
      <c r="C578" s="8">
        <v>1887</v>
      </c>
      <c r="D578" s="9">
        <v>45425</v>
      </c>
      <c r="E578" s="13" t="str">
        <f>+HYPERLINK("http://trademark.i-assist.jp/data/china/image_1887th/76754210.pdf","76754210")</f>
        <v>76754210</v>
      </c>
      <c r="F578" s="7" t="s">
        <v>1581</v>
      </c>
      <c r="G578" s="7" t="s">
        <v>1582</v>
      </c>
      <c r="H578" s="7" t="s">
        <v>1583</v>
      </c>
      <c r="I578" s="9">
        <v>45324</v>
      </c>
    </row>
    <row r="579" spans="1:9" x14ac:dyDescent="0.15">
      <c r="A579" s="6">
        <v>578</v>
      </c>
      <c r="B579" s="7" t="s">
        <v>8</v>
      </c>
      <c r="C579" s="8">
        <v>1887</v>
      </c>
      <c r="D579" s="9">
        <v>45425</v>
      </c>
      <c r="E579" s="13" t="str">
        <f>+HYPERLINK("http://trademark.i-assist.jp/data/china/image_1887th/76754565.pdf","76754565")</f>
        <v>76754565</v>
      </c>
      <c r="F579" s="7" t="s">
        <v>1584</v>
      </c>
      <c r="G579" s="7" t="s">
        <v>1585</v>
      </c>
      <c r="H579" s="7" t="s">
        <v>1586</v>
      </c>
      <c r="I579" s="9">
        <v>45324</v>
      </c>
    </row>
    <row r="580" spans="1:9" x14ac:dyDescent="0.15">
      <c r="A580" s="6">
        <v>579</v>
      </c>
      <c r="B580" s="7" t="s">
        <v>8</v>
      </c>
      <c r="C580" s="8">
        <v>1887</v>
      </c>
      <c r="D580" s="9">
        <v>45425</v>
      </c>
      <c r="E580" s="13" t="str">
        <f>+HYPERLINK("http://trademark.i-assist.jp/data/china/image_1887th/76754845.pdf","76754845")</f>
        <v>76754845</v>
      </c>
      <c r="F580" s="7" t="s">
        <v>1587</v>
      </c>
      <c r="G580" s="7" t="s">
        <v>1588</v>
      </c>
      <c r="H580" s="7" t="s">
        <v>1589</v>
      </c>
      <c r="I580" s="9">
        <v>45324</v>
      </c>
    </row>
    <row r="581" spans="1:9" x14ac:dyDescent="0.15">
      <c r="A581" s="6">
        <v>580</v>
      </c>
      <c r="B581" s="7" t="s">
        <v>8</v>
      </c>
      <c r="C581" s="8">
        <v>1887</v>
      </c>
      <c r="D581" s="9">
        <v>45425</v>
      </c>
      <c r="E581" s="13" t="str">
        <f>+HYPERLINK("http://trademark.i-assist.jp/data/china/image_1887th/76755011.pdf","76755011")</f>
        <v>76755011</v>
      </c>
      <c r="F581" s="7" t="s">
        <v>1590</v>
      </c>
      <c r="G581" s="7" t="s">
        <v>1563</v>
      </c>
      <c r="H581" s="7" t="s">
        <v>1564</v>
      </c>
      <c r="I581" s="9">
        <v>45324</v>
      </c>
    </row>
    <row r="582" spans="1:9" x14ac:dyDescent="0.15">
      <c r="A582" s="6">
        <v>581</v>
      </c>
      <c r="B582" s="7" t="s">
        <v>8</v>
      </c>
      <c r="C582" s="8">
        <v>1887</v>
      </c>
      <c r="D582" s="9">
        <v>45425</v>
      </c>
      <c r="E582" s="13" t="str">
        <f>+HYPERLINK("http://trademark.i-assist.jp/data/china/image_1887th/76755427.pdf","76755427")</f>
        <v>76755427</v>
      </c>
      <c r="F582" s="7" t="s">
        <v>1591</v>
      </c>
      <c r="G582" s="7" t="s">
        <v>1592</v>
      </c>
      <c r="H582" s="7" t="s">
        <v>1593</v>
      </c>
      <c r="I582" s="9">
        <v>45324</v>
      </c>
    </row>
    <row r="583" spans="1:9" x14ac:dyDescent="0.15">
      <c r="A583" s="6">
        <v>582</v>
      </c>
      <c r="B583" s="7" t="s">
        <v>8</v>
      </c>
      <c r="C583" s="8">
        <v>1887</v>
      </c>
      <c r="D583" s="9">
        <v>45425</v>
      </c>
      <c r="E583" s="13" t="str">
        <f>+HYPERLINK("http://trademark.i-assist.jp/data/china/image_1887th/76755477.pdf","76755477")</f>
        <v>76755477</v>
      </c>
      <c r="F583" s="7" t="s">
        <v>1594</v>
      </c>
      <c r="G583" s="7" t="s">
        <v>1595</v>
      </c>
      <c r="H583" s="7" t="s">
        <v>1596</v>
      </c>
      <c r="I583" s="9">
        <v>45324</v>
      </c>
    </row>
    <row r="584" spans="1:9" x14ac:dyDescent="0.15">
      <c r="A584" s="6">
        <v>583</v>
      </c>
      <c r="B584" s="7" t="s">
        <v>8</v>
      </c>
      <c r="C584" s="8">
        <v>1887</v>
      </c>
      <c r="D584" s="9">
        <v>45425</v>
      </c>
      <c r="E584" s="13" t="str">
        <f>+HYPERLINK("http://trademark.i-assist.jp/data/china/image_1887th/76755623.pdf","76755623")</f>
        <v>76755623</v>
      </c>
      <c r="F584" s="7" t="s">
        <v>1597</v>
      </c>
      <c r="G584" s="7" t="s">
        <v>1598</v>
      </c>
      <c r="H584" s="7" t="s">
        <v>1599</v>
      </c>
      <c r="I584" s="9">
        <v>45324</v>
      </c>
    </row>
    <row r="585" spans="1:9" x14ac:dyDescent="0.15">
      <c r="A585" s="6">
        <v>584</v>
      </c>
      <c r="B585" s="7" t="s">
        <v>8</v>
      </c>
      <c r="C585" s="8">
        <v>1887</v>
      </c>
      <c r="D585" s="9">
        <v>45425</v>
      </c>
      <c r="E585" s="13" t="str">
        <f>+HYPERLINK("http://trademark.i-assist.jp/data/china/image_1887th/76755811.pdf","76755811")</f>
        <v>76755811</v>
      </c>
      <c r="F585" s="7" t="s">
        <v>1600</v>
      </c>
      <c r="G585" s="7" t="s">
        <v>1601</v>
      </c>
      <c r="H585" s="7" t="s">
        <v>1602</v>
      </c>
      <c r="I585" s="9">
        <v>45324</v>
      </c>
    </row>
    <row r="586" spans="1:9" x14ac:dyDescent="0.15">
      <c r="A586" s="6">
        <v>585</v>
      </c>
      <c r="B586" s="7" t="s">
        <v>8</v>
      </c>
      <c r="C586" s="8">
        <v>1887</v>
      </c>
      <c r="D586" s="9">
        <v>45425</v>
      </c>
      <c r="E586" s="13" t="str">
        <f>+HYPERLINK("http://trademark.i-assist.jp/data/china/image_1887th/76755896.pdf","76755896")</f>
        <v>76755896</v>
      </c>
      <c r="F586" s="7" t="s">
        <v>1603</v>
      </c>
      <c r="G586" s="7" t="s">
        <v>1604</v>
      </c>
      <c r="H586" s="7" t="s">
        <v>1605</v>
      </c>
      <c r="I586" s="9">
        <v>45324</v>
      </c>
    </row>
    <row r="587" spans="1:9" x14ac:dyDescent="0.15">
      <c r="A587" s="6">
        <v>586</v>
      </c>
      <c r="B587" s="7" t="s">
        <v>8</v>
      </c>
      <c r="C587" s="8">
        <v>1887</v>
      </c>
      <c r="D587" s="9">
        <v>45425</v>
      </c>
      <c r="E587" s="13" t="str">
        <f>+HYPERLINK("http://trademark.i-assist.jp/data/china/image_1887th/76756071.pdf","76756071")</f>
        <v>76756071</v>
      </c>
      <c r="F587" s="7" t="s">
        <v>1606</v>
      </c>
      <c r="G587" s="7" t="s">
        <v>1607</v>
      </c>
      <c r="H587" s="7" t="s">
        <v>1608</v>
      </c>
      <c r="I587" s="9">
        <v>45324</v>
      </c>
    </row>
    <row r="588" spans="1:9" x14ac:dyDescent="0.15">
      <c r="A588" s="6">
        <v>587</v>
      </c>
      <c r="B588" s="7" t="s">
        <v>8</v>
      </c>
      <c r="C588" s="8">
        <v>1887</v>
      </c>
      <c r="D588" s="9">
        <v>45425</v>
      </c>
      <c r="E588" s="13" t="str">
        <f>+HYPERLINK("http://trademark.i-assist.jp/data/china/image_1887th/76756495.pdf","76756495")</f>
        <v>76756495</v>
      </c>
      <c r="F588" s="7" t="s">
        <v>1609</v>
      </c>
      <c r="G588" s="7" t="s">
        <v>1610</v>
      </c>
      <c r="H588" s="7" t="s">
        <v>1611</v>
      </c>
      <c r="I588" s="9">
        <v>45324</v>
      </c>
    </row>
    <row r="589" spans="1:9" ht="27" x14ac:dyDescent="0.15">
      <c r="A589" s="6">
        <v>588</v>
      </c>
      <c r="B589" s="7" t="s">
        <v>8</v>
      </c>
      <c r="C589" s="8">
        <v>1887</v>
      </c>
      <c r="D589" s="9">
        <v>45425</v>
      </c>
      <c r="E589" s="13" t="str">
        <f>+HYPERLINK("http://trademark.i-assist.jp/data/china/image_1887th/76756588.pdf","76756588")</f>
        <v>76756588</v>
      </c>
      <c r="F589" s="7" t="s">
        <v>1612</v>
      </c>
      <c r="G589" s="7" t="s">
        <v>1613</v>
      </c>
      <c r="H589" s="7" t="s">
        <v>1614</v>
      </c>
      <c r="I589" s="9">
        <v>45324</v>
      </c>
    </row>
    <row r="590" spans="1:9" x14ac:dyDescent="0.15">
      <c r="A590" s="6">
        <v>589</v>
      </c>
      <c r="B590" s="7" t="s">
        <v>8</v>
      </c>
      <c r="C590" s="8">
        <v>1887</v>
      </c>
      <c r="D590" s="9">
        <v>45425</v>
      </c>
      <c r="E590" s="13" t="str">
        <f>+HYPERLINK("http://trademark.i-assist.jp/data/china/image_1887th/76756718.pdf","76756718")</f>
        <v>76756718</v>
      </c>
      <c r="F590" s="7" t="s">
        <v>1615</v>
      </c>
      <c r="G590" s="7" t="s">
        <v>1270</v>
      </c>
      <c r="H590" s="7" t="s">
        <v>1616</v>
      </c>
      <c r="I590" s="9">
        <v>45324</v>
      </c>
    </row>
    <row r="591" spans="1:9" x14ac:dyDescent="0.15">
      <c r="A591" s="6">
        <v>590</v>
      </c>
      <c r="B591" s="7" t="s">
        <v>8</v>
      </c>
      <c r="C591" s="8">
        <v>1887</v>
      </c>
      <c r="D591" s="9">
        <v>45425</v>
      </c>
      <c r="E591" s="13" t="str">
        <f>+HYPERLINK("http://trademark.i-assist.jp/data/china/image_1887th/76756751.pdf","76756751")</f>
        <v>76756751</v>
      </c>
      <c r="F591" s="7" t="s">
        <v>1617</v>
      </c>
      <c r="G591" s="7" t="s">
        <v>1618</v>
      </c>
      <c r="H591" s="7" t="s">
        <v>1619</v>
      </c>
      <c r="I591" s="9">
        <v>45324</v>
      </c>
    </row>
    <row r="592" spans="1:9" x14ac:dyDescent="0.15">
      <c r="A592" s="6">
        <v>591</v>
      </c>
      <c r="B592" s="7" t="s">
        <v>8</v>
      </c>
      <c r="C592" s="8">
        <v>1887</v>
      </c>
      <c r="D592" s="9">
        <v>45425</v>
      </c>
      <c r="E592" s="13" t="str">
        <f>+HYPERLINK("http://trademark.i-assist.jp/data/china/image_1887th/76757060.pdf","76757060")</f>
        <v>76757060</v>
      </c>
      <c r="F592" s="7" t="s">
        <v>1620</v>
      </c>
      <c r="G592" s="7" t="s">
        <v>1621</v>
      </c>
      <c r="H592" s="7" t="s">
        <v>1622</v>
      </c>
      <c r="I592" s="9">
        <v>45324</v>
      </c>
    </row>
    <row r="593" spans="1:9" x14ac:dyDescent="0.15">
      <c r="A593" s="6">
        <v>592</v>
      </c>
      <c r="B593" s="7" t="s">
        <v>8</v>
      </c>
      <c r="C593" s="8">
        <v>1887</v>
      </c>
      <c r="D593" s="9">
        <v>45425</v>
      </c>
      <c r="E593" s="13" t="str">
        <f>+HYPERLINK("http://trademark.i-assist.jp/data/china/image_1887th/76758027.pdf","76758027")</f>
        <v>76758027</v>
      </c>
      <c r="F593" s="7" t="s">
        <v>1623</v>
      </c>
      <c r="G593" s="7" t="s">
        <v>1624</v>
      </c>
      <c r="H593" s="7" t="s">
        <v>1625</v>
      </c>
      <c r="I593" s="9">
        <v>45324</v>
      </c>
    </row>
    <row r="594" spans="1:9" x14ac:dyDescent="0.15">
      <c r="A594" s="6">
        <v>593</v>
      </c>
      <c r="B594" s="7" t="s">
        <v>8</v>
      </c>
      <c r="C594" s="8">
        <v>1887</v>
      </c>
      <c r="D594" s="9">
        <v>45425</v>
      </c>
      <c r="E594" s="13" t="str">
        <f>+HYPERLINK("http://trademark.i-assist.jp/data/china/image_1887th/76758062.pdf","76758062")</f>
        <v>76758062</v>
      </c>
      <c r="F594" s="7" t="s">
        <v>1626</v>
      </c>
      <c r="G594" s="7" t="s">
        <v>1627</v>
      </c>
      <c r="H594" s="7" t="s">
        <v>1628</v>
      </c>
      <c r="I594" s="9">
        <v>45324</v>
      </c>
    </row>
    <row r="595" spans="1:9" x14ac:dyDescent="0.15">
      <c r="A595" s="6">
        <v>594</v>
      </c>
      <c r="B595" s="7" t="s">
        <v>8</v>
      </c>
      <c r="C595" s="8">
        <v>1887</v>
      </c>
      <c r="D595" s="9">
        <v>45425</v>
      </c>
      <c r="E595" s="13" t="str">
        <f>+HYPERLINK("http://trademark.i-assist.jp/data/china/image_1887th/76758344.pdf","76758344")</f>
        <v>76758344</v>
      </c>
      <c r="F595" s="7" t="s">
        <v>1629</v>
      </c>
      <c r="G595" s="7" t="s">
        <v>1592</v>
      </c>
      <c r="H595" s="7" t="s">
        <v>1630</v>
      </c>
      <c r="I595" s="9">
        <v>45324</v>
      </c>
    </row>
    <row r="596" spans="1:9" x14ac:dyDescent="0.15">
      <c r="A596" s="6">
        <v>595</v>
      </c>
      <c r="B596" s="7" t="s">
        <v>8</v>
      </c>
      <c r="C596" s="8">
        <v>1887</v>
      </c>
      <c r="D596" s="9">
        <v>45425</v>
      </c>
      <c r="E596" s="13" t="str">
        <f>+HYPERLINK("http://trademark.i-assist.jp/data/china/image_1887th/76758721.pdf","76758721")</f>
        <v>76758721</v>
      </c>
      <c r="F596" s="7" t="s">
        <v>1631</v>
      </c>
      <c r="G596" s="7" t="s">
        <v>1632</v>
      </c>
      <c r="H596" s="7" t="s">
        <v>1633</v>
      </c>
      <c r="I596" s="9">
        <v>45324</v>
      </c>
    </row>
    <row r="597" spans="1:9" x14ac:dyDescent="0.15">
      <c r="A597" s="6">
        <v>596</v>
      </c>
      <c r="B597" s="7" t="s">
        <v>8</v>
      </c>
      <c r="C597" s="8">
        <v>1887</v>
      </c>
      <c r="D597" s="9">
        <v>45425</v>
      </c>
      <c r="E597" s="13" t="str">
        <f>+HYPERLINK("http://trademark.i-assist.jp/data/china/image_1887th/76759190.pdf","76759190")</f>
        <v>76759190</v>
      </c>
      <c r="F597" s="7" t="s">
        <v>1634</v>
      </c>
      <c r="G597" s="7" t="s">
        <v>1635</v>
      </c>
      <c r="H597" s="7" t="s">
        <v>1636</v>
      </c>
      <c r="I597" s="9">
        <v>45324</v>
      </c>
    </row>
    <row r="598" spans="1:9" x14ac:dyDescent="0.15">
      <c r="A598" s="6">
        <v>597</v>
      </c>
      <c r="B598" s="7" t="s">
        <v>8</v>
      </c>
      <c r="C598" s="8">
        <v>1887</v>
      </c>
      <c r="D598" s="9">
        <v>45425</v>
      </c>
      <c r="E598" s="13" t="str">
        <f>+HYPERLINK("http://trademark.i-assist.jp/data/china/image_1887th/76759409.pdf","76759409")</f>
        <v>76759409</v>
      </c>
      <c r="F598" s="7" t="s">
        <v>1637</v>
      </c>
      <c r="G598" s="7" t="s">
        <v>1638</v>
      </c>
      <c r="H598" s="7" t="s">
        <v>1639</v>
      </c>
      <c r="I598" s="9">
        <v>45324</v>
      </c>
    </row>
    <row r="599" spans="1:9" x14ac:dyDescent="0.15">
      <c r="A599" s="6">
        <v>598</v>
      </c>
      <c r="B599" s="7" t="s">
        <v>8</v>
      </c>
      <c r="C599" s="8">
        <v>1887</v>
      </c>
      <c r="D599" s="9">
        <v>45425</v>
      </c>
      <c r="E599" s="13" t="str">
        <f>+HYPERLINK("http://trademark.i-assist.jp/data/china/image_1887th/76759534.pdf","76759534")</f>
        <v>76759534</v>
      </c>
      <c r="F599" s="7" t="s">
        <v>1640</v>
      </c>
      <c r="G599" s="7" t="s">
        <v>1270</v>
      </c>
      <c r="H599" s="7" t="s">
        <v>1641</v>
      </c>
      <c r="I599" s="9">
        <v>45324</v>
      </c>
    </row>
    <row r="600" spans="1:9" x14ac:dyDescent="0.15">
      <c r="A600" s="6">
        <v>599</v>
      </c>
      <c r="B600" s="7" t="s">
        <v>8</v>
      </c>
      <c r="C600" s="8">
        <v>1887</v>
      </c>
      <c r="D600" s="9">
        <v>45425</v>
      </c>
      <c r="E600" s="13" t="str">
        <f>+HYPERLINK("http://trademark.i-assist.jp/data/china/image_1887th/76760617.pdf","76760617")</f>
        <v>76760617</v>
      </c>
      <c r="F600" s="7" t="s">
        <v>1642</v>
      </c>
      <c r="G600" s="7" t="s">
        <v>1643</v>
      </c>
      <c r="H600" s="7" t="s">
        <v>1644</v>
      </c>
      <c r="I600" s="9">
        <v>45324</v>
      </c>
    </row>
    <row r="601" spans="1:9" x14ac:dyDescent="0.15">
      <c r="A601" s="6">
        <v>600</v>
      </c>
      <c r="B601" s="7" t="s">
        <v>8</v>
      </c>
      <c r="C601" s="8">
        <v>1887</v>
      </c>
      <c r="D601" s="9">
        <v>45425</v>
      </c>
      <c r="E601" s="13" t="str">
        <f>+HYPERLINK("http://trademark.i-assist.jp/data/china/image_1887th/76760750.pdf","76760750")</f>
        <v>76760750</v>
      </c>
      <c r="F601" s="7" t="s">
        <v>1645</v>
      </c>
      <c r="G601" s="7" t="s">
        <v>1646</v>
      </c>
      <c r="H601" s="7" t="s">
        <v>1647</v>
      </c>
      <c r="I601" s="9">
        <v>45324</v>
      </c>
    </row>
    <row r="602" spans="1:9" x14ac:dyDescent="0.15">
      <c r="A602" s="6">
        <v>601</v>
      </c>
      <c r="B602" s="7" t="s">
        <v>8</v>
      </c>
      <c r="C602" s="8">
        <v>1887</v>
      </c>
      <c r="D602" s="9">
        <v>45425</v>
      </c>
      <c r="E602" s="13" t="str">
        <f>+HYPERLINK("http://trademark.i-assist.jp/data/china/image_1887th/76760790.pdf","76760790")</f>
        <v>76760790</v>
      </c>
      <c r="F602" s="7" t="s">
        <v>1648</v>
      </c>
      <c r="G602" s="7" t="s">
        <v>1649</v>
      </c>
      <c r="H602" s="7" t="s">
        <v>1650</v>
      </c>
      <c r="I602" s="9">
        <v>45324</v>
      </c>
    </row>
    <row r="603" spans="1:9" x14ac:dyDescent="0.15">
      <c r="A603" s="6">
        <v>602</v>
      </c>
      <c r="B603" s="7" t="s">
        <v>8</v>
      </c>
      <c r="C603" s="8">
        <v>1887</v>
      </c>
      <c r="D603" s="9">
        <v>45425</v>
      </c>
      <c r="E603" s="13" t="str">
        <f>+HYPERLINK("http://trademark.i-assist.jp/data/china/image_1887th/76760838.pdf","76760838")</f>
        <v>76760838</v>
      </c>
      <c r="F603" s="7" t="s">
        <v>1651</v>
      </c>
      <c r="G603" s="7" t="s">
        <v>1652</v>
      </c>
      <c r="H603" s="7" t="s">
        <v>1653</v>
      </c>
      <c r="I603" s="9">
        <v>45324</v>
      </c>
    </row>
    <row r="604" spans="1:9" x14ac:dyDescent="0.15">
      <c r="A604" s="6">
        <v>603</v>
      </c>
      <c r="B604" s="7" t="s">
        <v>8</v>
      </c>
      <c r="C604" s="8">
        <v>1887</v>
      </c>
      <c r="D604" s="9">
        <v>45425</v>
      </c>
      <c r="E604" s="13" t="str">
        <f>+HYPERLINK("http://trademark.i-assist.jp/data/china/image_1887th/76760882.pdf","76760882")</f>
        <v>76760882</v>
      </c>
      <c r="F604" s="7" t="s">
        <v>1654</v>
      </c>
      <c r="G604" s="7" t="s">
        <v>1655</v>
      </c>
      <c r="H604" s="7" t="s">
        <v>1656</v>
      </c>
      <c r="I604" s="9">
        <v>45324</v>
      </c>
    </row>
    <row r="605" spans="1:9" ht="27" x14ac:dyDescent="0.15">
      <c r="A605" s="6">
        <v>604</v>
      </c>
      <c r="B605" s="7" t="s">
        <v>8</v>
      </c>
      <c r="C605" s="8">
        <v>1887</v>
      </c>
      <c r="D605" s="9">
        <v>45425</v>
      </c>
      <c r="E605" s="13" t="str">
        <f>+HYPERLINK("http://trademark.i-assist.jp/data/china/image_1887th/76761474.pdf","76761474")</f>
        <v>76761474</v>
      </c>
      <c r="F605" s="7" t="s">
        <v>1657</v>
      </c>
      <c r="G605" s="7" t="s">
        <v>1658</v>
      </c>
      <c r="H605" s="7" t="s">
        <v>1659</v>
      </c>
      <c r="I605" s="9">
        <v>45324</v>
      </c>
    </row>
    <row r="606" spans="1:9" x14ac:dyDescent="0.15">
      <c r="A606" s="6">
        <v>605</v>
      </c>
      <c r="B606" s="7" t="s">
        <v>8</v>
      </c>
      <c r="C606" s="8">
        <v>1887</v>
      </c>
      <c r="D606" s="9">
        <v>45425</v>
      </c>
      <c r="E606" s="13" t="str">
        <f>+HYPERLINK("http://trademark.i-assist.jp/data/china/image_1887th/76761510.pdf","76761510")</f>
        <v>76761510</v>
      </c>
      <c r="F606" s="7" t="s">
        <v>1660</v>
      </c>
      <c r="G606" s="7" t="s">
        <v>1661</v>
      </c>
      <c r="H606" s="7" t="s">
        <v>1662</v>
      </c>
      <c r="I606" s="9">
        <v>45324</v>
      </c>
    </row>
    <row r="607" spans="1:9" x14ac:dyDescent="0.15">
      <c r="A607" s="6">
        <v>606</v>
      </c>
      <c r="B607" s="7" t="s">
        <v>8</v>
      </c>
      <c r="C607" s="8">
        <v>1887</v>
      </c>
      <c r="D607" s="9">
        <v>45425</v>
      </c>
      <c r="E607" s="13" t="str">
        <f>+HYPERLINK("http://trademark.i-assist.jp/data/china/image_1887th/76761525.pdf","76761525")</f>
        <v>76761525</v>
      </c>
      <c r="F607" s="7" t="s">
        <v>1663</v>
      </c>
      <c r="G607" s="7" t="s">
        <v>1525</v>
      </c>
      <c r="H607" s="7" t="s">
        <v>1664</v>
      </c>
      <c r="I607" s="9">
        <v>45324</v>
      </c>
    </row>
    <row r="608" spans="1:9" x14ac:dyDescent="0.15">
      <c r="A608" s="6">
        <v>607</v>
      </c>
      <c r="B608" s="7" t="s">
        <v>8</v>
      </c>
      <c r="C608" s="8">
        <v>1887</v>
      </c>
      <c r="D608" s="9">
        <v>45425</v>
      </c>
      <c r="E608" s="13" t="str">
        <f>+HYPERLINK("http://trademark.i-assist.jp/data/china/image_1887th/76761760.pdf","76761760")</f>
        <v>76761760</v>
      </c>
      <c r="F608" s="7" t="s">
        <v>1665</v>
      </c>
      <c r="G608" s="7" t="s">
        <v>1666</v>
      </c>
      <c r="H608" s="7" t="s">
        <v>1667</v>
      </c>
      <c r="I608" s="9">
        <v>45324</v>
      </c>
    </row>
    <row r="609" spans="1:9" x14ac:dyDescent="0.15">
      <c r="A609" s="6">
        <v>608</v>
      </c>
      <c r="B609" s="7" t="s">
        <v>8</v>
      </c>
      <c r="C609" s="8">
        <v>1887</v>
      </c>
      <c r="D609" s="9">
        <v>45425</v>
      </c>
      <c r="E609" s="13" t="str">
        <f>+HYPERLINK("http://trademark.i-assist.jp/data/china/image_1887th/76762099.pdf","76762099")</f>
        <v>76762099</v>
      </c>
      <c r="F609" s="7" t="s">
        <v>1668</v>
      </c>
      <c r="G609" s="7" t="s">
        <v>1669</v>
      </c>
      <c r="H609" s="7" t="s">
        <v>1670</v>
      </c>
      <c r="I609" s="9">
        <v>45324</v>
      </c>
    </row>
    <row r="610" spans="1:9" x14ac:dyDescent="0.15">
      <c r="A610" s="6">
        <v>609</v>
      </c>
      <c r="B610" s="7" t="s">
        <v>8</v>
      </c>
      <c r="C610" s="8">
        <v>1887</v>
      </c>
      <c r="D610" s="9">
        <v>45425</v>
      </c>
      <c r="E610" s="13" t="str">
        <f>+HYPERLINK("http://trademark.i-assist.jp/data/china/image_1887th/76762165.pdf","76762165")</f>
        <v>76762165</v>
      </c>
      <c r="F610" s="7" t="s">
        <v>1671</v>
      </c>
      <c r="G610" s="7" t="s">
        <v>1672</v>
      </c>
      <c r="H610" s="7" t="s">
        <v>1673</v>
      </c>
      <c r="I610" s="9">
        <v>45324</v>
      </c>
    </row>
    <row r="611" spans="1:9" x14ac:dyDescent="0.15">
      <c r="A611" s="6">
        <v>610</v>
      </c>
      <c r="B611" s="7" t="s">
        <v>8</v>
      </c>
      <c r="C611" s="8">
        <v>1887</v>
      </c>
      <c r="D611" s="9">
        <v>45425</v>
      </c>
      <c r="E611" s="13" t="str">
        <f>+HYPERLINK("http://trademark.i-assist.jp/data/china/image_1887th/76762716.pdf","76762716")</f>
        <v>76762716</v>
      </c>
      <c r="F611" s="7" t="s">
        <v>1674</v>
      </c>
      <c r="G611" s="7" t="s">
        <v>1675</v>
      </c>
      <c r="H611" s="7" t="s">
        <v>1676</v>
      </c>
      <c r="I611" s="9">
        <v>45324</v>
      </c>
    </row>
    <row r="612" spans="1:9" ht="27" x14ac:dyDescent="0.15">
      <c r="A612" s="6">
        <v>611</v>
      </c>
      <c r="B612" s="7" t="s">
        <v>8</v>
      </c>
      <c r="C612" s="8">
        <v>1887</v>
      </c>
      <c r="D612" s="9">
        <v>45425</v>
      </c>
      <c r="E612" s="13" t="str">
        <f>+HYPERLINK("http://trademark.i-assist.jp/data/china/image_1887th/76763353.pdf","76763353")</f>
        <v>76763353</v>
      </c>
      <c r="F612" s="7" t="s">
        <v>1677</v>
      </c>
      <c r="G612" s="7" t="s">
        <v>1678</v>
      </c>
      <c r="H612" s="7" t="s">
        <v>1679</v>
      </c>
      <c r="I612" s="9">
        <v>45325</v>
      </c>
    </row>
    <row r="613" spans="1:9" x14ac:dyDescent="0.15">
      <c r="A613" s="6">
        <v>612</v>
      </c>
      <c r="B613" s="7" t="s">
        <v>8</v>
      </c>
      <c r="C613" s="8">
        <v>1887</v>
      </c>
      <c r="D613" s="9">
        <v>45425</v>
      </c>
      <c r="E613" s="13" t="str">
        <f>+HYPERLINK("http://trademark.i-assist.jp/data/china/image_1887th/76764033.pdf","76764033")</f>
        <v>76764033</v>
      </c>
      <c r="F613" s="7" t="s">
        <v>1680</v>
      </c>
      <c r="G613" s="7" t="s">
        <v>1681</v>
      </c>
      <c r="H613" s="7" t="s">
        <v>1682</v>
      </c>
      <c r="I613" s="9">
        <v>45325</v>
      </c>
    </row>
    <row r="614" spans="1:9" x14ac:dyDescent="0.15">
      <c r="A614" s="6">
        <v>613</v>
      </c>
      <c r="B614" s="7" t="s">
        <v>8</v>
      </c>
      <c r="C614" s="8">
        <v>1887</v>
      </c>
      <c r="D614" s="9">
        <v>45425</v>
      </c>
      <c r="E614" s="13" t="str">
        <f>+HYPERLINK("http://trademark.i-assist.jp/data/china/image_1887th/76764111.pdf","76764111")</f>
        <v>76764111</v>
      </c>
      <c r="F614" s="7" t="s">
        <v>1683</v>
      </c>
      <c r="G614" s="7" t="s">
        <v>1684</v>
      </c>
      <c r="H614" s="7" t="s">
        <v>1685</v>
      </c>
      <c r="I614" s="9">
        <v>45325</v>
      </c>
    </row>
    <row r="615" spans="1:9" x14ac:dyDescent="0.15">
      <c r="A615" s="6">
        <v>614</v>
      </c>
      <c r="B615" s="7" t="s">
        <v>8</v>
      </c>
      <c r="C615" s="8">
        <v>1887</v>
      </c>
      <c r="D615" s="9">
        <v>45425</v>
      </c>
      <c r="E615" s="13" t="str">
        <f>+HYPERLINK("http://trademark.i-assist.jp/data/china/image_1887th/76765171.pdf","76765171")</f>
        <v>76765171</v>
      </c>
      <c r="F615" s="7" t="s">
        <v>1686</v>
      </c>
      <c r="G615" s="7" t="s">
        <v>1687</v>
      </c>
      <c r="H615" s="7" t="s">
        <v>1688</v>
      </c>
      <c r="I615" s="9">
        <v>45325</v>
      </c>
    </row>
    <row r="616" spans="1:9" x14ac:dyDescent="0.15">
      <c r="A616" s="6">
        <v>615</v>
      </c>
      <c r="B616" s="7" t="s">
        <v>8</v>
      </c>
      <c r="C616" s="8">
        <v>1887</v>
      </c>
      <c r="D616" s="9">
        <v>45425</v>
      </c>
      <c r="E616" s="13" t="str">
        <f>+HYPERLINK("http://trademark.i-assist.jp/data/china/image_1887th/76765587.pdf","76765587")</f>
        <v>76765587</v>
      </c>
      <c r="F616" s="7" t="s">
        <v>1689</v>
      </c>
      <c r="G616" s="7" t="s">
        <v>1684</v>
      </c>
      <c r="H616" s="7" t="s">
        <v>1690</v>
      </c>
      <c r="I616" s="9">
        <v>45325</v>
      </c>
    </row>
    <row r="617" spans="1:9" x14ac:dyDescent="0.15">
      <c r="A617" s="6">
        <v>616</v>
      </c>
      <c r="B617" s="7" t="s">
        <v>8</v>
      </c>
      <c r="C617" s="8">
        <v>1887</v>
      </c>
      <c r="D617" s="9">
        <v>45425</v>
      </c>
      <c r="E617" s="13" t="str">
        <f>+HYPERLINK("http://trademark.i-assist.jp/data/china/image_1887th/76765927.pdf","76765927")</f>
        <v>76765927</v>
      </c>
      <c r="F617" s="7" t="s">
        <v>1691</v>
      </c>
      <c r="G617" s="7" t="s">
        <v>1692</v>
      </c>
      <c r="H617" s="7" t="s">
        <v>1178</v>
      </c>
      <c r="I617" s="9">
        <v>45325</v>
      </c>
    </row>
    <row r="618" spans="1:9" ht="27" x14ac:dyDescent="0.15">
      <c r="A618" s="6">
        <v>617</v>
      </c>
      <c r="B618" s="7" t="s">
        <v>8</v>
      </c>
      <c r="C618" s="8">
        <v>1887</v>
      </c>
      <c r="D618" s="9">
        <v>45425</v>
      </c>
      <c r="E618" s="13" t="str">
        <f>+HYPERLINK("http://trademark.i-assist.jp/data/china/image_1887th/76766095.pdf","76766095")</f>
        <v>76766095</v>
      </c>
      <c r="F618" s="7" t="s">
        <v>1693</v>
      </c>
      <c r="G618" s="7" t="s">
        <v>1694</v>
      </c>
      <c r="H618" s="7" t="s">
        <v>1695</v>
      </c>
      <c r="I618" s="9">
        <v>45325</v>
      </c>
    </row>
    <row r="619" spans="1:9" x14ac:dyDescent="0.15">
      <c r="A619" s="6">
        <v>618</v>
      </c>
      <c r="B619" s="7" t="s">
        <v>8</v>
      </c>
      <c r="C619" s="8">
        <v>1887</v>
      </c>
      <c r="D619" s="9">
        <v>45425</v>
      </c>
      <c r="E619" s="13" t="str">
        <f>+HYPERLINK("http://trademark.i-assist.jp/data/china/image_1887th/76766102.pdf","76766102")</f>
        <v>76766102</v>
      </c>
      <c r="F619" s="7" t="s">
        <v>1696</v>
      </c>
      <c r="G619" s="7" t="s">
        <v>1697</v>
      </c>
      <c r="H619" s="7" t="s">
        <v>1698</v>
      </c>
      <c r="I619" s="9">
        <v>45325</v>
      </c>
    </row>
    <row r="620" spans="1:9" x14ac:dyDescent="0.15">
      <c r="A620" s="6">
        <v>619</v>
      </c>
      <c r="B620" s="7" t="s">
        <v>8</v>
      </c>
      <c r="C620" s="8">
        <v>1887</v>
      </c>
      <c r="D620" s="9">
        <v>45425</v>
      </c>
      <c r="E620" s="13" t="str">
        <f>+HYPERLINK("http://trademark.i-assist.jp/data/china/image_1887th/76766237.pdf","76766237")</f>
        <v>76766237</v>
      </c>
      <c r="F620" s="7" t="s">
        <v>1699</v>
      </c>
      <c r="G620" s="7" t="s">
        <v>1700</v>
      </c>
      <c r="H620" s="7" t="s">
        <v>1701</v>
      </c>
      <c r="I620" s="9">
        <v>45325</v>
      </c>
    </row>
    <row r="621" spans="1:9" x14ac:dyDescent="0.15">
      <c r="A621" s="6">
        <v>620</v>
      </c>
      <c r="B621" s="7" t="s">
        <v>8</v>
      </c>
      <c r="C621" s="8">
        <v>1887</v>
      </c>
      <c r="D621" s="9">
        <v>45425</v>
      </c>
      <c r="E621" s="13" t="str">
        <f>+HYPERLINK("http://trademark.i-assist.jp/data/china/image_1887th/76766862.pdf","76766862")</f>
        <v>76766862</v>
      </c>
      <c r="F621" s="7" t="s">
        <v>1702</v>
      </c>
      <c r="G621" s="7" t="s">
        <v>1703</v>
      </c>
      <c r="H621" s="7" t="s">
        <v>1704</v>
      </c>
      <c r="I621" s="9">
        <v>45325</v>
      </c>
    </row>
    <row r="622" spans="1:9" x14ac:dyDescent="0.15">
      <c r="A622" s="6">
        <v>621</v>
      </c>
      <c r="B622" s="7" t="s">
        <v>8</v>
      </c>
      <c r="C622" s="8">
        <v>1887</v>
      </c>
      <c r="D622" s="9">
        <v>45425</v>
      </c>
      <c r="E622" s="13" t="str">
        <f>+HYPERLINK("http://trademark.i-assist.jp/data/china/image_1887th/76767318.pdf","76767318")</f>
        <v>76767318</v>
      </c>
      <c r="F622" s="7" t="s">
        <v>1705</v>
      </c>
      <c r="G622" s="7" t="s">
        <v>1706</v>
      </c>
      <c r="H622" s="7" t="s">
        <v>1707</v>
      </c>
      <c r="I622" s="9">
        <v>45325</v>
      </c>
    </row>
    <row r="623" spans="1:9" x14ac:dyDescent="0.15">
      <c r="A623" s="6">
        <v>622</v>
      </c>
      <c r="B623" s="7" t="s">
        <v>8</v>
      </c>
      <c r="C623" s="8">
        <v>1887</v>
      </c>
      <c r="D623" s="9">
        <v>45425</v>
      </c>
      <c r="E623" s="13" t="str">
        <f>+HYPERLINK("http://trademark.i-assist.jp/data/china/image_1887th/76767386.pdf","76767386")</f>
        <v>76767386</v>
      </c>
      <c r="F623" s="7" t="s">
        <v>1708</v>
      </c>
      <c r="G623" s="7" t="s">
        <v>1709</v>
      </c>
      <c r="H623" s="7" t="s">
        <v>1710</v>
      </c>
      <c r="I623" s="9">
        <v>45325</v>
      </c>
    </row>
    <row r="624" spans="1:9" x14ac:dyDescent="0.15">
      <c r="A624" s="6">
        <v>623</v>
      </c>
      <c r="B624" s="7" t="s">
        <v>8</v>
      </c>
      <c r="C624" s="8">
        <v>1887</v>
      </c>
      <c r="D624" s="9">
        <v>45425</v>
      </c>
      <c r="E624" s="13" t="str">
        <f>+HYPERLINK("http://trademark.i-assist.jp/data/china/image_1887th/76767451.pdf","76767451")</f>
        <v>76767451</v>
      </c>
      <c r="F624" s="7" t="s">
        <v>1711</v>
      </c>
      <c r="G624" s="7" t="s">
        <v>1712</v>
      </c>
      <c r="H624" s="7" t="s">
        <v>1713</v>
      </c>
      <c r="I624" s="9">
        <v>45325</v>
      </c>
    </row>
    <row r="625" spans="1:9" x14ac:dyDescent="0.15">
      <c r="A625" s="6">
        <v>624</v>
      </c>
      <c r="B625" s="7" t="s">
        <v>8</v>
      </c>
      <c r="C625" s="8">
        <v>1887</v>
      </c>
      <c r="D625" s="9">
        <v>45425</v>
      </c>
      <c r="E625" s="13" t="str">
        <f>+HYPERLINK("http://trademark.i-assist.jp/data/china/image_1887th/76767669.pdf","76767669")</f>
        <v>76767669</v>
      </c>
      <c r="F625" s="7" t="s">
        <v>1714</v>
      </c>
      <c r="G625" s="7" t="s">
        <v>1715</v>
      </c>
      <c r="H625" s="7" t="s">
        <v>1716</v>
      </c>
      <c r="I625" s="9">
        <v>45325</v>
      </c>
    </row>
    <row r="626" spans="1:9" x14ac:dyDescent="0.15">
      <c r="A626" s="6">
        <v>625</v>
      </c>
      <c r="B626" s="7" t="s">
        <v>8</v>
      </c>
      <c r="C626" s="8">
        <v>1887</v>
      </c>
      <c r="D626" s="9">
        <v>45425</v>
      </c>
      <c r="E626" s="13" t="str">
        <f>+HYPERLINK("http://trademark.i-assist.jp/data/china/image_1887th/76767966.pdf","76767966")</f>
        <v>76767966</v>
      </c>
      <c r="F626" s="7" t="s">
        <v>1717</v>
      </c>
      <c r="G626" s="7" t="s">
        <v>1718</v>
      </c>
      <c r="H626" s="7" t="s">
        <v>1719</v>
      </c>
      <c r="I626" s="9">
        <v>45325</v>
      </c>
    </row>
    <row r="627" spans="1:9" x14ac:dyDescent="0.15">
      <c r="A627" s="6">
        <v>626</v>
      </c>
      <c r="B627" s="7" t="s">
        <v>8</v>
      </c>
      <c r="C627" s="8">
        <v>1887</v>
      </c>
      <c r="D627" s="9">
        <v>45425</v>
      </c>
      <c r="E627" s="13" t="str">
        <f>+HYPERLINK("http://trademark.i-assist.jp/data/china/image_1887th/76768672.pdf","76768672")</f>
        <v>76768672</v>
      </c>
      <c r="F627" s="7" t="s">
        <v>1720</v>
      </c>
      <c r="G627" s="7" t="s">
        <v>566</v>
      </c>
      <c r="H627" s="7" t="s">
        <v>1721</v>
      </c>
      <c r="I627" s="9">
        <v>45325</v>
      </c>
    </row>
    <row r="628" spans="1:9" x14ac:dyDescent="0.15">
      <c r="A628" s="6">
        <v>627</v>
      </c>
      <c r="B628" s="7" t="s">
        <v>8</v>
      </c>
      <c r="C628" s="8">
        <v>1887</v>
      </c>
      <c r="D628" s="9">
        <v>45425</v>
      </c>
      <c r="E628" s="13" t="str">
        <f>+HYPERLINK("http://trademark.i-assist.jp/data/china/image_1887th/76768877.pdf","76768877")</f>
        <v>76768877</v>
      </c>
      <c r="F628" s="7" t="s">
        <v>1722</v>
      </c>
      <c r="G628" s="7" t="s">
        <v>1684</v>
      </c>
      <c r="H628" s="7" t="s">
        <v>1723</v>
      </c>
      <c r="I628" s="9">
        <v>45325</v>
      </c>
    </row>
    <row r="629" spans="1:9" ht="27" x14ac:dyDescent="0.15">
      <c r="A629" s="6">
        <v>628</v>
      </c>
      <c r="B629" s="7" t="s">
        <v>8</v>
      </c>
      <c r="C629" s="8">
        <v>1887</v>
      </c>
      <c r="D629" s="9">
        <v>45425</v>
      </c>
      <c r="E629" s="13" t="str">
        <f>+HYPERLINK("http://trademark.i-assist.jp/data/china/image_1887th/76769182.pdf","76769182")</f>
        <v>76769182</v>
      </c>
      <c r="F629" s="7" t="s">
        <v>1724</v>
      </c>
      <c r="G629" s="7" t="s">
        <v>1725</v>
      </c>
      <c r="H629" s="7" t="s">
        <v>1726</v>
      </c>
      <c r="I629" s="9">
        <v>45325</v>
      </c>
    </row>
    <row r="630" spans="1:9" x14ac:dyDescent="0.15">
      <c r="A630" s="6">
        <v>629</v>
      </c>
      <c r="B630" s="7" t="s">
        <v>8</v>
      </c>
      <c r="C630" s="8">
        <v>1887</v>
      </c>
      <c r="D630" s="9">
        <v>45425</v>
      </c>
      <c r="E630" s="13" t="str">
        <f>+HYPERLINK("http://trademark.i-assist.jp/data/china/image_1887th/76769369.pdf","76769369")</f>
        <v>76769369</v>
      </c>
      <c r="F630" s="7" t="s">
        <v>1727</v>
      </c>
      <c r="G630" s="7" t="s">
        <v>1728</v>
      </c>
      <c r="H630" s="7" t="s">
        <v>1729</v>
      </c>
      <c r="I630" s="9">
        <v>45325</v>
      </c>
    </row>
    <row r="631" spans="1:9" x14ac:dyDescent="0.15">
      <c r="A631" s="6">
        <v>630</v>
      </c>
      <c r="B631" s="7" t="s">
        <v>8</v>
      </c>
      <c r="C631" s="8">
        <v>1887</v>
      </c>
      <c r="D631" s="9">
        <v>45425</v>
      </c>
      <c r="E631" s="13" t="str">
        <f>+HYPERLINK("http://trademark.i-assist.jp/data/china/image_1887th/76769461.pdf","76769461")</f>
        <v>76769461</v>
      </c>
      <c r="F631" s="7" t="s">
        <v>1730</v>
      </c>
      <c r="G631" s="7" t="s">
        <v>934</v>
      </c>
      <c r="H631" s="7" t="s">
        <v>1731</v>
      </c>
      <c r="I631" s="9">
        <v>45325</v>
      </c>
    </row>
    <row r="632" spans="1:9" x14ac:dyDescent="0.15">
      <c r="A632" s="6">
        <v>631</v>
      </c>
      <c r="B632" s="7" t="s">
        <v>8</v>
      </c>
      <c r="C632" s="8">
        <v>1887</v>
      </c>
      <c r="D632" s="9">
        <v>45425</v>
      </c>
      <c r="E632" s="13" t="str">
        <f>+HYPERLINK("http://trademark.i-assist.jp/data/china/image_1887th/76769518.pdf","76769518")</f>
        <v>76769518</v>
      </c>
      <c r="F632" s="7" t="s">
        <v>1732</v>
      </c>
      <c r="G632" s="7" t="s">
        <v>1733</v>
      </c>
      <c r="H632" s="7" t="s">
        <v>1734</v>
      </c>
      <c r="I632" s="9">
        <v>45325</v>
      </c>
    </row>
    <row r="633" spans="1:9" x14ac:dyDescent="0.15">
      <c r="A633" s="6">
        <v>632</v>
      </c>
      <c r="B633" s="7" t="s">
        <v>8</v>
      </c>
      <c r="C633" s="8">
        <v>1887</v>
      </c>
      <c r="D633" s="9">
        <v>45425</v>
      </c>
      <c r="E633" s="13" t="str">
        <f>+HYPERLINK("http://trademark.i-assist.jp/data/china/image_1887th/76769671.pdf","76769671")</f>
        <v>76769671</v>
      </c>
      <c r="F633" s="7" t="s">
        <v>1735</v>
      </c>
      <c r="G633" s="7" t="s">
        <v>1736</v>
      </c>
      <c r="H633" s="7" t="s">
        <v>1737</v>
      </c>
      <c r="I633" s="9">
        <v>45325</v>
      </c>
    </row>
    <row r="634" spans="1:9" x14ac:dyDescent="0.15">
      <c r="A634" s="6">
        <v>633</v>
      </c>
      <c r="B634" s="7" t="s">
        <v>8</v>
      </c>
      <c r="C634" s="8">
        <v>1887</v>
      </c>
      <c r="D634" s="9">
        <v>45425</v>
      </c>
      <c r="E634" s="13" t="str">
        <f>+HYPERLINK("http://trademark.i-assist.jp/data/china/image_1887th/76769924.pdf","76769924")</f>
        <v>76769924</v>
      </c>
      <c r="F634" s="7" t="s">
        <v>1738</v>
      </c>
      <c r="G634" s="7" t="s">
        <v>1739</v>
      </c>
      <c r="H634" s="7" t="s">
        <v>1740</v>
      </c>
      <c r="I634" s="9">
        <v>45326</v>
      </c>
    </row>
    <row r="635" spans="1:9" x14ac:dyDescent="0.15">
      <c r="A635" s="6">
        <v>634</v>
      </c>
      <c r="B635" s="7" t="s">
        <v>8</v>
      </c>
      <c r="C635" s="8">
        <v>1887</v>
      </c>
      <c r="D635" s="9">
        <v>45425</v>
      </c>
      <c r="E635" s="13" t="str">
        <f>+HYPERLINK("http://trademark.i-assist.jp/data/china/image_1887th/76770635.pdf","76770635")</f>
        <v>76770635</v>
      </c>
      <c r="F635" s="7" t="s">
        <v>1741</v>
      </c>
      <c r="G635" s="7" t="s">
        <v>1742</v>
      </c>
      <c r="H635" s="7" t="s">
        <v>1743</v>
      </c>
      <c r="I635" s="9">
        <v>45326</v>
      </c>
    </row>
    <row r="636" spans="1:9" x14ac:dyDescent="0.15">
      <c r="A636" s="6">
        <v>635</v>
      </c>
      <c r="B636" s="7" t="s">
        <v>8</v>
      </c>
      <c r="C636" s="8">
        <v>1887</v>
      </c>
      <c r="D636" s="9">
        <v>45425</v>
      </c>
      <c r="E636" s="13" t="str">
        <f>+HYPERLINK("http://trademark.i-assist.jp/data/china/image_1887th/76770746.pdf","76770746")</f>
        <v>76770746</v>
      </c>
      <c r="F636" s="7" t="s">
        <v>1744</v>
      </c>
      <c r="G636" s="7" t="s">
        <v>1742</v>
      </c>
      <c r="H636" s="7" t="s">
        <v>1745</v>
      </c>
      <c r="I636" s="9">
        <v>45326</v>
      </c>
    </row>
    <row r="637" spans="1:9" x14ac:dyDescent="0.15">
      <c r="A637" s="6">
        <v>636</v>
      </c>
      <c r="B637" s="7" t="s">
        <v>8</v>
      </c>
      <c r="C637" s="8">
        <v>1887</v>
      </c>
      <c r="D637" s="9">
        <v>45425</v>
      </c>
      <c r="E637" s="13" t="str">
        <f>+HYPERLINK("http://trademark.i-assist.jp/data/china/image_1887th/76770834.pdf","76770834")</f>
        <v>76770834</v>
      </c>
      <c r="F637" s="7" t="s">
        <v>1746</v>
      </c>
      <c r="G637" s="7" t="s">
        <v>1747</v>
      </c>
      <c r="H637" s="7" t="s">
        <v>1748</v>
      </c>
      <c r="I637" s="9">
        <v>45326</v>
      </c>
    </row>
    <row r="638" spans="1:9" x14ac:dyDescent="0.15">
      <c r="A638" s="6">
        <v>637</v>
      </c>
      <c r="B638" s="7" t="s">
        <v>8</v>
      </c>
      <c r="C638" s="8">
        <v>1887</v>
      </c>
      <c r="D638" s="9">
        <v>45425</v>
      </c>
      <c r="E638" s="13" t="str">
        <f>+HYPERLINK("http://trademark.i-assist.jp/data/china/image_1887th/76771073.pdf","76771073")</f>
        <v>76771073</v>
      </c>
      <c r="F638" s="7" t="s">
        <v>1749</v>
      </c>
      <c r="G638" s="7" t="s">
        <v>1750</v>
      </c>
      <c r="H638" s="7" t="s">
        <v>1751</v>
      </c>
      <c r="I638" s="9">
        <v>45326</v>
      </c>
    </row>
    <row r="639" spans="1:9" x14ac:dyDescent="0.15">
      <c r="A639" s="6">
        <v>638</v>
      </c>
      <c r="B639" s="7" t="s">
        <v>8</v>
      </c>
      <c r="C639" s="8">
        <v>1887</v>
      </c>
      <c r="D639" s="9">
        <v>45425</v>
      </c>
      <c r="E639" s="13" t="str">
        <f>+HYPERLINK("http://trademark.i-assist.jp/data/china/image_1887th/76771597.pdf","76771597")</f>
        <v>76771597</v>
      </c>
      <c r="F639" s="7" t="s">
        <v>1752</v>
      </c>
      <c r="G639" s="7" t="s">
        <v>1753</v>
      </c>
      <c r="H639" s="7" t="s">
        <v>1754</v>
      </c>
      <c r="I639" s="9">
        <v>45326</v>
      </c>
    </row>
    <row r="640" spans="1:9" ht="27" x14ac:dyDescent="0.15">
      <c r="A640" s="6">
        <v>639</v>
      </c>
      <c r="B640" s="7" t="s">
        <v>8</v>
      </c>
      <c r="C640" s="8">
        <v>1887</v>
      </c>
      <c r="D640" s="9">
        <v>45425</v>
      </c>
      <c r="E640" s="13" t="str">
        <f>+HYPERLINK("http://trademark.i-assist.jp/data/china/image_1887th/76771665.pdf","76771665")</f>
        <v>76771665</v>
      </c>
      <c r="F640" s="7" t="s">
        <v>1755</v>
      </c>
      <c r="G640" s="7" t="s">
        <v>1756</v>
      </c>
      <c r="H640" s="7" t="s">
        <v>1757</v>
      </c>
      <c r="I640" s="9">
        <v>45326</v>
      </c>
    </row>
    <row r="641" spans="1:9" x14ac:dyDescent="0.15">
      <c r="A641" s="6">
        <v>640</v>
      </c>
      <c r="B641" s="7" t="s">
        <v>8</v>
      </c>
      <c r="C641" s="8">
        <v>1887</v>
      </c>
      <c r="D641" s="9">
        <v>45425</v>
      </c>
      <c r="E641" s="13" t="str">
        <f>+HYPERLINK("http://trademark.i-assist.jp/data/china/image_1887th/76771701.pdf","76771701")</f>
        <v>76771701</v>
      </c>
      <c r="F641" s="7" t="s">
        <v>1758</v>
      </c>
      <c r="G641" s="7" t="s">
        <v>1759</v>
      </c>
      <c r="H641" s="7" t="s">
        <v>1760</v>
      </c>
      <c r="I641" s="9">
        <v>45326</v>
      </c>
    </row>
    <row r="642" spans="1:9" x14ac:dyDescent="0.15">
      <c r="A642" s="6">
        <v>641</v>
      </c>
      <c r="B642" s="7" t="s">
        <v>8</v>
      </c>
      <c r="C642" s="8">
        <v>1887</v>
      </c>
      <c r="D642" s="9">
        <v>45425</v>
      </c>
      <c r="E642" s="13" t="str">
        <f>+HYPERLINK("http://trademark.i-assist.jp/data/china/image_1887th/76771807.pdf","76771807")</f>
        <v>76771807</v>
      </c>
      <c r="F642" s="7" t="s">
        <v>1761</v>
      </c>
      <c r="G642" s="7" t="s">
        <v>1762</v>
      </c>
      <c r="H642" s="7" t="s">
        <v>1763</v>
      </c>
      <c r="I642" s="9">
        <v>45326</v>
      </c>
    </row>
    <row r="643" spans="1:9" x14ac:dyDescent="0.15">
      <c r="A643" s="6">
        <v>642</v>
      </c>
      <c r="B643" s="7" t="s">
        <v>8</v>
      </c>
      <c r="C643" s="8">
        <v>1887</v>
      </c>
      <c r="D643" s="9">
        <v>45425</v>
      </c>
      <c r="E643" s="13" t="str">
        <f>+HYPERLINK("http://trademark.i-assist.jp/data/china/image_1887th/76771979.pdf","76771979")</f>
        <v>76771979</v>
      </c>
      <c r="F643" s="7" t="s">
        <v>1764</v>
      </c>
      <c r="G643" s="7" t="s">
        <v>1742</v>
      </c>
      <c r="H643" s="7" t="s">
        <v>1765</v>
      </c>
      <c r="I643" s="9">
        <v>45326</v>
      </c>
    </row>
    <row r="644" spans="1:9" x14ac:dyDescent="0.15">
      <c r="A644" s="6">
        <v>643</v>
      </c>
      <c r="B644" s="7" t="s">
        <v>8</v>
      </c>
      <c r="C644" s="8">
        <v>1887</v>
      </c>
      <c r="D644" s="9">
        <v>45425</v>
      </c>
      <c r="E644" s="13" t="str">
        <f>+HYPERLINK("http://trademark.i-assist.jp/data/china/image_1887th/76772561.pdf","76772561")</f>
        <v>76772561</v>
      </c>
      <c r="F644" s="7" t="s">
        <v>1766</v>
      </c>
      <c r="G644" s="7" t="s">
        <v>1767</v>
      </c>
      <c r="H644" s="7" t="s">
        <v>1768</v>
      </c>
      <c r="I644" s="9">
        <v>45326</v>
      </c>
    </row>
    <row r="645" spans="1:9" x14ac:dyDescent="0.15">
      <c r="A645" s="6">
        <v>644</v>
      </c>
      <c r="B645" s="7" t="s">
        <v>8</v>
      </c>
      <c r="C645" s="8">
        <v>1887</v>
      </c>
      <c r="D645" s="9">
        <v>45425</v>
      </c>
      <c r="E645" s="13" t="str">
        <f>+HYPERLINK("http://trademark.i-assist.jp/data/china/image_1887th/76772889.pdf","76772889")</f>
        <v>76772889</v>
      </c>
      <c r="F645" s="7" t="s">
        <v>1769</v>
      </c>
      <c r="G645" s="7" t="s">
        <v>1770</v>
      </c>
      <c r="H645" s="7" t="s">
        <v>1771</v>
      </c>
      <c r="I645" s="9">
        <v>45326</v>
      </c>
    </row>
    <row r="646" spans="1:9" x14ac:dyDescent="0.15">
      <c r="A646" s="6">
        <v>645</v>
      </c>
      <c r="B646" s="7" t="s">
        <v>8</v>
      </c>
      <c r="C646" s="8">
        <v>1887</v>
      </c>
      <c r="D646" s="9">
        <v>45425</v>
      </c>
      <c r="E646" s="13" t="str">
        <f>+HYPERLINK("http://trademark.i-assist.jp/data/china/image_1887th/76774043.pdf","76774043")</f>
        <v>76774043</v>
      </c>
      <c r="F646" s="7" t="s">
        <v>1772</v>
      </c>
      <c r="G646" s="7" t="s">
        <v>1773</v>
      </c>
      <c r="H646" s="7" t="s">
        <v>1774</v>
      </c>
      <c r="I646" s="9">
        <v>45326</v>
      </c>
    </row>
    <row r="647" spans="1:9" x14ac:dyDescent="0.15">
      <c r="A647" s="6">
        <v>646</v>
      </c>
      <c r="B647" s="7" t="s">
        <v>8</v>
      </c>
      <c r="C647" s="8">
        <v>1887</v>
      </c>
      <c r="D647" s="9">
        <v>45425</v>
      </c>
      <c r="E647" s="13" t="str">
        <f>+HYPERLINK("http://trademark.i-assist.jp/data/china/image_1887th/76774276.pdf","76774276")</f>
        <v>76774276</v>
      </c>
      <c r="F647" s="7" t="s">
        <v>1775</v>
      </c>
      <c r="G647" s="7" t="s">
        <v>1776</v>
      </c>
      <c r="H647" s="7" t="s">
        <v>1777</v>
      </c>
      <c r="I647" s="9">
        <v>45326</v>
      </c>
    </row>
    <row r="648" spans="1:9" x14ac:dyDescent="0.15">
      <c r="A648" s="6">
        <v>647</v>
      </c>
      <c r="B648" s="7" t="s">
        <v>8</v>
      </c>
      <c r="C648" s="8">
        <v>1887</v>
      </c>
      <c r="D648" s="9">
        <v>45425</v>
      </c>
      <c r="E648" s="13" t="str">
        <f>+HYPERLINK("http://trademark.i-assist.jp/data/china/image_1887th/76774602.pdf","76774602")</f>
        <v>76774602</v>
      </c>
      <c r="F648" s="7" t="s">
        <v>1778</v>
      </c>
      <c r="G648" s="7" t="s">
        <v>1742</v>
      </c>
      <c r="H648" s="7" t="s">
        <v>1779</v>
      </c>
      <c r="I648" s="9">
        <v>45326</v>
      </c>
    </row>
    <row r="649" spans="1:9" x14ac:dyDescent="0.15">
      <c r="A649" s="6">
        <v>648</v>
      </c>
      <c r="B649" s="7" t="s">
        <v>8</v>
      </c>
      <c r="C649" s="8">
        <v>1887</v>
      </c>
      <c r="D649" s="9">
        <v>45425</v>
      </c>
      <c r="E649" s="13" t="str">
        <f>+HYPERLINK("http://trademark.i-assist.jp/data/china/image_1887th/76775396.pdf","76775396")</f>
        <v>76775396</v>
      </c>
      <c r="F649" s="7" t="s">
        <v>1780</v>
      </c>
      <c r="G649" s="7" t="s">
        <v>1781</v>
      </c>
      <c r="H649" s="7" t="s">
        <v>1782</v>
      </c>
      <c r="I649" s="9">
        <v>45326</v>
      </c>
    </row>
    <row r="650" spans="1:9" x14ac:dyDescent="0.15">
      <c r="A650" s="6">
        <v>649</v>
      </c>
      <c r="B650" s="7" t="s">
        <v>8</v>
      </c>
      <c r="C650" s="8">
        <v>1887</v>
      </c>
      <c r="D650" s="9">
        <v>45425</v>
      </c>
      <c r="E650" s="13" t="str">
        <f>+HYPERLINK("http://trademark.i-assist.jp/data/china/image_1887th/76775416.pdf","76775416")</f>
        <v>76775416</v>
      </c>
      <c r="F650" s="7" t="s">
        <v>1783</v>
      </c>
      <c r="G650" s="7" t="s">
        <v>1784</v>
      </c>
      <c r="H650" s="7" t="s">
        <v>1785</v>
      </c>
      <c r="I650" s="9">
        <v>45326</v>
      </c>
    </row>
    <row r="651" spans="1:9" x14ac:dyDescent="0.15">
      <c r="A651" s="6">
        <v>650</v>
      </c>
      <c r="B651" s="7" t="s">
        <v>8</v>
      </c>
      <c r="C651" s="8">
        <v>1887</v>
      </c>
      <c r="D651" s="9">
        <v>45425</v>
      </c>
      <c r="E651" s="13" t="str">
        <f>+HYPERLINK("http://trademark.i-assist.jp/data/china/image_1887th/76775503.pdf","76775503")</f>
        <v>76775503</v>
      </c>
      <c r="F651" s="7" t="s">
        <v>1786</v>
      </c>
      <c r="G651" s="7" t="s">
        <v>1787</v>
      </c>
      <c r="H651" s="7" t="s">
        <v>1788</v>
      </c>
      <c r="I651" s="9">
        <v>45326</v>
      </c>
    </row>
    <row r="652" spans="1:9" x14ac:dyDescent="0.15">
      <c r="A652" s="6">
        <v>651</v>
      </c>
      <c r="B652" s="7" t="s">
        <v>8</v>
      </c>
      <c r="C652" s="8">
        <v>1887</v>
      </c>
      <c r="D652" s="9">
        <v>45425</v>
      </c>
      <c r="E652" s="13" t="str">
        <f>+HYPERLINK("http://trademark.i-assist.jp/data/china/image_1887th/76776057.pdf","76776057")</f>
        <v>76776057</v>
      </c>
      <c r="F652" s="7" t="s">
        <v>1789</v>
      </c>
      <c r="G652" s="7" t="s">
        <v>1790</v>
      </c>
      <c r="H652" s="7" t="s">
        <v>1791</v>
      </c>
      <c r="I652" s="9">
        <v>45326</v>
      </c>
    </row>
    <row r="653" spans="1:9" x14ac:dyDescent="0.15">
      <c r="A653" s="6">
        <v>652</v>
      </c>
      <c r="B653" s="7" t="s">
        <v>8</v>
      </c>
      <c r="C653" s="8">
        <v>1887</v>
      </c>
      <c r="D653" s="9">
        <v>45425</v>
      </c>
      <c r="E653" s="13" t="str">
        <f>+HYPERLINK("http://trademark.i-assist.jp/data/china/image_1887th/76776097.pdf","76776097")</f>
        <v>76776097</v>
      </c>
      <c r="F653" s="7" t="s">
        <v>1792</v>
      </c>
      <c r="G653" s="7" t="s">
        <v>1793</v>
      </c>
      <c r="H653" s="7" t="s">
        <v>1794</v>
      </c>
      <c r="I653" s="9">
        <v>45326</v>
      </c>
    </row>
    <row r="654" spans="1:9" ht="27" x14ac:dyDescent="0.15">
      <c r="A654" s="6">
        <v>653</v>
      </c>
      <c r="B654" s="7" t="s">
        <v>8</v>
      </c>
      <c r="C654" s="8">
        <v>1887</v>
      </c>
      <c r="D654" s="9">
        <v>45425</v>
      </c>
      <c r="E654" s="13" t="str">
        <f>+HYPERLINK("http://trademark.i-assist.jp/data/china/image_1887th/76776168.pdf","76776168")</f>
        <v>76776168</v>
      </c>
      <c r="F654" s="7" t="s">
        <v>1795</v>
      </c>
      <c r="G654" s="7" t="s">
        <v>1796</v>
      </c>
      <c r="H654" s="7" t="s">
        <v>1797</v>
      </c>
      <c r="I654" s="9">
        <v>45326</v>
      </c>
    </row>
    <row r="655" spans="1:9" x14ac:dyDescent="0.15">
      <c r="A655" s="6">
        <v>654</v>
      </c>
      <c r="B655" s="7" t="s">
        <v>8</v>
      </c>
      <c r="C655" s="8">
        <v>1887</v>
      </c>
      <c r="D655" s="9">
        <v>45425</v>
      </c>
      <c r="E655" s="13" t="str">
        <f>+HYPERLINK("http://trademark.i-assist.jp/data/china/image_1887th/76776447.pdf","76776447")</f>
        <v>76776447</v>
      </c>
      <c r="F655" s="7" t="s">
        <v>1798</v>
      </c>
      <c r="G655" s="7" t="s">
        <v>1799</v>
      </c>
      <c r="H655" s="7" t="s">
        <v>1800</v>
      </c>
      <c r="I655" s="9">
        <v>45326</v>
      </c>
    </row>
    <row r="656" spans="1:9" x14ac:dyDescent="0.15">
      <c r="A656" s="6">
        <v>655</v>
      </c>
      <c r="B656" s="7" t="s">
        <v>8</v>
      </c>
      <c r="C656" s="8">
        <v>1887</v>
      </c>
      <c r="D656" s="9">
        <v>45425</v>
      </c>
      <c r="E656" s="13" t="str">
        <f>+HYPERLINK("http://trademark.i-assist.jp/data/china/image_1887th/76776495.pdf","76776495")</f>
        <v>76776495</v>
      </c>
      <c r="F656" s="7" t="s">
        <v>1801</v>
      </c>
      <c r="G656" s="7" t="s">
        <v>1753</v>
      </c>
      <c r="H656" s="7" t="s">
        <v>1802</v>
      </c>
      <c r="I656" s="9">
        <v>45326</v>
      </c>
    </row>
    <row r="657" spans="1:9" x14ac:dyDescent="0.15">
      <c r="A657" s="6">
        <v>656</v>
      </c>
      <c r="B657" s="7" t="s">
        <v>8</v>
      </c>
      <c r="C657" s="8">
        <v>1887</v>
      </c>
      <c r="D657" s="9">
        <v>45425</v>
      </c>
      <c r="E657" s="13" t="str">
        <f>+HYPERLINK("http://trademark.i-assist.jp/data/china/image_1887th/76776740.pdf","76776740")</f>
        <v>76776740</v>
      </c>
      <c r="F657" s="7" t="s">
        <v>1803</v>
      </c>
      <c r="G657" s="7" t="s">
        <v>1139</v>
      </c>
      <c r="H657" s="7" t="s">
        <v>1804</v>
      </c>
      <c r="I657" s="9">
        <v>45326</v>
      </c>
    </row>
    <row r="658" spans="1:9" x14ac:dyDescent="0.15">
      <c r="A658" s="6">
        <v>657</v>
      </c>
      <c r="B658" s="7" t="s">
        <v>8</v>
      </c>
      <c r="C658" s="8">
        <v>1887</v>
      </c>
      <c r="D658" s="9">
        <v>45425</v>
      </c>
      <c r="E658" s="13" t="str">
        <f>+HYPERLINK("http://trademark.i-assist.jp/data/china/image_1887th/76776953.pdf","76776953")</f>
        <v>76776953</v>
      </c>
      <c r="F658" s="7" t="s">
        <v>1805</v>
      </c>
      <c r="G658" s="7" t="s">
        <v>1742</v>
      </c>
      <c r="H658" s="7" t="s">
        <v>1806</v>
      </c>
      <c r="I658" s="9">
        <v>45326</v>
      </c>
    </row>
    <row r="659" spans="1:9" x14ac:dyDescent="0.15">
      <c r="A659" s="6">
        <v>658</v>
      </c>
      <c r="B659" s="7" t="s">
        <v>8</v>
      </c>
      <c r="C659" s="8">
        <v>1887</v>
      </c>
      <c r="D659" s="9">
        <v>45425</v>
      </c>
      <c r="E659" s="13" t="str">
        <f>+HYPERLINK("http://trademark.i-assist.jp/data/china/image_1887th/76777606.pdf","76777606")</f>
        <v>76777606</v>
      </c>
      <c r="F659" s="7" t="s">
        <v>1807</v>
      </c>
      <c r="G659" s="7" t="s">
        <v>1808</v>
      </c>
      <c r="H659" s="7" t="s">
        <v>1809</v>
      </c>
      <c r="I659" s="9">
        <v>45326</v>
      </c>
    </row>
    <row r="660" spans="1:9" x14ac:dyDescent="0.15">
      <c r="A660" s="6">
        <v>659</v>
      </c>
      <c r="B660" s="7" t="s">
        <v>8</v>
      </c>
      <c r="C660" s="8">
        <v>1887</v>
      </c>
      <c r="D660" s="9">
        <v>45425</v>
      </c>
      <c r="E660" s="13" t="str">
        <f>+HYPERLINK("http://trademark.i-assist.jp/data/china/image_1887th/76777825.pdf","76777825")</f>
        <v>76777825</v>
      </c>
      <c r="F660" s="7" t="s">
        <v>1810</v>
      </c>
      <c r="G660" s="7" t="s">
        <v>1811</v>
      </c>
      <c r="H660" s="7" t="s">
        <v>1812</v>
      </c>
      <c r="I660" s="9">
        <v>45326</v>
      </c>
    </row>
    <row r="661" spans="1:9" x14ac:dyDescent="0.15">
      <c r="A661" s="6">
        <v>660</v>
      </c>
      <c r="B661" s="7" t="s">
        <v>8</v>
      </c>
      <c r="C661" s="8">
        <v>1887</v>
      </c>
      <c r="D661" s="9">
        <v>45425</v>
      </c>
      <c r="E661" s="13" t="str">
        <f>+HYPERLINK("http://trademark.i-assist.jp/data/china/image_1887th/76777853.pdf","76777853")</f>
        <v>76777853</v>
      </c>
      <c r="F661" s="7" t="s">
        <v>1813</v>
      </c>
      <c r="G661" s="7" t="s">
        <v>1814</v>
      </c>
      <c r="H661" s="7" t="s">
        <v>1815</v>
      </c>
      <c r="I661" s="9">
        <v>45326</v>
      </c>
    </row>
    <row r="662" spans="1:9" x14ac:dyDescent="0.15">
      <c r="A662" s="6">
        <v>661</v>
      </c>
      <c r="B662" s="7" t="s">
        <v>8</v>
      </c>
      <c r="C662" s="8">
        <v>1887</v>
      </c>
      <c r="D662" s="9">
        <v>45425</v>
      </c>
      <c r="E662" s="13" t="str">
        <f>+HYPERLINK("http://trademark.i-assist.jp/data/china/image_1887th/76778234.pdf","76778234")</f>
        <v>76778234</v>
      </c>
      <c r="F662" s="7" t="s">
        <v>1816</v>
      </c>
      <c r="G662" s="7" t="s">
        <v>1817</v>
      </c>
      <c r="H662" s="7" t="s">
        <v>1818</v>
      </c>
      <c r="I662" s="9">
        <v>45326</v>
      </c>
    </row>
    <row r="663" spans="1:9" x14ac:dyDescent="0.15">
      <c r="A663" s="6">
        <v>662</v>
      </c>
      <c r="B663" s="7" t="s">
        <v>8</v>
      </c>
      <c r="C663" s="8">
        <v>1887</v>
      </c>
      <c r="D663" s="9">
        <v>45425</v>
      </c>
      <c r="E663" s="13" t="str">
        <f>+HYPERLINK("http://trademark.i-assist.jp/data/china/image_1887th/76779103.pdf","76779103")</f>
        <v>76779103</v>
      </c>
      <c r="F663" s="7" t="s">
        <v>1819</v>
      </c>
      <c r="G663" s="7" t="s">
        <v>1820</v>
      </c>
      <c r="H663" s="7" t="s">
        <v>1821</v>
      </c>
      <c r="I663" s="9">
        <v>45326</v>
      </c>
    </row>
    <row r="664" spans="1:9" x14ac:dyDescent="0.15">
      <c r="A664" s="6">
        <v>663</v>
      </c>
      <c r="B664" s="7" t="s">
        <v>8</v>
      </c>
      <c r="C664" s="8">
        <v>1887</v>
      </c>
      <c r="D664" s="9">
        <v>45425</v>
      </c>
      <c r="E664" s="13" t="str">
        <f>+HYPERLINK("http://trademark.i-assist.jp/data/china/image_1887th/76779196.pdf","76779196")</f>
        <v>76779196</v>
      </c>
      <c r="F664" s="7" t="s">
        <v>1822</v>
      </c>
      <c r="G664" s="7" t="s">
        <v>1823</v>
      </c>
      <c r="H664" s="7" t="s">
        <v>1824</v>
      </c>
      <c r="I664" s="9">
        <v>45326</v>
      </c>
    </row>
    <row r="665" spans="1:9" x14ac:dyDescent="0.15">
      <c r="A665" s="6">
        <v>664</v>
      </c>
      <c r="B665" s="7" t="s">
        <v>8</v>
      </c>
      <c r="C665" s="8">
        <v>1887</v>
      </c>
      <c r="D665" s="9">
        <v>45425</v>
      </c>
      <c r="E665" s="13" t="str">
        <f>+HYPERLINK("http://trademark.i-assist.jp/data/china/image_1887th/76779421.pdf","76779421")</f>
        <v>76779421</v>
      </c>
      <c r="F665" s="7" t="s">
        <v>1825</v>
      </c>
      <c r="G665" s="7" t="s">
        <v>1742</v>
      </c>
      <c r="H665" s="7" t="s">
        <v>1826</v>
      </c>
      <c r="I665" s="9">
        <v>45326</v>
      </c>
    </row>
    <row r="666" spans="1:9" x14ac:dyDescent="0.15">
      <c r="A666" s="6">
        <v>665</v>
      </c>
      <c r="B666" s="7" t="s">
        <v>8</v>
      </c>
      <c r="C666" s="8">
        <v>1887</v>
      </c>
      <c r="D666" s="9">
        <v>45425</v>
      </c>
      <c r="E666" s="13" t="str">
        <f>+HYPERLINK("http://trademark.i-assist.jp/data/china/image_1887th/76779428.pdf","76779428")</f>
        <v>76779428</v>
      </c>
      <c r="F666" s="7" t="s">
        <v>1827</v>
      </c>
      <c r="G666" s="7" t="s">
        <v>1828</v>
      </c>
      <c r="H666" s="7" t="s">
        <v>1829</v>
      </c>
      <c r="I666" s="9">
        <v>45326</v>
      </c>
    </row>
    <row r="667" spans="1:9" x14ac:dyDescent="0.15">
      <c r="A667" s="6">
        <v>666</v>
      </c>
      <c r="B667" s="7" t="s">
        <v>8</v>
      </c>
      <c r="C667" s="8">
        <v>1887</v>
      </c>
      <c r="D667" s="9">
        <v>45425</v>
      </c>
      <c r="E667" s="13" t="str">
        <f>+HYPERLINK("http://trademark.i-assist.jp/data/china/image_1887th/76779508.pdf","76779508")</f>
        <v>76779508</v>
      </c>
      <c r="F667" s="7" t="s">
        <v>1830</v>
      </c>
      <c r="G667" s="7" t="s">
        <v>1831</v>
      </c>
      <c r="H667" s="7" t="s">
        <v>1832</v>
      </c>
      <c r="I667" s="9">
        <v>45326</v>
      </c>
    </row>
    <row r="668" spans="1:9" ht="27" x14ac:dyDescent="0.15">
      <c r="A668" s="6">
        <v>667</v>
      </c>
      <c r="B668" s="7" t="s">
        <v>8</v>
      </c>
      <c r="C668" s="8">
        <v>1887</v>
      </c>
      <c r="D668" s="9">
        <v>45425</v>
      </c>
      <c r="E668" s="13" t="str">
        <f>+HYPERLINK("http://trademark.i-assist.jp/data/china/image_1887th/76780621.pdf","76780621")</f>
        <v>76780621</v>
      </c>
      <c r="F668" s="7" t="s">
        <v>1833</v>
      </c>
      <c r="G668" s="7" t="s">
        <v>1834</v>
      </c>
      <c r="H668" s="7" t="s">
        <v>1835</v>
      </c>
      <c r="I668" s="9">
        <v>45326</v>
      </c>
    </row>
    <row r="669" spans="1:9" x14ac:dyDescent="0.15">
      <c r="A669" s="6">
        <v>668</v>
      </c>
      <c r="B669" s="7" t="s">
        <v>8</v>
      </c>
      <c r="C669" s="8">
        <v>1887</v>
      </c>
      <c r="D669" s="9">
        <v>45425</v>
      </c>
      <c r="E669" s="13" t="str">
        <f>+HYPERLINK("http://trademark.i-assist.jp/data/china/image_1887th/76782147.pdf","76782147")</f>
        <v>76782147</v>
      </c>
      <c r="F669" s="7" t="s">
        <v>1836</v>
      </c>
      <c r="G669" s="7" t="s">
        <v>1837</v>
      </c>
      <c r="H669" s="7" t="s">
        <v>1838</v>
      </c>
      <c r="I669" s="9">
        <v>45326</v>
      </c>
    </row>
    <row r="670" spans="1:9" ht="27" x14ac:dyDescent="0.15">
      <c r="A670" s="6">
        <v>669</v>
      </c>
      <c r="B670" s="7" t="s">
        <v>8</v>
      </c>
      <c r="C670" s="8">
        <v>1887</v>
      </c>
      <c r="D670" s="9">
        <v>45425</v>
      </c>
      <c r="E670" s="13" t="str">
        <f>+HYPERLINK("http://trademark.i-assist.jp/data/china/image_1887th/76782340.pdf","76782340")</f>
        <v>76782340</v>
      </c>
      <c r="F670" s="7" t="s">
        <v>54</v>
      </c>
      <c r="G670" s="7" t="s">
        <v>1839</v>
      </c>
      <c r="H670" s="7" t="s">
        <v>1840</v>
      </c>
      <c r="I670" s="9">
        <v>45326</v>
      </c>
    </row>
    <row r="671" spans="1:9" x14ac:dyDescent="0.15">
      <c r="A671" s="6">
        <v>670</v>
      </c>
      <c r="B671" s="7" t="s">
        <v>8</v>
      </c>
      <c r="C671" s="8">
        <v>1887</v>
      </c>
      <c r="D671" s="9">
        <v>45425</v>
      </c>
      <c r="E671" s="13" t="str">
        <f>+HYPERLINK("http://trademark.i-assist.jp/data/china/image_1887th/76782934.pdf","76782934")</f>
        <v>76782934</v>
      </c>
      <c r="F671" s="7" t="s">
        <v>1841</v>
      </c>
      <c r="G671" s="7" t="s">
        <v>1842</v>
      </c>
      <c r="H671" s="7" t="s">
        <v>1843</v>
      </c>
      <c r="I671" s="9">
        <v>45326</v>
      </c>
    </row>
    <row r="672" spans="1:9" ht="27" x14ac:dyDescent="0.15">
      <c r="A672" s="6">
        <v>671</v>
      </c>
      <c r="B672" s="7" t="s">
        <v>8</v>
      </c>
      <c r="C672" s="8">
        <v>1887</v>
      </c>
      <c r="D672" s="9">
        <v>45425</v>
      </c>
      <c r="E672" s="13" t="str">
        <f>+HYPERLINK("http://trademark.i-assist.jp/data/china/image_1887th/76783074.pdf","76783074")</f>
        <v>76783074</v>
      </c>
      <c r="F672" s="7" t="s">
        <v>1844</v>
      </c>
      <c r="G672" s="7" t="s">
        <v>1845</v>
      </c>
      <c r="H672" s="7" t="s">
        <v>1846</v>
      </c>
      <c r="I672" s="9">
        <v>45326</v>
      </c>
    </row>
    <row r="673" spans="1:9" ht="27" x14ac:dyDescent="0.15">
      <c r="A673" s="6">
        <v>672</v>
      </c>
      <c r="B673" s="7" t="s">
        <v>8</v>
      </c>
      <c r="C673" s="8">
        <v>1887</v>
      </c>
      <c r="D673" s="9">
        <v>45425</v>
      </c>
      <c r="E673" s="13" t="str">
        <f>+HYPERLINK("http://trademark.i-assist.jp/data/china/image_1887th/76783240.pdf","76783240")</f>
        <v>76783240</v>
      </c>
      <c r="F673" s="7" t="s">
        <v>1847</v>
      </c>
      <c r="G673" s="7" t="s">
        <v>1848</v>
      </c>
      <c r="H673" s="7" t="s">
        <v>1849</v>
      </c>
      <c r="I673" s="9">
        <v>45326</v>
      </c>
    </row>
    <row r="674" spans="1:9" x14ac:dyDescent="0.15">
      <c r="A674" s="6">
        <v>673</v>
      </c>
      <c r="B674" s="7" t="s">
        <v>8</v>
      </c>
      <c r="C674" s="8">
        <v>1887</v>
      </c>
      <c r="D674" s="9">
        <v>45425</v>
      </c>
      <c r="E674" s="13" t="str">
        <f>+HYPERLINK("http://trademark.i-assist.jp/data/china/image_1887th/76783662.pdf","76783662")</f>
        <v>76783662</v>
      </c>
      <c r="F674" s="7" t="s">
        <v>54</v>
      </c>
      <c r="G674" s="7" t="s">
        <v>1850</v>
      </c>
      <c r="H674" s="7" t="s">
        <v>1851</v>
      </c>
      <c r="I674" s="9">
        <v>45326</v>
      </c>
    </row>
    <row r="675" spans="1:9" x14ac:dyDescent="0.15">
      <c r="A675" s="6">
        <v>674</v>
      </c>
      <c r="B675" s="7" t="s">
        <v>8</v>
      </c>
      <c r="C675" s="8">
        <v>1887</v>
      </c>
      <c r="D675" s="9">
        <v>45425</v>
      </c>
      <c r="E675" s="13" t="str">
        <f>+HYPERLINK("http://trademark.i-assist.jp/data/china/image_1887th/76783695.pdf","76783695")</f>
        <v>76783695</v>
      </c>
      <c r="F675" s="7" t="s">
        <v>1852</v>
      </c>
      <c r="G675" s="7" t="s">
        <v>1853</v>
      </c>
      <c r="H675" s="7" t="s">
        <v>1854</v>
      </c>
      <c r="I675" s="9">
        <v>45326</v>
      </c>
    </row>
    <row r="676" spans="1:9" x14ac:dyDescent="0.15">
      <c r="A676" s="6">
        <v>675</v>
      </c>
      <c r="B676" s="7" t="s">
        <v>8</v>
      </c>
      <c r="C676" s="8">
        <v>1887</v>
      </c>
      <c r="D676" s="9">
        <v>45425</v>
      </c>
      <c r="E676" s="13" t="str">
        <f>+HYPERLINK("http://trademark.i-assist.jp/data/china/image_1887th/76783759.pdf","76783759")</f>
        <v>76783759</v>
      </c>
      <c r="F676" s="7" t="s">
        <v>1855</v>
      </c>
      <c r="G676" s="7" t="s">
        <v>1856</v>
      </c>
      <c r="H676" s="7" t="s">
        <v>1857</v>
      </c>
      <c r="I676" s="9">
        <v>45326</v>
      </c>
    </row>
    <row r="677" spans="1:9" x14ac:dyDescent="0.15">
      <c r="A677" s="6">
        <v>676</v>
      </c>
      <c r="B677" s="7" t="s">
        <v>8</v>
      </c>
      <c r="C677" s="8">
        <v>1887</v>
      </c>
      <c r="D677" s="9">
        <v>45425</v>
      </c>
      <c r="E677" s="13" t="str">
        <f>+HYPERLINK("http://trademark.i-assist.jp/data/china/image_1887th/76784117.pdf","76784117")</f>
        <v>76784117</v>
      </c>
      <c r="F677" s="7" t="s">
        <v>1858</v>
      </c>
      <c r="G677" s="7" t="s">
        <v>1784</v>
      </c>
      <c r="H677" s="7" t="s">
        <v>1859</v>
      </c>
      <c r="I677" s="9">
        <v>45326</v>
      </c>
    </row>
    <row r="678" spans="1:9" x14ac:dyDescent="0.15">
      <c r="A678" s="6">
        <v>677</v>
      </c>
      <c r="B678" s="7" t="s">
        <v>8</v>
      </c>
      <c r="C678" s="8">
        <v>1887</v>
      </c>
      <c r="D678" s="9">
        <v>45425</v>
      </c>
      <c r="E678" s="13" t="str">
        <f>+HYPERLINK("http://trademark.i-assist.jp/data/china/image_1887th/76784309.pdf","76784309")</f>
        <v>76784309</v>
      </c>
      <c r="F678" s="7" t="s">
        <v>1860</v>
      </c>
      <c r="G678" s="7" t="s">
        <v>1861</v>
      </c>
      <c r="H678" s="7" t="s">
        <v>1862</v>
      </c>
      <c r="I678" s="9">
        <v>45326</v>
      </c>
    </row>
    <row r="679" spans="1:9" x14ac:dyDescent="0.15">
      <c r="A679" s="6">
        <v>678</v>
      </c>
      <c r="B679" s="7" t="s">
        <v>8</v>
      </c>
      <c r="C679" s="8">
        <v>1887</v>
      </c>
      <c r="D679" s="9">
        <v>45425</v>
      </c>
      <c r="E679" s="13" t="str">
        <f>+HYPERLINK("http://trademark.i-assist.jp/data/china/image_1887th/76784578.pdf","76784578")</f>
        <v>76784578</v>
      </c>
      <c r="F679" s="7" t="s">
        <v>1863</v>
      </c>
      <c r="G679" s="7" t="s">
        <v>1864</v>
      </c>
      <c r="H679" s="7" t="s">
        <v>1865</v>
      </c>
      <c r="I679" s="9">
        <v>45326</v>
      </c>
    </row>
    <row r="680" spans="1:9" x14ac:dyDescent="0.15">
      <c r="A680" s="6">
        <v>679</v>
      </c>
      <c r="B680" s="7" t="s">
        <v>8</v>
      </c>
      <c r="C680" s="8">
        <v>1887</v>
      </c>
      <c r="D680" s="9">
        <v>45425</v>
      </c>
      <c r="E680" s="13" t="str">
        <f>+HYPERLINK("http://trademark.i-assist.jp/data/china/image_1887th/76784810.pdf","76784810")</f>
        <v>76784810</v>
      </c>
      <c r="F680" s="7" t="s">
        <v>1866</v>
      </c>
      <c r="G680" s="7" t="s">
        <v>1568</v>
      </c>
      <c r="H680" s="7" t="s">
        <v>1867</v>
      </c>
      <c r="I680" s="9">
        <v>45326</v>
      </c>
    </row>
    <row r="681" spans="1:9" x14ac:dyDescent="0.15">
      <c r="A681" s="6">
        <v>680</v>
      </c>
      <c r="B681" s="7" t="s">
        <v>8</v>
      </c>
      <c r="C681" s="8">
        <v>1887</v>
      </c>
      <c r="D681" s="9">
        <v>45425</v>
      </c>
      <c r="E681" s="13" t="str">
        <f>+HYPERLINK("http://trademark.i-assist.jp/data/china/image_1887th/76785131.pdf","76785131")</f>
        <v>76785131</v>
      </c>
      <c r="F681" s="7" t="s">
        <v>1868</v>
      </c>
      <c r="G681" s="7" t="s">
        <v>1869</v>
      </c>
      <c r="H681" s="7" t="s">
        <v>1870</v>
      </c>
      <c r="I681" s="9">
        <v>45326</v>
      </c>
    </row>
    <row r="682" spans="1:9" x14ac:dyDescent="0.15">
      <c r="A682" s="6">
        <v>681</v>
      </c>
      <c r="B682" s="7" t="s">
        <v>8</v>
      </c>
      <c r="C682" s="8">
        <v>1887</v>
      </c>
      <c r="D682" s="9">
        <v>45425</v>
      </c>
      <c r="E682" s="13" t="str">
        <f>+HYPERLINK("http://trademark.i-assist.jp/data/china/image_1887th/76785344.pdf","76785344")</f>
        <v>76785344</v>
      </c>
      <c r="F682" s="7" t="s">
        <v>1871</v>
      </c>
      <c r="G682" s="7" t="s">
        <v>1872</v>
      </c>
      <c r="H682" s="7" t="s">
        <v>1873</v>
      </c>
      <c r="I682" s="9">
        <v>45326</v>
      </c>
    </row>
    <row r="683" spans="1:9" ht="27" x14ac:dyDescent="0.15">
      <c r="A683" s="6">
        <v>682</v>
      </c>
      <c r="B683" s="7" t="s">
        <v>8</v>
      </c>
      <c r="C683" s="8">
        <v>1887</v>
      </c>
      <c r="D683" s="9">
        <v>45425</v>
      </c>
      <c r="E683" s="13" t="str">
        <f>+HYPERLINK("http://trademark.i-assist.jp/data/china/image_1887th/76785994.pdf","76785994")</f>
        <v>76785994</v>
      </c>
      <c r="F683" s="7" t="s">
        <v>54</v>
      </c>
      <c r="G683" s="7" t="s">
        <v>1874</v>
      </c>
      <c r="H683" s="7" t="s">
        <v>1875</v>
      </c>
      <c r="I683" s="9">
        <v>45327</v>
      </c>
    </row>
    <row r="684" spans="1:9" x14ac:dyDescent="0.15">
      <c r="A684" s="6">
        <v>683</v>
      </c>
      <c r="B684" s="7" t="s">
        <v>8</v>
      </c>
      <c r="C684" s="8">
        <v>1887</v>
      </c>
      <c r="D684" s="9">
        <v>45425</v>
      </c>
      <c r="E684" s="13" t="str">
        <f>+HYPERLINK("http://trademark.i-assist.jp/data/china/image_1887th/76786030.pdf","76786030")</f>
        <v>76786030</v>
      </c>
      <c r="F684" s="7" t="s">
        <v>1876</v>
      </c>
      <c r="G684" s="7" t="s">
        <v>1877</v>
      </c>
      <c r="H684" s="7" t="s">
        <v>1878</v>
      </c>
      <c r="I684" s="9">
        <v>45327</v>
      </c>
    </row>
    <row r="685" spans="1:9" x14ac:dyDescent="0.15">
      <c r="A685" s="6">
        <v>684</v>
      </c>
      <c r="B685" s="7" t="s">
        <v>8</v>
      </c>
      <c r="C685" s="8">
        <v>1887</v>
      </c>
      <c r="D685" s="9">
        <v>45425</v>
      </c>
      <c r="E685" s="13" t="str">
        <f>+HYPERLINK("http://trademark.i-assist.jp/data/china/image_1887th/76786059.pdf","76786059")</f>
        <v>76786059</v>
      </c>
      <c r="F685" s="7" t="s">
        <v>1879</v>
      </c>
      <c r="G685" s="7" t="s">
        <v>1880</v>
      </c>
      <c r="H685" s="7" t="s">
        <v>1881</v>
      </c>
      <c r="I685" s="9">
        <v>45327</v>
      </c>
    </row>
    <row r="686" spans="1:9" x14ac:dyDescent="0.15">
      <c r="A686" s="6">
        <v>685</v>
      </c>
      <c r="B686" s="7" t="s">
        <v>8</v>
      </c>
      <c r="C686" s="8">
        <v>1887</v>
      </c>
      <c r="D686" s="9">
        <v>45425</v>
      </c>
      <c r="E686" s="13" t="str">
        <f>+HYPERLINK("http://trademark.i-assist.jp/data/china/image_1887th/76786934.pdf","76786934")</f>
        <v>76786934</v>
      </c>
      <c r="F686" s="7" t="s">
        <v>1882</v>
      </c>
      <c r="G686" s="7" t="s">
        <v>1883</v>
      </c>
      <c r="H686" s="7" t="s">
        <v>1884</v>
      </c>
      <c r="I686" s="9">
        <v>45327</v>
      </c>
    </row>
    <row r="687" spans="1:9" x14ac:dyDescent="0.15">
      <c r="A687" s="6">
        <v>686</v>
      </c>
      <c r="B687" s="7" t="s">
        <v>8</v>
      </c>
      <c r="C687" s="8">
        <v>1887</v>
      </c>
      <c r="D687" s="9">
        <v>45425</v>
      </c>
      <c r="E687" s="13" t="str">
        <f>+HYPERLINK("http://trademark.i-assist.jp/data/china/image_1887th/76787628.pdf","76787628")</f>
        <v>76787628</v>
      </c>
      <c r="F687" s="7" t="s">
        <v>1885</v>
      </c>
      <c r="G687" s="7" t="s">
        <v>1886</v>
      </c>
      <c r="H687" s="7" t="s">
        <v>1887</v>
      </c>
      <c r="I687" s="9">
        <v>45327</v>
      </c>
    </row>
    <row r="688" spans="1:9" x14ac:dyDescent="0.15">
      <c r="A688" s="6">
        <v>687</v>
      </c>
      <c r="B688" s="7" t="s">
        <v>8</v>
      </c>
      <c r="C688" s="8">
        <v>1887</v>
      </c>
      <c r="D688" s="9">
        <v>45425</v>
      </c>
      <c r="E688" s="13" t="str">
        <f>+HYPERLINK("http://trademark.i-assist.jp/data/china/image_1887th/76787755.pdf","76787755")</f>
        <v>76787755</v>
      </c>
      <c r="F688" s="7" t="s">
        <v>1888</v>
      </c>
      <c r="G688" s="7" t="s">
        <v>1889</v>
      </c>
      <c r="H688" s="7" t="s">
        <v>1890</v>
      </c>
      <c r="I688" s="9">
        <v>45327</v>
      </c>
    </row>
    <row r="689" spans="1:9" x14ac:dyDescent="0.15">
      <c r="A689" s="6">
        <v>688</v>
      </c>
      <c r="B689" s="7" t="s">
        <v>8</v>
      </c>
      <c r="C689" s="8">
        <v>1887</v>
      </c>
      <c r="D689" s="9">
        <v>45425</v>
      </c>
      <c r="E689" s="13" t="str">
        <f>+HYPERLINK("http://trademark.i-assist.jp/data/china/image_1887th/76788097.pdf","76788097")</f>
        <v>76788097</v>
      </c>
      <c r="F689" s="7" t="s">
        <v>1891</v>
      </c>
      <c r="G689" s="7" t="s">
        <v>1892</v>
      </c>
      <c r="H689" s="7" t="s">
        <v>1893</v>
      </c>
      <c r="I689" s="9">
        <v>45327</v>
      </c>
    </row>
    <row r="690" spans="1:9" ht="27" x14ac:dyDescent="0.15">
      <c r="A690" s="6">
        <v>689</v>
      </c>
      <c r="B690" s="7" t="s">
        <v>8</v>
      </c>
      <c r="C690" s="8">
        <v>1887</v>
      </c>
      <c r="D690" s="9">
        <v>45425</v>
      </c>
      <c r="E690" s="13" t="str">
        <f>+HYPERLINK("http://trademark.i-assist.jp/data/china/image_1887th/76788494.pdf","76788494")</f>
        <v>76788494</v>
      </c>
      <c r="F690" s="7" t="s">
        <v>1894</v>
      </c>
      <c r="G690" s="7" t="s">
        <v>1895</v>
      </c>
      <c r="H690" s="7" t="s">
        <v>1896</v>
      </c>
      <c r="I690" s="9">
        <v>45327</v>
      </c>
    </row>
    <row r="691" spans="1:9" x14ac:dyDescent="0.15">
      <c r="A691" s="6">
        <v>690</v>
      </c>
      <c r="B691" s="7" t="s">
        <v>8</v>
      </c>
      <c r="C691" s="8">
        <v>1887</v>
      </c>
      <c r="D691" s="9">
        <v>45425</v>
      </c>
      <c r="E691" s="13" t="str">
        <f>+HYPERLINK("http://trademark.i-assist.jp/data/china/image_1887th/76788567.pdf","76788567")</f>
        <v>76788567</v>
      </c>
      <c r="F691" s="7" t="s">
        <v>54</v>
      </c>
      <c r="G691" s="7" t="s">
        <v>1897</v>
      </c>
      <c r="H691" s="7" t="s">
        <v>1898</v>
      </c>
      <c r="I691" s="9">
        <v>45327</v>
      </c>
    </row>
    <row r="692" spans="1:9" x14ac:dyDescent="0.15">
      <c r="A692" s="6">
        <v>691</v>
      </c>
      <c r="B692" s="7" t="s">
        <v>8</v>
      </c>
      <c r="C692" s="8">
        <v>1887</v>
      </c>
      <c r="D692" s="9">
        <v>45425</v>
      </c>
      <c r="E692" s="13" t="str">
        <f>+HYPERLINK("http://trademark.i-assist.jp/data/china/image_1887th/76788939.pdf","76788939")</f>
        <v>76788939</v>
      </c>
      <c r="F692" s="7" t="s">
        <v>1899</v>
      </c>
      <c r="G692" s="7" t="s">
        <v>1900</v>
      </c>
      <c r="H692" s="7" t="s">
        <v>1901</v>
      </c>
      <c r="I692" s="9">
        <v>45327</v>
      </c>
    </row>
    <row r="693" spans="1:9" ht="27" x14ac:dyDescent="0.15">
      <c r="A693" s="6">
        <v>692</v>
      </c>
      <c r="B693" s="7" t="s">
        <v>8</v>
      </c>
      <c r="C693" s="8">
        <v>1887</v>
      </c>
      <c r="D693" s="9">
        <v>45425</v>
      </c>
      <c r="E693" s="13" t="str">
        <f>+HYPERLINK("http://trademark.i-assist.jp/data/china/image_1887th/76789009.pdf","76789009")</f>
        <v>76789009</v>
      </c>
      <c r="F693" s="7" t="s">
        <v>1902</v>
      </c>
      <c r="G693" s="7" t="s">
        <v>1848</v>
      </c>
      <c r="H693" s="7" t="s">
        <v>1903</v>
      </c>
      <c r="I693" s="9">
        <v>45327</v>
      </c>
    </row>
    <row r="694" spans="1:9" x14ac:dyDescent="0.15">
      <c r="A694" s="6">
        <v>693</v>
      </c>
      <c r="B694" s="7" t="s">
        <v>8</v>
      </c>
      <c r="C694" s="8">
        <v>1887</v>
      </c>
      <c r="D694" s="9">
        <v>45425</v>
      </c>
      <c r="E694" s="13" t="str">
        <f>+HYPERLINK("http://trademark.i-assist.jp/data/china/image_1887th/76789011.pdf","76789011")</f>
        <v>76789011</v>
      </c>
      <c r="F694" s="7" t="s">
        <v>1904</v>
      </c>
      <c r="G694" s="7" t="s">
        <v>1905</v>
      </c>
      <c r="H694" s="7" t="s">
        <v>1906</v>
      </c>
      <c r="I694" s="9">
        <v>45327</v>
      </c>
    </row>
    <row r="695" spans="1:9" x14ac:dyDescent="0.15">
      <c r="A695" s="6">
        <v>694</v>
      </c>
      <c r="B695" s="7" t="s">
        <v>8</v>
      </c>
      <c r="C695" s="8">
        <v>1887</v>
      </c>
      <c r="D695" s="9">
        <v>45425</v>
      </c>
      <c r="E695" s="13" t="str">
        <f>+HYPERLINK("http://trademark.i-assist.jp/data/china/image_1887th/76789174.pdf","76789174")</f>
        <v>76789174</v>
      </c>
      <c r="F695" s="7" t="s">
        <v>1907</v>
      </c>
      <c r="G695" s="7" t="s">
        <v>1908</v>
      </c>
      <c r="H695" s="7" t="s">
        <v>1909</v>
      </c>
      <c r="I695" s="9">
        <v>45327</v>
      </c>
    </row>
    <row r="696" spans="1:9" ht="27" x14ac:dyDescent="0.15">
      <c r="A696" s="6">
        <v>695</v>
      </c>
      <c r="B696" s="7" t="s">
        <v>8</v>
      </c>
      <c r="C696" s="8">
        <v>1887</v>
      </c>
      <c r="D696" s="9">
        <v>45425</v>
      </c>
      <c r="E696" s="13" t="str">
        <f>+HYPERLINK("http://trademark.i-assist.jp/data/china/image_1887th/76789572.pdf","76789572")</f>
        <v>76789572</v>
      </c>
      <c r="F696" s="7" t="s">
        <v>1910</v>
      </c>
      <c r="G696" s="7" t="s">
        <v>1911</v>
      </c>
      <c r="H696" s="7" t="s">
        <v>1912</v>
      </c>
      <c r="I696" s="9">
        <v>45327</v>
      </c>
    </row>
    <row r="697" spans="1:9" x14ac:dyDescent="0.15">
      <c r="A697" s="6">
        <v>696</v>
      </c>
      <c r="B697" s="7" t="s">
        <v>8</v>
      </c>
      <c r="C697" s="8">
        <v>1887</v>
      </c>
      <c r="D697" s="9">
        <v>45425</v>
      </c>
      <c r="E697" s="13" t="str">
        <f>+HYPERLINK("http://trademark.i-assist.jp/data/china/image_1887th/76789862.pdf","76789862")</f>
        <v>76789862</v>
      </c>
      <c r="F697" s="7" t="s">
        <v>1913</v>
      </c>
      <c r="G697" s="7" t="s">
        <v>1914</v>
      </c>
      <c r="H697" s="7" t="s">
        <v>1915</v>
      </c>
      <c r="I697" s="9">
        <v>45327</v>
      </c>
    </row>
    <row r="698" spans="1:9" ht="27" x14ac:dyDescent="0.15">
      <c r="A698" s="6">
        <v>697</v>
      </c>
      <c r="B698" s="7" t="s">
        <v>8</v>
      </c>
      <c r="C698" s="8">
        <v>1887</v>
      </c>
      <c r="D698" s="9">
        <v>45425</v>
      </c>
      <c r="E698" s="13" t="str">
        <f>+HYPERLINK("http://trademark.i-assist.jp/data/china/image_1887th/76790559.pdf","76790559")</f>
        <v>76790559</v>
      </c>
      <c r="F698" s="7" t="s">
        <v>1916</v>
      </c>
      <c r="G698" s="7" t="s">
        <v>1848</v>
      </c>
      <c r="H698" s="7" t="s">
        <v>1917</v>
      </c>
      <c r="I698" s="9">
        <v>45327</v>
      </c>
    </row>
    <row r="699" spans="1:9" ht="27" x14ac:dyDescent="0.15">
      <c r="A699" s="6">
        <v>698</v>
      </c>
      <c r="B699" s="7" t="s">
        <v>8</v>
      </c>
      <c r="C699" s="8">
        <v>1887</v>
      </c>
      <c r="D699" s="9">
        <v>45425</v>
      </c>
      <c r="E699" s="13" t="str">
        <f>+HYPERLINK("http://trademark.i-assist.jp/data/china/image_1887th/76790984.pdf","76790984")</f>
        <v>76790984</v>
      </c>
      <c r="F699" s="7" t="s">
        <v>1918</v>
      </c>
      <c r="G699" s="7" t="s">
        <v>1919</v>
      </c>
      <c r="H699" s="7" t="s">
        <v>1920</v>
      </c>
      <c r="I699" s="9">
        <v>45327</v>
      </c>
    </row>
    <row r="700" spans="1:9" ht="27" x14ac:dyDescent="0.15">
      <c r="A700" s="6">
        <v>699</v>
      </c>
      <c r="B700" s="7" t="s">
        <v>8</v>
      </c>
      <c r="C700" s="8">
        <v>1887</v>
      </c>
      <c r="D700" s="9">
        <v>45425</v>
      </c>
      <c r="E700" s="13" t="str">
        <f>+HYPERLINK("http://trademark.i-assist.jp/data/china/image_1887th/76790993.pdf","76790993")</f>
        <v>76790993</v>
      </c>
      <c r="F700" s="7" t="s">
        <v>1921</v>
      </c>
      <c r="G700" s="7" t="s">
        <v>1919</v>
      </c>
      <c r="H700" s="7" t="s">
        <v>1922</v>
      </c>
      <c r="I700" s="9">
        <v>45327</v>
      </c>
    </row>
    <row r="701" spans="1:9" x14ac:dyDescent="0.15">
      <c r="A701" s="6">
        <v>700</v>
      </c>
      <c r="B701" s="7" t="s">
        <v>8</v>
      </c>
      <c r="C701" s="8">
        <v>1887</v>
      </c>
      <c r="D701" s="9">
        <v>45425</v>
      </c>
      <c r="E701" s="13" t="str">
        <f>+HYPERLINK("http://trademark.i-assist.jp/data/china/image_1887th/76791119.pdf","76791119")</f>
        <v>76791119</v>
      </c>
      <c r="F701" s="7" t="s">
        <v>1923</v>
      </c>
      <c r="G701" s="7" t="s">
        <v>1924</v>
      </c>
      <c r="H701" s="7" t="s">
        <v>1925</v>
      </c>
      <c r="I701" s="9">
        <v>45327</v>
      </c>
    </row>
    <row r="702" spans="1:9" x14ac:dyDescent="0.15">
      <c r="A702" s="6">
        <v>701</v>
      </c>
      <c r="B702" s="7" t="s">
        <v>8</v>
      </c>
      <c r="C702" s="8">
        <v>1887</v>
      </c>
      <c r="D702" s="9">
        <v>45425</v>
      </c>
      <c r="E702" s="13" t="str">
        <f>+HYPERLINK("http://trademark.i-assist.jp/data/china/image_1887th/76791288.pdf","76791288")</f>
        <v>76791288</v>
      </c>
      <c r="F702" s="7" t="s">
        <v>1926</v>
      </c>
      <c r="G702" s="7" t="s">
        <v>1927</v>
      </c>
      <c r="H702" s="7" t="s">
        <v>1928</v>
      </c>
      <c r="I702" s="9">
        <v>45327</v>
      </c>
    </row>
    <row r="703" spans="1:9" x14ac:dyDescent="0.15">
      <c r="A703" s="6">
        <v>702</v>
      </c>
      <c r="B703" s="7" t="s">
        <v>8</v>
      </c>
      <c r="C703" s="8">
        <v>1887</v>
      </c>
      <c r="D703" s="9">
        <v>45425</v>
      </c>
      <c r="E703" s="13" t="str">
        <f>+HYPERLINK("http://trademark.i-assist.jp/data/china/image_1887th/76792009.pdf","76792009")</f>
        <v>76792009</v>
      </c>
      <c r="F703" s="7" t="s">
        <v>1929</v>
      </c>
      <c r="G703" s="7" t="s">
        <v>1930</v>
      </c>
      <c r="H703" s="7" t="s">
        <v>1931</v>
      </c>
      <c r="I703" s="9">
        <v>45327</v>
      </c>
    </row>
    <row r="704" spans="1:9" ht="27" x14ac:dyDescent="0.15">
      <c r="A704" s="6">
        <v>703</v>
      </c>
      <c r="B704" s="7" t="s">
        <v>8</v>
      </c>
      <c r="C704" s="8">
        <v>1887</v>
      </c>
      <c r="D704" s="9">
        <v>45425</v>
      </c>
      <c r="E704" s="13" t="str">
        <f>+HYPERLINK("http://trademark.i-assist.jp/data/china/image_1887th/76792164.pdf","76792164")</f>
        <v>76792164</v>
      </c>
      <c r="F704" s="7" t="s">
        <v>1932</v>
      </c>
      <c r="G704" s="7" t="s">
        <v>1933</v>
      </c>
      <c r="H704" s="7" t="s">
        <v>1934</v>
      </c>
      <c r="I704" s="9">
        <v>45327</v>
      </c>
    </row>
    <row r="705" spans="1:9" x14ac:dyDescent="0.15">
      <c r="A705" s="6">
        <v>704</v>
      </c>
      <c r="B705" s="7" t="s">
        <v>8</v>
      </c>
      <c r="C705" s="8">
        <v>1887</v>
      </c>
      <c r="D705" s="9">
        <v>45425</v>
      </c>
      <c r="E705" s="13" t="str">
        <f>+HYPERLINK("http://trademark.i-assist.jp/data/china/image_1887th/76792705.pdf","76792705")</f>
        <v>76792705</v>
      </c>
      <c r="F705" s="7" t="s">
        <v>1935</v>
      </c>
      <c r="G705" s="7" t="s">
        <v>1366</v>
      </c>
      <c r="H705" s="7" t="s">
        <v>1936</v>
      </c>
      <c r="I705" s="9">
        <v>45327</v>
      </c>
    </row>
    <row r="706" spans="1:9" x14ac:dyDescent="0.15">
      <c r="A706" s="6">
        <v>705</v>
      </c>
      <c r="B706" s="7" t="s">
        <v>8</v>
      </c>
      <c r="C706" s="8">
        <v>1887</v>
      </c>
      <c r="D706" s="9">
        <v>45425</v>
      </c>
      <c r="E706" s="13" t="str">
        <f>+HYPERLINK("http://trademark.i-assist.jp/data/china/image_1887th/76792735.pdf","76792735")</f>
        <v>76792735</v>
      </c>
      <c r="F706" s="7" t="s">
        <v>1937</v>
      </c>
      <c r="G706" s="7" t="s">
        <v>1938</v>
      </c>
      <c r="H706" s="7" t="s">
        <v>1939</v>
      </c>
      <c r="I706" s="9">
        <v>45327</v>
      </c>
    </row>
    <row r="707" spans="1:9" x14ac:dyDescent="0.15">
      <c r="A707" s="6">
        <v>706</v>
      </c>
      <c r="B707" s="7" t="s">
        <v>8</v>
      </c>
      <c r="C707" s="8">
        <v>1887</v>
      </c>
      <c r="D707" s="9">
        <v>45425</v>
      </c>
      <c r="E707" s="13" t="str">
        <f>+HYPERLINK("http://trademark.i-assist.jp/data/china/image_1887th/76792740.pdf","76792740")</f>
        <v>76792740</v>
      </c>
      <c r="F707" s="7" t="s">
        <v>1940</v>
      </c>
      <c r="G707" s="7" t="s">
        <v>1938</v>
      </c>
      <c r="H707" s="7" t="s">
        <v>1941</v>
      </c>
      <c r="I707" s="9">
        <v>45327</v>
      </c>
    </row>
    <row r="708" spans="1:9" ht="27" x14ac:dyDescent="0.15">
      <c r="A708" s="6">
        <v>707</v>
      </c>
      <c r="B708" s="7" t="s">
        <v>8</v>
      </c>
      <c r="C708" s="8">
        <v>1887</v>
      </c>
      <c r="D708" s="9">
        <v>45425</v>
      </c>
      <c r="E708" s="13" t="str">
        <f>+HYPERLINK("http://trademark.i-assist.jp/data/china/image_1887th/76793110.pdf","76793110")</f>
        <v>76793110</v>
      </c>
      <c r="F708" s="7" t="s">
        <v>1942</v>
      </c>
      <c r="G708" s="7" t="s">
        <v>1943</v>
      </c>
      <c r="H708" s="7" t="s">
        <v>1944</v>
      </c>
      <c r="I708" s="9">
        <v>45327</v>
      </c>
    </row>
    <row r="709" spans="1:9" x14ac:dyDescent="0.15">
      <c r="A709" s="6">
        <v>708</v>
      </c>
      <c r="B709" s="7" t="s">
        <v>8</v>
      </c>
      <c r="C709" s="8">
        <v>1887</v>
      </c>
      <c r="D709" s="9">
        <v>45425</v>
      </c>
      <c r="E709" s="13" t="str">
        <f>+HYPERLINK("http://trademark.i-assist.jp/data/china/image_1887th/76793361.pdf","76793361")</f>
        <v>76793361</v>
      </c>
      <c r="F709" s="7" t="s">
        <v>1945</v>
      </c>
      <c r="G709" s="7" t="s">
        <v>1946</v>
      </c>
      <c r="H709" s="7" t="s">
        <v>1947</v>
      </c>
      <c r="I709" s="9">
        <v>45327</v>
      </c>
    </row>
    <row r="710" spans="1:9" x14ac:dyDescent="0.15">
      <c r="A710" s="6">
        <v>709</v>
      </c>
      <c r="B710" s="7" t="s">
        <v>8</v>
      </c>
      <c r="C710" s="8">
        <v>1887</v>
      </c>
      <c r="D710" s="9">
        <v>45425</v>
      </c>
      <c r="E710" s="13" t="str">
        <f>+HYPERLINK("http://trademark.i-assist.jp/data/china/image_1887th/76794624.pdf","76794624")</f>
        <v>76794624</v>
      </c>
      <c r="F710" s="7" t="s">
        <v>1948</v>
      </c>
      <c r="G710" s="7" t="s">
        <v>1949</v>
      </c>
      <c r="H710" s="7" t="s">
        <v>1950</v>
      </c>
      <c r="I710" s="9">
        <v>45327</v>
      </c>
    </row>
    <row r="711" spans="1:9" x14ac:dyDescent="0.15">
      <c r="A711" s="6">
        <v>710</v>
      </c>
      <c r="B711" s="7" t="s">
        <v>8</v>
      </c>
      <c r="C711" s="8">
        <v>1887</v>
      </c>
      <c r="D711" s="9">
        <v>45425</v>
      </c>
      <c r="E711" s="13" t="str">
        <f>+HYPERLINK("http://trademark.i-assist.jp/data/china/image_1887th/76794632.pdf","76794632")</f>
        <v>76794632</v>
      </c>
      <c r="F711" s="7" t="s">
        <v>1951</v>
      </c>
      <c r="G711" s="7" t="s">
        <v>1952</v>
      </c>
      <c r="H711" s="7" t="s">
        <v>1953</v>
      </c>
      <c r="I711" s="9">
        <v>45327</v>
      </c>
    </row>
    <row r="712" spans="1:9" x14ac:dyDescent="0.15">
      <c r="A712" s="6">
        <v>711</v>
      </c>
      <c r="B712" s="7" t="s">
        <v>8</v>
      </c>
      <c r="C712" s="8">
        <v>1887</v>
      </c>
      <c r="D712" s="9">
        <v>45425</v>
      </c>
      <c r="E712" s="13" t="str">
        <f>+HYPERLINK("http://trademark.i-assist.jp/data/china/image_1887th/76794888.pdf","76794888")</f>
        <v>76794888</v>
      </c>
      <c r="F712" s="7" t="s">
        <v>1954</v>
      </c>
      <c r="G712" s="7" t="s">
        <v>1955</v>
      </c>
      <c r="H712" s="7" t="s">
        <v>1956</v>
      </c>
      <c r="I712" s="9">
        <v>45327</v>
      </c>
    </row>
    <row r="713" spans="1:9" x14ac:dyDescent="0.15">
      <c r="A713" s="6">
        <v>712</v>
      </c>
      <c r="B713" s="7" t="s">
        <v>8</v>
      </c>
      <c r="C713" s="8">
        <v>1887</v>
      </c>
      <c r="D713" s="9">
        <v>45425</v>
      </c>
      <c r="E713" s="13" t="str">
        <f>+HYPERLINK("http://trademark.i-assist.jp/data/china/image_1887th/76794987.pdf","76794987")</f>
        <v>76794987</v>
      </c>
      <c r="F713" s="7" t="s">
        <v>1957</v>
      </c>
      <c r="G713" s="7" t="s">
        <v>1958</v>
      </c>
      <c r="H713" s="7" t="s">
        <v>1959</v>
      </c>
      <c r="I713" s="9">
        <v>45327</v>
      </c>
    </row>
    <row r="714" spans="1:9" x14ac:dyDescent="0.15">
      <c r="A714" s="6">
        <v>713</v>
      </c>
      <c r="B714" s="7" t="s">
        <v>8</v>
      </c>
      <c r="C714" s="8">
        <v>1887</v>
      </c>
      <c r="D714" s="9">
        <v>45425</v>
      </c>
      <c r="E714" s="13" t="str">
        <f>+HYPERLINK("http://trademark.i-assist.jp/data/china/image_1887th/76795055.pdf","76795055")</f>
        <v>76795055</v>
      </c>
      <c r="F714" s="7" t="s">
        <v>1960</v>
      </c>
      <c r="G714" s="7" t="s">
        <v>1961</v>
      </c>
      <c r="H714" s="7" t="s">
        <v>1962</v>
      </c>
      <c r="I714" s="9">
        <v>45327</v>
      </c>
    </row>
    <row r="715" spans="1:9" x14ac:dyDescent="0.15">
      <c r="A715" s="6">
        <v>714</v>
      </c>
      <c r="B715" s="7" t="s">
        <v>8</v>
      </c>
      <c r="C715" s="8">
        <v>1887</v>
      </c>
      <c r="D715" s="9">
        <v>45425</v>
      </c>
      <c r="E715" s="13" t="str">
        <f>+HYPERLINK("http://trademark.i-assist.jp/data/china/image_1887th/76795218.pdf","76795218")</f>
        <v>76795218</v>
      </c>
      <c r="F715" s="7" t="s">
        <v>1963</v>
      </c>
      <c r="G715" s="7" t="s">
        <v>1930</v>
      </c>
      <c r="H715" s="7" t="s">
        <v>1964</v>
      </c>
      <c r="I715" s="9">
        <v>45327</v>
      </c>
    </row>
    <row r="716" spans="1:9" x14ac:dyDescent="0.15">
      <c r="A716" s="6">
        <v>715</v>
      </c>
      <c r="B716" s="7" t="s">
        <v>8</v>
      </c>
      <c r="C716" s="8">
        <v>1887</v>
      </c>
      <c r="D716" s="9">
        <v>45425</v>
      </c>
      <c r="E716" s="13" t="str">
        <f>+HYPERLINK("http://trademark.i-assist.jp/data/china/image_1887th/76795423.pdf","76795423")</f>
        <v>76795423</v>
      </c>
      <c r="F716" s="7" t="s">
        <v>54</v>
      </c>
      <c r="G716" s="7" t="s">
        <v>1897</v>
      </c>
      <c r="H716" s="7" t="s">
        <v>1965</v>
      </c>
      <c r="I716" s="9">
        <v>45327</v>
      </c>
    </row>
    <row r="717" spans="1:9" ht="27" x14ac:dyDescent="0.15">
      <c r="A717" s="6">
        <v>716</v>
      </c>
      <c r="B717" s="7" t="s">
        <v>8</v>
      </c>
      <c r="C717" s="8">
        <v>1887</v>
      </c>
      <c r="D717" s="9">
        <v>45425</v>
      </c>
      <c r="E717" s="13" t="str">
        <f>+HYPERLINK("http://trademark.i-assist.jp/data/china/image_1887th/76795549.pdf","76795549")</f>
        <v>76795549</v>
      </c>
      <c r="F717" s="7" t="s">
        <v>1966</v>
      </c>
      <c r="G717" s="7" t="s">
        <v>1967</v>
      </c>
      <c r="H717" s="7" t="s">
        <v>1968</v>
      </c>
      <c r="I717" s="9">
        <v>45327</v>
      </c>
    </row>
    <row r="718" spans="1:9" x14ac:dyDescent="0.15">
      <c r="A718" s="6">
        <v>717</v>
      </c>
      <c r="B718" s="7" t="s">
        <v>8</v>
      </c>
      <c r="C718" s="8">
        <v>1887</v>
      </c>
      <c r="D718" s="9">
        <v>45425</v>
      </c>
      <c r="E718" s="13" t="str">
        <f>+HYPERLINK("http://trademark.i-assist.jp/data/china/image_1887th/76795831.pdf","76795831")</f>
        <v>76795831</v>
      </c>
      <c r="F718" s="7" t="s">
        <v>1969</v>
      </c>
      <c r="G718" s="7" t="s">
        <v>1970</v>
      </c>
      <c r="H718" s="7" t="s">
        <v>1971</v>
      </c>
      <c r="I718" s="9">
        <v>45327</v>
      </c>
    </row>
    <row r="719" spans="1:9" x14ac:dyDescent="0.15">
      <c r="A719" s="6">
        <v>718</v>
      </c>
      <c r="B719" s="7" t="s">
        <v>8</v>
      </c>
      <c r="C719" s="8">
        <v>1887</v>
      </c>
      <c r="D719" s="9">
        <v>45425</v>
      </c>
      <c r="E719" s="13" t="str">
        <f>+HYPERLINK("http://trademark.i-assist.jp/data/china/image_1887th/76796133.pdf","76796133")</f>
        <v>76796133</v>
      </c>
      <c r="F719" s="7" t="s">
        <v>1972</v>
      </c>
      <c r="G719" s="7" t="s">
        <v>1519</v>
      </c>
      <c r="H719" s="7" t="s">
        <v>1973</v>
      </c>
      <c r="I719" s="9">
        <v>45327</v>
      </c>
    </row>
    <row r="720" spans="1:9" x14ac:dyDescent="0.15">
      <c r="A720" s="6">
        <v>719</v>
      </c>
      <c r="B720" s="7" t="s">
        <v>8</v>
      </c>
      <c r="C720" s="8">
        <v>1887</v>
      </c>
      <c r="D720" s="9">
        <v>45425</v>
      </c>
      <c r="E720" s="13" t="str">
        <f>+HYPERLINK("http://trademark.i-assist.jp/data/china/image_1887th/76796135.pdf","76796135")</f>
        <v>76796135</v>
      </c>
      <c r="F720" s="7" t="s">
        <v>1948</v>
      </c>
      <c r="G720" s="7" t="s">
        <v>1949</v>
      </c>
      <c r="H720" s="7" t="s">
        <v>1974</v>
      </c>
      <c r="I720" s="9">
        <v>45327</v>
      </c>
    </row>
    <row r="721" spans="1:9" x14ac:dyDescent="0.15">
      <c r="A721" s="6">
        <v>720</v>
      </c>
      <c r="B721" s="7" t="s">
        <v>8</v>
      </c>
      <c r="C721" s="8">
        <v>1887</v>
      </c>
      <c r="D721" s="9">
        <v>45425</v>
      </c>
      <c r="E721" s="13" t="str">
        <f>+HYPERLINK("http://trademark.i-assist.jp/data/china/image_1887th/76796928.pdf","76796928")</f>
        <v>76796928</v>
      </c>
      <c r="F721" s="7" t="s">
        <v>1975</v>
      </c>
      <c r="G721" s="7" t="s">
        <v>1976</v>
      </c>
      <c r="H721" s="7" t="s">
        <v>1977</v>
      </c>
      <c r="I721" s="9">
        <v>45327</v>
      </c>
    </row>
    <row r="722" spans="1:9" x14ac:dyDescent="0.15">
      <c r="A722" s="6">
        <v>721</v>
      </c>
      <c r="B722" s="7" t="s">
        <v>8</v>
      </c>
      <c r="C722" s="8">
        <v>1887</v>
      </c>
      <c r="D722" s="9">
        <v>45425</v>
      </c>
      <c r="E722" s="13" t="str">
        <f>+HYPERLINK("http://trademark.i-assist.jp/data/china/image_1887th/76797100.pdf","76797100")</f>
        <v>76797100</v>
      </c>
      <c r="F722" s="7" t="s">
        <v>1978</v>
      </c>
      <c r="G722" s="7" t="s">
        <v>1979</v>
      </c>
      <c r="H722" s="7" t="s">
        <v>1980</v>
      </c>
      <c r="I722" s="9">
        <v>45327</v>
      </c>
    </row>
    <row r="723" spans="1:9" x14ac:dyDescent="0.15">
      <c r="A723" s="6">
        <v>722</v>
      </c>
      <c r="B723" s="7" t="s">
        <v>8</v>
      </c>
      <c r="C723" s="8">
        <v>1887</v>
      </c>
      <c r="D723" s="9">
        <v>45425</v>
      </c>
      <c r="E723" s="13" t="str">
        <f>+HYPERLINK("http://trademark.i-assist.jp/data/china/image_1887th/76797207.pdf","76797207")</f>
        <v>76797207</v>
      </c>
      <c r="F723" s="7" t="s">
        <v>1981</v>
      </c>
      <c r="G723" s="7" t="s">
        <v>1982</v>
      </c>
      <c r="H723" s="7" t="s">
        <v>1983</v>
      </c>
      <c r="I723" s="9">
        <v>45327</v>
      </c>
    </row>
    <row r="724" spans="1:9" ht="27" x14ac:dyDescent="0.15">
      <c r="A724" s="6">
        <v>723</v>
      </c>
      <c r="B724" s="7" t="s">
        <v>8</v>
      </c>
      <c r="C724" s="8">
        <v>1887</v>
      </c>
      <c r="D724" s="9">
        <v>45425</v>
      </c>
      <c r="E724" s="13" t="str">
        <f>+HYPERLINK("http://trademark.i-assist.jp/data/china/image_1887th/76797590.pdf","76797590")</f>
        <v>76797590</v>
      </c>
      <c r="F724" s="7" t="s">
        <v>1984</v>
      </c>
      <c r="G724" s="7" t="s">
        <v>1933</v>
      </c>
      <c r="H724" s="7" t="s">
        <v>1985</v>
      </c>
      <c r="I724" s="9">
        <v>45327</v>
      </c>
    </row>
    <row r="725" spans="1:9" ht="27" x14ac:dyDescent="0.15">
      <c r="A725" s="6">
        <v>724</v>
      </c>
      <c r="B725" s="7" t="s">
        <v>8</v>
      </c>
      <c r="C725" s="8">
        <v>1887</v>
      </c>
      <c r="D725" s="9">
        <v>45425</v>
      </c>
      <c r="E725" s="13" t="str">
        <f>+HYPERLINK("http://trademark.i-assist.jp/data/china/image_1887th/76798066.pdf","76798066")</f>
        <v>76798066</v>
      </c>
      <c r="F725" s="7" t="s">
        <v>1986</v>
      </c>
      <c r="G725" s="7" t="s">
        <v>1987</v>
      </c>
      <c r="H725" s="7" t="s">
        <v>1988</v>
      </c>
      <c r="I725" s="9">
        <v>45327</v>
      </c>
    </row>
    <row r="726" spans="1:9" x14ac:dyDescent="0.15">
      <c r="A726" s="6">
        <v>725</v>
      </c>
      <c r="B726" s="7" t="s">
        <v>8</v>
      </c>
      <c r="C726" s="8">
        <v>1887</v>
      </c>
      <c r="D726" s="9">
        <v>45425</v>
      </c>
      <c r="E726" s="13" t="str">
        <f>+HYPERLINK("http://trademark.i-assist.jp/data/china/image_1887th/76798504.pdf","76798504")</f>
        <v>76798504</v>
      </c>
      <c r="F726" s="7" t="s">
        <v>1989</v>
      </c>
      <c r="G726" s="7" t="s">
        <v>1990</v>
      </c>
      <c r="H726" s="7" t="s">
        <v>1991</v>
      </c>
      <c r="I726" s="9">
        <v>45327</v>
      </c>
    </row>
    <row r="727" spans="1:9" x14ac:dyDescent="0.15">
      <c r="A727" s="6">
        <v>726</v>
      </c>
      <c r="B727" s="7" t="s">
        <v>8</v>
      </c>
      <c r="C727" s="8">
        <v>1887</v>
      </c>
      <c r="D727" s="9">
        <v>45425</v>
      </c>
      <c r="E727" s="13" t="str">
        <f>+HYPERLINK("http://trademark.i-assist.jp/data/china/image_1887th/76798885.pdf","76798885")</f>
        <v>76798885</v>
      </c>
      <c r="F727" s="7" t="s">
        <v>1992</v>
      </c>
      <c r="G727" s="7" t="s">
        <v>1946</v>
      </c>
      <c r="H727" s="7" t="s">
        <v>1993</v>
      </c>
      <c r="I727" s="9">
        <v>45327</v>
      </c>
    </row>
    <row r="728" spans="1:9" x14ac:dyDescent="0.15">
      <c r="A728" s="6">
        <v>727</v>
      </c>
      <c r="B728" s="7" t="s">
        <v>8</v>
      </c>
      <c r="C728" s="8">
        <v>1887</v>
      </c>
      <c r="D728" s="9">
        <v>45425</v>
      </c>
      <c r="E728" s="13" t="str">
        <f>+HYPERLINK("http://trademark.i-assist.jp/data/china/image_1887th/76799672.pdf","76799672")</f>
        <v>76799672</v>
      </c>
      <c r="F728" s="7" t="s">
        <v>54</v>
      </c>
      <c r="G728" s="7" t="s">
        <v>1994</v>
      </c>
      <c r="H728" s="7" t="s">
        <v>1995</v>
      </c>
      <c r="I728" s="9">
        <v>45327</v>
      </c>
    </row>
    <row r="729" spans="1:9" x14ac:dyDescent="0.15">
      <c r="A729" s="6">
        <v>728</v>
      </c>
      <c r="B729" s="7" t="s">
        <v>8</v>
      </c>
      <c r="C729" s="8">
        <v>1887</v>
      </c>
      <c r="D729" s="9">
        <v>45425</v>
      </c>
      <c r="E729" s="13" t="str">
        <f>+HYPERLINK("http://trademark.i-assist.jp/data/china/image_1887th/76799680.pdf","76799680")</f>
        <v>76799680</v>
      </c>
      <c r="F729" s="7" t="s">
        <v>1996</v>
      </c>
      <c r="G729" s="7" t="s">
        <v>1997</v>
      </c>
      <c r="H729" s="7" t="s">
        <v>1998</v>
      </c>
      <c r="I729" s="9">
        <v>45327</v>
      </c>
    </row>
    <row r="730" spans="1:9" x14ac:dyDescent="0.15">
      <c r="A730" s="6">
        <v>729</v>
      </c>
      <c r="B730" s="7" t="s">
        <v>8</v>
      </c>
      <c r="C730" s="8">
        <v>1887</v>
      </c>
      <c r="D730" s="9">
        <v>45425</v>
      </c>
      <c r="E730" s="13" t="str">
        <f>+HYPERLINK("http://trademark.i-assist.jp/data/china/image_1887th/76800214.pdf","76800214")</f>
        <v>76800214</v>
      </c>
      <c r="F730" s="7" t="s">
        <v>1999</v>
      </c>
      <c r="G730" s="7" t="s">
        <v>1473</v>
      </c>
      <c r="H730" s="7" t="s">
        <v>2000</v>
      </c>
      <c r="I730" s="9">
        <v>45328</v>
      </c>
    </row>
    <row r="731" spans="1:9" x14ac:dyDescent="0.15">
      <c r="A731" s="6">
        <v>730</v>
      </c>
      <c r="B731" s="7" t="s">
        <v>8</v>
      </c>
      <c r="C731" s="8">
        <v>1887</v>
      </c>
      <c r="D731" s="9">
        <v>45425</v>
      </c>
      <c r="E731" s="13" t="str">
        <f>+HYPERLINK("http://trademark.i-assist.jp/data/china/image_1887th/76800411.pdf","76800411")</f>
        <v>76800411</v>
      </c>
      <c r="F731" s="7" t="s">
        <v>2001</v>
      </c>
      <c r="G731" s="7" t="s">
        <v>2002</v>
      </c>
      <c r="H731" s="7" t="s">
        <v>2003</v>
      </c>
      <c r="I731" s="9">
        <v>45328</v>
      </c>
    </row>
    <row r="732" spans="1:9" x14ac:dyDescent="0.15">
      <c r="A732" s="6">
        <v>731</v>
      </c>
      <c r="B732" s="7" t="s">
        <v>8</v>
      </c>
      <c r="C732" s="8">
        <v>1887</v>
      </c>
      <c r="D732" s="9">
        <v>45425</v>
      </c>
      <c r="E732" s="13" t="str">
        <f>+HYPERLINK("http://trademark.i-assist.jp/data/china/image_1887th/76800869.pdf","76800869")</f>
        <v>76800869</v>
      </c>
      <c r="F732" s="7" t="s">
        <v>2004</v>
      </c>
      <c r="G732" s="7" t="s">
        <v>2005</v>
      </c>
      <c r="H732" s="7" t="s">
        <v>2006</v>
      </c>
      <c r="I732" s="9">
        <v>45328</v>
      </c>
    </row>
    <row r="733" spans="1:9" ht="27" x14ac:dyDescent="0.15">
      <c r="A733" s="6">
        <v>732</v>
      </c>
      <c r="B733" s="7" t="s">
        <v>8</v>
      </c>
      <c r="C733" s="8">
        <v>1887</v>
      </c>
      <c r="D733" s="9">
        <v>45425</v>
      </c>
      <c r="E733" s="13" t="str">
        <f>+HYPERLINK("http://trademark.i-assist.jp/data/china/image_1887th/76801393.pdf","76801393")</f>
        <v>76801393</v>
      </c>
      <c r="F733" s="7" t="s">
        <v>2007</v>
      </c>
      <c r="G733" s="7" t="s">
        <v>2008</v>
      </c>
      <c r="H733" s="7" t="s">
        <v>2009</v>
      </c>
      <c r="I733" s="9">
        <v>45328</v>
      </c>
    </row>
    <row r="734" spans="1:9" x14ac:dyDescent="0.15">
      <c r="A734" s="6">
        <v>733</v>
      </c>
      <c r="B734" s="7" t="s">
        <v>8</v>
      </c>
      <c r="C734" s="8">
        <v>1887</v>
      </c>
      <c r="D734" s="9">
        <v>45425</v>
      </c>
      <c r="E734" s="13" t="str">
        <f>+HYPERLINK("http://trademark.i-assist.jp/data/china/image_1887th/76801668.pdf","76801668")</f>
        <v>76801668</v>
      </c>
      <c r="F734" s="7" t="s">
        <v>2010</v>
      </c>
      <c r="G734" s="7" t="s">
        <v>2011</v>
      </c>
      <c r="H734" s="7" t="s">
        <v>2012</v>
      </c>
      <c r="I734" s="9">
        <v>45328</v>
      </c>
    </row>
    <row r="735" spans="1:9" x14ac:dyDescent="0.15">
      <c r="A735" s="6">
        <v>734</v>
      </c>
      <c r="B735" s="7" t="s">
        <v>8</v>
      </c>
      <c r="C735" s="8">
        <v>1887</v>
      </c>
      <c r="D735" s="9">
        <v>45425</v>
      </c>
      <c r="E735" s="13" t="str">
        <f>+HYPERLINK("http://trademark.i-assist.jp/data/china/image_1887th/76801982.pdf","76801982")</f>
        <v>76801982</v>
      </c>
      <c r="F735" s="7" t="s">
        <v>2013</v>
      </c>
      <c r="G735" s="7" t="s">
        <v>2014</v>
      </c>
      <c r="H735" s="7" t="s">
        <v>2015</v>
      </c>
      <c r="I735" s="9">
        <v>45328</v>
      </c>
    </row>
    <row r="736" spans="1:9" x14ac:dyDescent="0.15">
      <c r="A736" s="6">
        <v>735</v>
      </c>
      <c r="B736" s="7" t="s">
        <v>8</v>
      </c>
      <c r="C736" s="8">
        <v>1887</v>
      </c>
      <c r="D736" s="9">
        <v>45425</v>
      </c>
      <c r="E736" s="13" t="str">
        <f>+HYPERLINK("http://trademark.i-assist.jp/data/china/image_1887th/76802526.pdf","76802526")</f>
        <v>76802526</v>
      </c>
      <c r="F736" s="7" t="s">
        <v>2016</v>
      </c>
      <c r="G736" s="7" t="s">
        <v>2005</v>
      </c>
      <c r="H736" s="7" t="s">
        <v>2017</v>
      </c>
      <c r="I736" s="9">
        <v>45328</v>
      </c>
    </row>
    <row r="737" spans="1:9" ht="27" x14ac:dyDescent="0.15">
      <c r="A737" s="6">
        <v>736</v>
      </c>
      <c r="B737" s="7" t="s">
        <v>8</v>
      </c>
      <c r="C737" s="8">
        <v>1887</v>
      </c>
      <c r="D737" s="9">
        <v>45425</v>
      </c>
      <c r="E737" s="13" t="str">
        <f>+HYPERLINK("http://trademark.i-assist.jp/data/china/image_1887th/76802699.pdf","76802699")</f>
        <v>76802699</v>
      </c>
      <c r="F737" s="7" t="s">
        <v>2018</v>
      </c>
      <c r="G737" s="7" t="s">
        <v>2019</v>
      </c>
      <c r="H737" s="7" t="s">
        <v>2020</v>
      </c>
      <c r="I737" s="9">
        <v>45328</v>
      </c>
    </row>
    <row r="738" spans="1:9" x14ac:dyDescent="0.15">
      <c r="A738" s="6">
        <v>737</v>
      </c>
      <c r="B738" s="7" t="s">
        <v>8</v>
      </c>
      <c r="C738" s="8">
        <v>1887</v>
      </c>
      <c r="D738" s="9">
        <v>45425</v>
      </c>
      <c r="E738" s="13" t="str">
        <f>+HYPERLINK("http://trademark.i-assist.jp/data/china/image_1887th/76802826.pdf","76802826")</f>
        <v>76802826</v>
      </c>
      <c r="F738" s="7" t="s">
        <v>2021</v>
      </c>
      <c r="G738" s="7" t="s">
        <v>2022</v>
      </c>
      <c r="H738" s="7" t="s">
        <v>2023</v>
      </c>
      <c r="I738" s="9">
        <v>45328</v>
      </c>
    </row>
    <row r="739" spans="1:9" x14ac:dyDescent="0.15">
      <c r="A739" s="6">
        <v>738</v>
      </c>
      <c r="B739" s="7" t="s">
        <v>8</v>
      </c>
      <c r="C739" s="8">
        <v>1887</v>
      </c>
      <c r="D739" s="9">
        <v>45425</v>
      </c>
      <c r="E739" s="13" t="str">
        <f>+HYPERLINK("http://trademark.i-assist.jp/data/china/image_1887th/76803560.pdf","76803560")</f>
        <v>76803560</v>
      </c>
      <c r="F739" s="7" t="s">
        <v>2024</v>
      </c>
      <c r="G739" s="7" t="s">
        <v>2025</v>
      </c>
      <c r="H739" s="7" t="s">
        <v>2026</v>
      </c>
      <c r="I739" s="9">
        <v>45328</v>
      </c>
    </row>
    <row r="740" spans="1:9" x14ac:dyDescent="0.15">
      <c r="A740" s="6">
        <v>739</v>
      </c>
      <c r="B740" s="7" t="s">
        <v>8</v>
      </c>
      <c r="C740" s="8">
        <v>1887</v>
      </c>
      <c r="D740" s="9">
        <v>45425</v>
      </c>
      <c r="E740" s="13" t="str">
        <f>+HYPERLINK("http://trademark.i-assist.jp/data/china/image_1887th/76803948.pdf","76803948")</f>
        <v>76803948</v>
      </c>
      <c r="F740" s="7" t="s">
        <v>2027</v>
      </c>
      <c r="G740" s="7" t="s">
        <v>2005</v>
      </c>
      <c r="H740" s="7" t="s">
        <v>2028</v>
      </c>
      <c r="I740" s="9">
        <v>45328</v>
      </c>
    </row>
    <row r="741" spans="1:9" x14ac:dyDescent="0.15">
      <c r="A741" s="6">
        <v>740</v>
      </c>
      <c r="B741" s="7" t="s">
        <v>8</v>
      </c>
      <c r="C741" s="8">
        <v>1887</v>
      </c>
      <c r="D741" s="9">
        <v>45425</v>
      </c>
      <c r="E741" s="13" t="str">
        <f>+HYPERLINK("http://trademark.i-assist.jp/data/china/image_1887th/76804125.pdf","76804125")</f>
        <v>76804125</v>
      </c>
      <c r="F741" s="7" t="s">
        <v>2029</v>
      </c>
      <c r="G741" s="7" t="s">
        <v>2030</v>
      </c>
      <c r="H741" s="7" t="s">
        <v>2031</v>
      </c>
      <c r="I741" s="9">
        <v>45328</v>
      </c>
    </row>
    <row r="742" spans="1:9" x14ac:dyDescent="0.15">
      <c r="A742" s="6">
        <v>741</v>
      </c>
      <c r="B742" s="7" t="s">
        <v>8</v>
      </c>
      <c r="C742" s="8">
        <v>1887</v>
      </c>
      <c r="D742" s="9">
        <v>45425</v>
      </c>
      <c r="E742" s="13" t="str">
        <f>+HYPERLINK("http://trademark.i-assist.jp/data/china/image_1887th/76804732.pdf","76804732")</f>
        <v>76804732</v>
      </c>
      <c r="F742" s="7" t="s">
        <v>2032</v>
      </c>
      <c r="G742" s="7" t="s">
        <v>1425</v>
      </c>
      <c r="H742" s="7" t="s">
        <v>2033</v>
      </c>
      <c r="I742" s="9">
        <v>45328</v>
      </c>
    </row>
    <row r="743" spans="1:9" x14ac:dyDescent="0.15">
      <c r="A743" s="6">
        <v>742</v>
      </c>
      <c r="B743" s="7" t="s">
        <v>8</v>
      </c>
      <c r="C743" s="8">
        <v>1887</v>
      </c>
      <c r="D743" s="9">
        <v>45425</v>
      </c>
      <c r="E743" s="13" t="str">
        <f>+HYPERLINK("http://trademark.i-assist.jp/data/china/image_1887th/76804792.pdf","76804792")</f>
        <v>76804792</v>
      </c>
      <c r="F743" s="7" t="s">
        <v>2034</v>
      </c>
      <c r="G743" s="7" t="s">
        <v>2014</v>
      </c>
      <c r="H743" s="7" t="s">
        <v>2035</v>
      </c>
      <c r="I743" s="9">
        <v>45328</v>
      </c>
    </row>
    <row r="744" spans="1:9" x14ac:dyDescent="0.15">
      <c r="A744" s="6">
        <v>743</v>
      </c>
      <c r="B744" s="7" t="s">
        <v>8</v>
      </c>
      <c r="C744" s="8">
        <v>1887</v>
      </c>
      <c r="D744" s="9">
        <v>45425</v>
      </c>
      <c r="E744" s="13" t="str">
        <f>+HYPERLINK("http://trademark.i-assist.jp/data/china/image_1887th/76805145.pdf","76805145")</f>
        <v>76805145</v>
      </c>
      <c r="F744" s="7" t="s">
        <v>2036</v>
      </c>
      <c r="G744" s="7" t="s">
        <v>2014</v>
      </c>
      <c r="H744" s="7" t="s">
        <v>2037</v>
      </c>
      <c r="I744" s="9">
        <v>45328</v>
      </c>
    </row>
    <row r="745" spans="1:9" x14ac:dyDescent="0.15">
      <c r="A745" s="6">
        <v>744</v>
      </c>
      <c r="B745" s="7" t="s">
        <v>8</v>
      </c>
      <c r="C745" s="8">
        <v>1887</v>
      </c>
      <c r="D745" s="9">
        <v>45425</v>
      </c>
      <c r="E745" s="13" t="str">
        <f>+HYPERLINK("http://trademark.i-assist.jp/data/china/image_1887th/76805489.pdf","76805489")</f>
        <v>76805489</v>
      </c>
      <c r="F745" s="7" t="s">
        <v>2038</v>
      </c>
      <c r="G745" s="7" t="s">
        <v>2014</v>
      </c>
      <c r="H745" s="7" t="s">
        <v>2039</v>
      </c>
      <c r="I745" s="9">
        <v>45328</v>
      </c>
    </row>
    <row r="746" spans="1:9" x14ac:dyDescent="0.15">
      <c r="A746" s="6">
        <v>745</v>
      </c>
      <c r="B746" s="7" t="s">
        <v>8</v>
      </c>
      <c r="C746" s="8">
        <v>1887</v>
      </c>
      <c r="D746" s="9">
        <v>45425</v>
      </c>
      <c r="E746" s="13" t="str">
        <f>+HYPERLINK("http://trademark.i-assist.jp/data/china/image_1887th/76805821.pdf","76805821")</f>
        <v>76805821</v>
      </c>
      <c r="F746" s="7" t="s">
        <v>2040</v>
      </c>
      <c r="G746" s="7" t="s">
        <v>2041</v>
      </c>
      <c r="H746" s="7" t="s">
        <v>2042</v>
      </c>
      <c r="I746" s="9">
        <v>45328</v>
      </c>
    </row>
    <row r="747" spans="1:9" x14ac:dyDescent="0.15">
      <c r="A747" s="6">
        <v>746</v>
      </c>
      <c r="B747" s="7" t="s">
        <v>8</v>
      </c>
      <c r="C747" s="8">
        <v>1887</v>
      </c>
      <c r="D747" s="9">
        <v>45425</v>
      </c>
      <c r="E747" s="13" t="str">
        <f>+HYPERLINK("http://trademark.i-assist.jp/data/china/image_1887th/76806561.pdf","76806561")</f>
        <v>76806561</v>
      </c>
      <c r="F747" s="7" t="s">
        <v>2043</v>
      </c>
      <c r="G747" s="7" t="s">
        <v>2044</v>
      </c>
      <c r="H747" s="7" t="s">
        <v>2045</v>
      </c>
      <c r="I747" s="9">
        <v>45328</v>
      </c>
    </row>
    <row r="748" spans="1:9" x14ac:dyDescent="0.15">
      <c r="A748" s="6">
        <v>747</v>
      </c>
      <c r="B748" s="7" t="s">
        <v>8</v>
      </c>
      <c r="C748" s="8">
        <v>1887</v>
      </c>
      <c r="D748" s="9">
        <v>45425</v>
      </c>
      <c r="E748" s="13" t="str">
        <f>+HYPERLINK("http://trademark.i-assist.jp/data/china/image_1887th/76806935.pdf","76806935")</f>
        <v>76806935</v>
      </c>
      <c r="F748" s="7" t="s">
        <v>2046</v>
      </c>
      <c r="G748" s="7" t="s">
        <v>2047</v>
      </c>
      <c r="H748" s="7" t="s">
        <v>2048</v>
      </c>
      <c r="I748" s="9">
        <v>45328</v>
      </c>
    </row>
    <row r="749" spans="1:9" x14ac:dyDescent="0.15">
      <c r="A749" s="6">
        <v>748</v>
      </c>
      <c r="B749" s="7" t="s">
        <v>8</v>
      </c>
      <c r="C749" s="8">
        <v>1887</v>
      </c>
      <c r="D749" s="9">
        <v>45425</v>
      </c>
      <c r="E749" s="13" t="str">
        <f>+HYPERLINK("http://trademark.i-assist.jp/data/china/image_1887th/76807000.pdf","76807000")</f>
        <v>76807000</v>
      </c>
      <c r="F749" s="7" t="s">
        <v>2049</v>
      </c>
      <c r="G749" s="7" t="s">
        <v>2014</v>
      </c>
      <c r="H749" s="7" t="s">
        <v>2050</v>
      </c>
      <c r="I749" s="9">
        <v>45328</v>
      </c>
    </row>
    <row r="750" spans="1:9" x14ac:dyDescent="0.15">
      <c r="A750" s="6">
        <v>749</v>
      </c>
      <c r="B750" s="7" t="s">
        <v>8</v>
      </c>
      <c r="C750" s="8">
        <v>1887</v>
      </c>
      <c r="D750" s="9">
        <v>45425</v>
      </c>
      <c r="E750" s="13" t="str">
        <f>+HYPERLINK("http://trademark.i-assist.jp/data/china/image_1887th/76807241.pdf","76807241")</f>
        <v>76807241</v>
      </c>
      <c r="F750" s="7" t="s">
        <v>2051</v>
      </c>
      <c r="G750" s="7" t="s">
        <v>2052</v>
      </c>
      <c r="H750" s="7" t="s">
        <v>2053</v>
      </c>
      <c r="I750" s="9">
        <v>45328</v>
      </c>
    </row>
    <row r="751" spans="1:9" x14ac:dyDescent="0.15">
      <c r="A751" s="6">
        <v>750</v>
      </c>
      <c r="B751" s="7" t="s">
        <v>8</v>
      </c>
      <c r="C751" s="8">
        <v>1887</v>
      </c>
      <c r="D751" s="9">
        <v>45425</v>
      </c>
      <c r="E751" s="13" t="str">
        <f>+HYPERLINK("http://trademark.i-assist.jp/data/china/image_1887th/76807833.pdf","76807833")</f>
        <v>76807833</v>
      </c>
      <c r="F751" s="7" t="s">
        <v>2054</v>
      </c>
      <c r="G751" s="7" t="s">
        <v>2005</v>
      </c>
      <c r="H751" s="7" t="s">
        <v>2055</v>
      </c>
      <c r="I751" s="9">
        <v>45328</v>
      </c>
    </row>
    <row r="752" spans="1:9" x14ac:dyDescent="0.15">
      <c r="A752" s="6">
        <v>751</v>
      </c>
      <c r="B752" s="7" t="s">
        <v>8</v>
      </c>
      <c r="C752" s="8">
        <v>1887</v>
      </c>
      <c r="D752" s="9">
        <v>45425</v>
      </c>
      <c r="E752" s="13" t="str">
        <f>+HYPERLINK("http://trademark.i-assist.jp/data/china/image_1887th/76808355.pdf","76808355")</f>
        <v>76808355</v>
      </c>
      <c r="F752" s="7" t="s">
        <v>2056</v>
      </c>
      <c r="G752" s="7" t="s">
        <v>2011</v>
      </c>
      <c r="H752" s="7" t="s">
        <v>2057</v>
      </c>
      <c r="I752" s="9">
        <v>45328</v>
      </c>
    </row>
    <row r="753" spans="1:9" x14ac:dyDescent="0.15">
      <c r="A753" s="6">
        <v>752</v>
      </c>
      <c r="B753" s="7" t="s">
        <v>8</v>
      </c>
      <c r="C753" s="8">
        <v>1887</v>
      </c>
      <c r="D753" s="9">
        <v>45425</v>
      </c>
      <c r="E753" s="13" t="str">
        <f>+HYPERLINK("http://trademark.i-assist.jp/data/china/image_1887th/76808455.pdf","76808455")</f>
        <v>76808455</v>
      </c>
      <c r="F753" s="7" t="s">
        <v>2058</v>
      </c>
      <c r="G753" s="7" t="s">
        <v>2059</v>
      </c>
      <c r="H753" s="7" t="s">
        <v>2060</v>
      </c>
      <c r="I753" s="9">
        <v>45328</v>
      </c>
    </row>
    <row r="754" spans="1:9" x14ac:dyDescent="0.15">
      <c r="A754" s="6">
        <v>753</v>
      </c>
      <c r="B754" s="7" t="s">
        <v>8</v>
      </c>
      <c r="C754" s="8">
        <v>1887</v>
      </c>
      <c r="D754" s="9">
        <v>45425</v>
      </c>
      <c r="E754" s="13" t="str">
        <f>+HYPERLINK("http://trademark.i-assist.jp/data/china/image_1887th/76808864.pdf","76808864")</f>
        <v>76808864</v>
      </c>
      <c r="F754" s="7" t="s">
        <v>2061</v>
      </c>
      <c r="G754" s="7" t="s">
        <v>2014</v>
      </c>
      <c r="H754" s="7" t="s">
        <v>2062</v>
      </c>
      <c r="I754" s="9">
        <v>45328</v>
      </c>
    </row>
    <row r="755" spans="1:9" x14ac:dyDescent="0.15">
      <c r="A755" s="6">
        <v>754</v>
      </c>
      <c r="B755" s="7" t="s">
        <v>8</v>
      </c>
      <c r="C755" s="8">
        <v>1887</v>
      </c>
      <c r="D755" s="9">
        <v>45425</v>
      </c>
      <c r="E755" s="13" t="str">
        <f>+HYPERLINK("http://trademark.i-assist.jp/data/china/image_1887th/76809411.pdf","76809411")</f>
        <v>76809411</v>
      </c>
      <c r="F755" s="7" t="s">
        <v>2063</v>
      </c>
      <c r="G755" s="7" t="s">
        <v>2064</v>
      </c>
      <c r="H755" s="7" t="s">
        <v>2065</v>
      </c>
      <c r="I755" s="9">
        <v>45328</v>
      </c>
    </row>
    <row r="756" spans="1:9" ht="27" x14ac:dyDescent="0.15">
      <c r="A756" s="6">
        <v>755</v>
      </c>
      <c r="B756" s="7" t="s">
        <v>8</v>
      </c>
      <c r="C756" s="8">
        <v>1887</v>
      </c>
      <c r="D756" s="9">
        <v>45425</v>
      </c>
      <c r="E756" s="13" t="str">
        <f>+HYPERLINK("http://trademark.i-assist.jp/data/china/image_1887th/76809476.pdf","76809476")</f>
        <v>76809476</v>
      </c>
      <c r="F756" s="7" t="s">
        <v>2066</v>
      </c>
      <c r="G756" s="7" t="s">
        <v>2067</v>
      </c>
      <c r="H756" s="7" t="s">
        <v>2068</v>
      </c>
      <c r="I756" s="9">
        <v>45328</v>
      </c>
    </row>
    <row r="757" spans="1:9" x14ac:dyDescent="0.15">
      <c r="A757" s="6">
        <v>756</v>
      </c>
      <c r="B757" s="7" t="s">
        <v>8</v>
      </c>
      <c r="C757" s="8">
        <v>1887</v>
      </c>
      <c r="D757" s="9">
        <v>45425</v>
      </c>
      <c r="E757" s="13" t="str">
        <f>+HYPERLINK("http://trademark.i-assist.jp/data/china/image_1887th/76809707.pdf","76809707")</f>
        <v>76809707</v>
      </c>
      <c r="F757" s="7" t="s">
        <v>2069</v>
      </c>
      <c r="G757" s="7" t="s">
        <v>2070</v>
      </c>
      <c r="H757" s="7" t="s">
        <v>2071</v>
      </c>
      <c r="I757" s="9">
        <v>45328</v>
      </c>
    </row>
    <row r="758" spans="1:9" x14ac:dyDescent="0.15">
      <c r="A758" s="6">
        <v>757</v>
      </c>
      <c r="B758" s="7" t="s">
        <v>8</v>
      </c>
      <c r="C758" s="8">
        <v>1887</v>
      </c>
      <c r="D758" s="9">
        <v>45425</v>
      </c>
      <c r="E758" s="13" t="str">
        <f>+HYPERLINK("http://trademark.i-assist.jp/data/china/image_1887th/76809983.pdf","76809983")</f>
        <v>76809983</v>
      </c>
      <c r="F758" s="7" t="s">
        <v>2072</v>
      </c>
      <c r="G758" s="7" t="s">
        <v>2014</v>
      </c>
      <c r="H758" s="7" t="s">
        <v>2073</v>
      </c>
      <c r="I758" s="9">
        <v>45328</v>
      </c>
    </row>
    <row r="759" spans="1:9" x14ac:dyDescent="0.15">
      <c r="A759" s="6">
        <v>758</v>
      </c>
      <c r="B759" s="7" t="s">
        <v>8</v>
      </c>
      <c r="C759" s="8">
        <v>1887</v>
      </c>
      <c r="D759" s="9">
        <v>45425</v>
      </c>
      <c r="E759" s="13" t="str">
        <f>+HYPERLINK("http://trademark.i-assist.jp/data/china/image_1887th/76810003.pdf","76810003")</f>
        <v>76810003</v>
      </c>
      <c r="F759" s="7" t="s">
        <v>2074</v>
      </c>
      <c r="G759" s="7" t="s">
        <v>2075</v>
      </c>
      <c r="H759" s="7" t="s">
        <v>2076</v>
      </c>
      <c r="I759" s="9">
        <v>45328</v>
      </c>
    </row>
    <row r="760" spans="1:9" x14ac:dyDescent="0.15">
      <c r="A760" s="6">
        <v>759</v>
      </c>
      <c r="B760" s="7" t="s">
        <v>8</v>
      </c>
      <c r="C760" s="8">
        <v>1887</v>
      </c>
      <c r="D760" s="9">
        <v>45425</v>
      </c>
      <c r="E760" s="13" t="str">
        <f>+HYPERLINK("http://trademark.i-assist.jp/data/china/image_1887th/76810160.pdf","76810160")</f>
        <v>76810160</v>
      </c>
      <c r="F760" s="7" t="s">
        <v>2077</v>
      </c>
      <c r="G760" s="7" t="s">
        <v>2025</v>
      </c>
      <c r="H760" s="7" t="s">
        <v>2078</v>
      </c>
      <c r="I760" s="9">
        <v>45328</v>
      </c>
    </row>
    <row r="761" spans="1:9" x14ac:dyDescent="0.15">
      <c r="A761" s="6">
        <v>760</v>
      </c>
      <c r="B761" s="7" t="s">
        <v>8</v>
      </c>
      <c r="C761" s="8">
        <v>1887</v>
      </c>
      <c r="D761" s="9">
        <v>45425</v>
      </c>
      <c r="E761" s="13" t="str">
        <f>+HYPERLINK("http://trademark.i-assist.jp/data/china/image_1887th/76810229.pdf","76810229")</f>
        <v>76810229</v>
      </c>
      <c r="F761" s="7" t="s">
        <v>2079</v>
      </c>
      <c r="G761" s="7" t="s">
        <v>2080</v>
      </c>
      <c r="H761" s="7" t="s">
        <v>2081</v>
      </c>
      <c r="I761" s="9">
        <v>45328</v>
      </c>
    </row>
    <row r="762" spans="1:9" x14ac:dyDescent="0.15">
      <c r="A762" s="6">
        <v>761</v>
      </c>
      <c r="B762" s="7" t="s">
        <v>8</v>
      </c>
      <c r="C762" s="8">
        <v>1887</v>
      </c>
      <c r="D762" s="9">
        <v>45425</v>
      </c>
      <c r="E762" s="13" t="str">
        <f>+HYPERLINK("http://trademark.i-assist.jp/data/china/image_1887th/76810356.pdf","76810356")</f>
        <v>76810356</v>
      </c>
      <c r="F762" s="7" t="s">
        <v>2082</v>
      </c>
      <c r="G762" s="7" t="s">
        <v>2083</v>
      </c>
      <c r="H762" s="7" t="s">
        <v>2084</v>
      </c>
      <c r="I762" s="9">
        <v>45328</v>
      </c>
    </row>
    <row r="763" spans="1:9" ht="27" x14ac:dyDescent="0.15">
      <c r="A763" s="6">
        <v>762</v>
      </c>
      <c r="B763" s="7" t="s">
        <v>8</v>
      </c>
      <c r="C763" s="8">
        <v>1887</v>
      </c>
      <c r="D763" s="9">
        <v>45425</v>
      </c>
      <c r="E763" s="13" t="str">
        <f>+HYPERLINK("http://trademark.i-assist.jp/data/china/image_1887th/76810555.pdf","76810555")</f>
        <v>76810555</v>
      </c>
      <c r="F763" s="7" t="s">
        <v>2085</v>
      </c>
      <c r="G763" s="7" t="s">
        <v>2086</v>
      </c>
      <c r="H763" s="7" t="s">
        <v>2087</v>
      </c>
      <c r="I763" s="9">
        <v>45328</v>
      </c>
    </row>
    <row r="764" spans="1:9" x14ac:dyDescent="0.15">
      <c r="A764" s="6">
        <v>763</v>
      </c>
      <c r="B764" s="7" t="s">
        <v>8</v>
      </c>
      <c r="C764" s="8">
        <v>1887</v>
      </c>
      <c r="D764" s="9">
        <v>45425</v>
      </c>
      <c r="E764" s="13" t="str">
        <f>+HYPERLINK("http://trademark.i-assist.jp/data/china/image_1887th/76810685.pdf","76810685")</f>
        <v>76810685</v>
      </c>
      <c r="F764" s="7" t="s">
        <v>2088</v>
      </c>
      <c r="G764" s="7" t="s">
        <v>2089</v>
      </c>
      <c r="H764" s="7" t="s">
        <v>2090</v>
      </c>
      <c r="I764" s="9">
        <v>45328</v>
      </c>
    </row>
    <row r="765" spans="1:9" x14ac:dyDescent="0.15">
      <c r="A765" s="6">
        <v>764</v>
      </c>
      <c r="B765" s="7" t="s">
        <v>8</v>
      </c>
      <c r="C765" s="8">
        <v>1887</v>
      </c>
      <c r="D765" s="9">
        <v>45425</v>
      </c>
      <c r="E765" s="13" t="str">
        <f>+HYPERLINK("http://trademark.i-assist.jp/data/china/image_1887th/76811077.pdf","76811077")</f>
        <v>76811077</v>
      </c>
      <c r="F765" s="7" t="s">
        <v>2091</v>
      </c>
      <c r="G765" s="7" t="s">
        <v>2092</v>
      </c>
      <c r="H765" s="7" t="s">
        <v>2093</v>
      </c>
      <c r="I765" s="9">
        <v>45328</v>
      </c>
    </row>
    <row r="766" spans="1:9" x14ac:dyDescent="0.15">
      <c r="A766" s="6">
        <v>765</v>
      </c>
      <c r="B766" s="7" t="s">
        <v>8</v>
      </c>
      <c r="C766" s="8">
        <v>1887</v>
      </c>
      <c r="D766" s="9">
        <v>45425</v>
      </c>
      <c r="E766" s="13" t="str">
        <f>+HYPERLINK("http://trademark.i-assist.jp/data/china/image_1887th/76811094.pdf","76811094")</f>
        <v>76811094</v>
      </c>
      <c r="F766" s="7" t="s">
        <v>2094</v>
      </c>
      <c r="G766" s="7" t="s">
        <v>2075</v>
      </c>
      <c r="H766" s="7" t="s">
        <v>2095</v>
      </c>
      <c r="I766" s="9">
        <v>45328</v>
      </c>
    </row>
    <row r="767" spans="1:9" x14ac:dyDescent="0.15">
      <c r="A767" s="6">
        <v>766</v>
      </c>
      <c r="B767" s="7" t="s">
        <v>8</v>
      </c>
      <c r="C767" s="8">
        <v>1887</v>
      </c>
      <c r="D767" s="9">
        <v>45425</v>
      </c>
      <c r="E767" s="13" t="str">
        <f>+HYPERLINK("http://trademark.i-assist.jp/data/china/image_1887th/76811268.pdf","76811268")</f>
        <v>76811268</v>
      </c>
      <c r="F767" s="7" t="s">
        <v>2096</v>
      </c>
      <c r="G767" s="7" t="s">
        <v>2097</v>
      </c>
      <c r="H767" s="7" t="s">
        <v>2098</v>
      </c>
      <c r="I767" s="9">
        <v>45328</v>
      </c>
    </row>
    <row r="768" spans="1:9" x14ac:dyDescent="0.15">
      <c r="A768" s="6">
        <v>767</v>
      </c>
      <c r="B768" s="7" t="s">
        <v>8</v>
      </c>
      <c r="C768" s="8">
        <v>1887</v>
      </c>
      <c r="D768" s="9">
        <v>45425</v>
      </c>
      <c r="E768" s="13" t="str">
        <f>+HYPERLINK("http://trademark.i-assist.jp/data/china/image_1887th/76811495.pdf","76811495")</f>
        <v>76811495</v>
      </c>
      <c r="F768" s="7" t="s">
        <v>2099</v>
      </c>
      <c r="G768" s="7" t="s">
        <v>689</v>
      </c>
      <c r="H768" s="7" t="s">
        <v>2100</v>
      </c>
      <c r="I768" s="9">
        <v>45328</v>
      </c>
    </row>
    <row r="769" spans="1:9" x14ac:dyDescent="0.15">
      <c r="A769" s="6">
        <v>768</v>
      </c>
      <c r="B769" s="7" t="s">
        <v>8</v>
      </c>
      <c r="C769" s="8">
        <v>1887</v>
      </c>
      <c r="D769" s="9">
        <v>45425</v>
      </c>
      <c r="E769" s="13" t="str">
        <f>+HYPERLINK("http://trademark.i-assist.jp/data/china/image_1887th/76811678.pdf","76811678")</f>
        <v>76811678</v>
      </c>
      <c r="F769" s="7" t="s">
        <v>2101</v>
      </c>
      <c r="G769" s="7" t="s">
        <v>2102</v>
      </c>
      <c r="H769" s="7" t="s">
        <v>2103</v>
      </c>
      <c r="I769" s="9">
        <v>45328</v>
      </c>
    </row>
    <row r="770" spans="1:9" x14ac:dyDescent="0.15">
      <c r="A770" s="6">
        <v>769</v>
      </c>
      <c r="B770" s="7" t="s">
        <v>8</v>
      </c>
      <c r="C770" s="8">
        <v>1887</v>
      </c>
      <c r="D770" s="9">
        <v>45425</v>
      </c>
      <c r="E770" s="13" t="str">
        <f>+HYPERLINK("http://trademark.i-assist.jp/data/china/image_1887th/76812053.pdf","76812053")</f>
        <v>76812053</v>
      </c>
      <c r="F770" s="7" t="s">
        <v>2104</v>
      </c>
      <c r="G770" s="7" t="s">
        <v>2014</v>
      </c>
      <c r="H770" s="7" t="s">
        <v>2105</v>
      </c>
      <c r="I770" s="9">
        <v>45328</v>
      </c>
    </row>
    <row r="771" spans="1:9" x14ac:dyDescent="0.15">
      <c r="A771" s="6">
        <v>770</v>
      </c>
      <c r="B771" s="7" t="s">
        <v>8</v>
      </c>
      <c r="C771" s="8">
        <v>1887</v>
      </c>
      <c r="D771" s="9">
        <v>45425</v>
      </c>
      <c r="E771" s="13" t="str">
        <f>+HYPERLINK("http://trademark.i-assist.jp/data/china/image_1887th/76812154.pdf","76812154")</f>
        <v>76812154</v>
      </c>
      <c r="F771" s="7" t="s">
        <v>2106</v>
      </c>
      <c r="G771" s="7" t="s">
        <v>2107</v>
      </c>
      <c r="H771" s="7" t="s">
        <v>2108</v>
      </c>
      <c r="I771" s="9">
        <v>45328</v>
      </c>
    </row>
    <row r="772" spans="1:9" ht="27" x14ac:dyDescent="0.15">
      <c r="A772" s="6">
        <v>771</v>
      </c>
      <c r="B772" s="7" t="s">
        <v>8</v>
      </c>
      <c r="C772" s="8">
        <v>1887</v>
      </c>
      <c r="D772" s="9">
        <v>45425</v>
      </c>
      <c r="E772" s="13" t="str">
        <f>+HYPERLINK("http://trademark.i-assist.jp/data/china/image_1887th/76812265.pdf","76812265")</f>
        <v>76812265</v>
      </c>
      <c r="F772" s="7" t="s">
        <v>2109</v>
      </c>
      <c r="G772" s="7" t="s">
        <v>2110</v>
      </c>
      <c r="H772" s="7" t="s">
        <v>2111</v>
      </c>
      <c r="I772" s="9">
        <v>45328</v>
      </c>
    </row>
    <row r="773" spans="1:9" x14ac:dyDescent="0.15">
      <c r="A773" s="6">
        <v>772</v>
      </c>
      <c r="B773" s="7" t="s">
        <v>8</v>
      </c>
      <c r="C773" s="8">
        <v>1887</v>
      </c>
      <c r="D773" s="9">
        <v>45425</v>
      </c>
      <c r="E773" s="13" t="str">
        <f>+HYPERLINK("http://trademark.i-assist.jp/data/china/image_1887th/76812426.pdf","76812426")</f>
        <v>76812426</v>
      </c>
      <c r="F773" s="7" t="s">
        <v>2112</v>
      </c>
      <c r="G773" s="7" t="s">
        <v>2113</v>
      </c>
      <c r="H773" s="7" t="s">
        <v>2114</v>
      </c>
      <c r="I773" s="9">
        <v>45328</v>
      </c>
    </row>
    <row r="774" spans="1:9" x14ac:dyDescent="0.15">
      <c r="A774" s="6">
        <v>773</v>
      </c>
      <c r="B774" s="7" t="s">
        <v>8</v>
      </c>
      <c r="C774" s="8">
        <v>1887</v>
      </c>
      <c r="D774" s="9">
        <v>45425</v>
      </c>
      <c r="E774" s="13" t="str">
        <f>+HYPERLINK("http://trademark.i-assist.jp/data/china/image_1887th/76812924.pdf","76812924")</f>
        <v>76812924</v>
      </c>
      <c r="F774" s="7" t="s">
        <v>2115</v>
      </c>
      <c r="G774" s="7" t="s">
        <v>2002</v>
      </c>
      <c r="H774" s="7" t="s">
        <v>2116</v>
      </c>
      <c r="I774" s="9">
        <v>45328</v>
      </c>
    </row>
    <row r="775" spans="1:9" x14ac:dyDescent="0.15">
      <c r="A775" s="6">
        <v>774</v>
      </c>
      <c r="B775" s="7" t="s">
        <v>8</v>
      </c>
      <c r="C775" s="8">
        <v>1887</v>
      </c>
      <c r="D775" s="9">
        <v>45425</v>
      </c>
      <c r="E775" s="13" t="str">
        <f>+HYPERLINK("http://trademark.i-assist.jp/data/china/image_1887th/76812950.pdf","76812950")</f>
        <v>76812950</v>
      </c>
      <c r="F775" s="7" t="s">
        <v>2117</v>
      </c>
      <c r="G775" s="7" t="s">
        <v>2002</v>
      </c>
      <c r="H775" s="7" t="s">
        <v>2118</v>
      </c>
      <c r="I775" s="9">
        <v>45328</v>
      </c>
    </row>
    <row r="776" spans="1:9" x14ac:dyDescent="0.15">
      <c r="A776" s="6">
        <v>775</v>
      </c>
      <c r="B776" s="7" t="s">
        <v>8</v>
      </c>
      <c r="C776" s="8">
        <v>1887</v>
      </c>
      <c r="D776" s="9">
        <v>45425</v>
      </c>
      <c r="E776" s="13" t="str">
        <f>+HYPERLINK("http://trademark.i-assist.jp/data/china/image_1887th/76813331.pdf","76813331")</f>
        <v>76813331</v>
      </c>
      <c r="F776" s="7" t="s">
        <v>2119</v>
      </c>
      <c r="G776" s="7" t="s">
        <v>2120</v>
      </c>
      <c r="H776" s="7" t="s">
        <v>2121</v>
      </c>
      <c r="I776" s="9">
        <v>45329</v>
      </c>
    </row>
    <row r="777" spans="1:9" x14ac:dyDescent="0.15">
      <c r="A777" s="6">
        <v>776</v>
      </c>
      <c r="B777" s="7" t="s">
        <v>8</v>
      </c>
      <c r="C777" s="8">
        <v>1887</v>
      </c>
      <c r="D777" s="9">
        <v>45425</v>
      </c>
      <c r="E777" s="13" t="str">
        <f>+HYPERLINK("http://trademark.i-assist.jp/data/china/image_1887th/76813539.pdf","76813539")</f>
        <v>76813539</v>
      </c>
      <c r="F777" s="7" t="s">
        <v>2122</v>
      </c>
      <c r="G777" s="7" t="s">
        <v>2123</v>
      </c>
      <c r="H777" s="7" t="s">
        <v>2124</v>
      </c>
      <c r="I777" s="9">
        <v>45329</v>
      </c>
    </row>
    <row r="778" spans="1:9" x14ac:dyDescent="0.15">
      <c r="A778" s="6">
        <v>777</v>
      </c>
      <c r="B778" s="7" t="s">
        <v>8</v>
      </c>
      <c r="C778" s="8">
        <v>1887</v>
      </c>
      <c r="D778" s="9">
        <v>45425</v>
      </c>
      <c r="E778" s="13" t="str">
        <f>+HYPERLINK("http://trademark.i-assist.jp/data/china/image_1887th/76813984.pdf","76813984")</f>
        <v>76813984</v>
      </c>
      <c r="F778" s="7" t="s">
        <v>2125</v>
      </c>
      <c r="G778" s="7" t="s">
        <v>2126</v>
      </c>
      <c r="H778" s="7" t="s">
        <v>2127</v>
      </c>
      <c r="I778" s="9">
        <v>45329</v>
      </c>
    </row>
    <row r="779" spans="1:9" x14ac:dyDescent="0.15">
      <c r="A779" s="6">
        <v>778</v>
      </c>
      <c r="B779" s="7" t="s">
        <v>8</v>
      </c>
      <c r="C779" s="8">
        <v>1887</v>
      </c>
      <c r="D779" s="9">
        <v>45425</v>
      </c>
      <c r="E779" s="13" t="str">
        <f>+HYPERLINK("http://trademark.i-assist.jp/data/china/image_1887th/76814293.pdf","76814293")</f>
        <v>76814293</v>
      </c>
      <c r="F779" s="7" t="s">
        <v>2128</v>
      </c>
      <c r="G779" s="7" t="s">
        <v>2129</v>
      </c>
      <c r="H779" s="7" t="s">
        <v>2130</v>
      </c>
      <c r="I779" s="9">
        <v>45329</v>
      </c>
    </row>
    <row r="780" spans="1:9" x14ac:dyDescent="0.15">
      <c r="A780" s="6">
        <v>779</v>
      </c>
      <c r="B780" s="7" t="s">
        <v>8</v>
      </c>
      <c r="C780" s="8">
        <v>1887</v>
      </c>
      <c r="D780" s="9">
        <v>45425</v>
      </c>
      <c r="E780" s="13" t="str">
        <f>+HYPERLINK("http://trademark.i-assist.jp/data/china/image_1887th/76814498.pdf","76814498")</f>
        <v>76814498</v>
      </c>
      <c r="F780" s="7" t="s">
        <v>2131</v>
      </c>
      <c r="G780" s="7" t="s">
        <v>2132</v>
      </c>
      <c r="H780" s="7" t="s">
        <v>2133</v>
      </c>
      <c r="I780" s="9">
        <v>45329</v>
      </c>
    </row>
    <row r="781" spans="1:9" x14ac:dyDescent="0.15">
      <c r="A781" s="6">
        <v>780</v>
      </c>
      <c r="B781" s="7" t="s">
        <v>8</v>
      </c>
      <c r="C781" s="8">
        <v>1887</v>
      </c>
      <c r="D781" s="9">
        <v>45425</v>
      </c>
      <c r="E781" s="13" t="str">
        <f>+HYPERLINK("http://trademark.i-assist.jp/data/china/image_1887th/76814511.pdf","76814511")</f>
        <v>76814511</v>
      </c>
      <c r="F781" s="7" t="s">
        <v>2134</v>
      </c>
      <c r="G781" s="7" t="s">
        <v>2135</v>
      </c>
      <c r="H781" s="7" t="s">
        <v>2136</v>
      </c>
      <c r="I781" s="9">
        <v>45329</v>
      </c>
    </row>
    <row r="782" spans="1:9" x14ac:dyDescent="0.15">
      <c r="A782" s="6">
        <v>781</v>
      </c>
      <c r="B782" s="7" t="s">
        <v>8</v>
      </c>
      <c r="C782" s="8">
        <v>1887</v>
      </c>
      <c r="D782" s="9">
        <v>45425</v>
      </c>
      <c r="E782" s="13" t="str">
        <f>+HYPERLINK("http://trademark.i-assist.jp/data/china/image_1887th/76814558.pdf","76814558")</f>
        <v>76814558</v>
      </c>
      <c r="F782" s="7" t="s">
        <v>2137</v>
      </c>
      <c r="G782" s="7" t="s">
        <v>2138</v>
      </c>
      <c r="H782" s="7" t="s">
        <v>2139</v>
      </c>
      <c r="I782" s="9">
        <v>45329</v>
      </c>
    </row>
    <row r="783" spans="1:9" x14ac:dyDescent="0.15">
      <c r="A783" s="6">
        <v>782</v>
      </c>
      <c r="B783" s="7" t="s">
        <v>8</v>
      </c>
      <c r="C783" s="8">
        <v>1887</v>
      </c>
      <c r="D783" s="9">
        <v>45425</v>
      </c>
      <c r="E783" s="13" t="str">
        <f>+HYPERLINK("http://trademark.i-assist.jp/data/china/image_1887th/76814985.pdf","76814985")</f>
        <v>76814985</v>
      </c>
      <c r="F783" s="7" t="s">
        <v>2140</v>
      </c>
      <c r="G783" s="7" t="s">
        <v>2141</v>
      </c>
      <c r="H783" s="7" t="s">
        <v>2142</v>
      </c>
      <c r="I783" s="9">
        <v>45329</v>
      </c>
    </row>
    <row r="784" spans="1:9" x14ac:dyDescent="0.15">
      <c r="A784" s="6">
        <v>783</v>
      </c>
      <c r="B784" s="7" t="s">
        <v>8</v>
      </c>
      <c r="C784" s="8">
        <v>1887</v>
      </c>
      <c r="D784" s="9">
        <v>45425</v>
      </c>
      <c r="E784" s="13" t="str">
        <f>+HYPERLINK("http://trademark.i-assist.jp/data/china/image_1887th/76815154.pdf","76815154")</f>
        <v>76815154</v>
      </c>
      <c r="F784" s="7" t="s">
        <v>2143</v>
      </c>
      <c r="G784" s="7" t="s">
        <v>2144</v>
      </c>
      <c r="H784" s="7" t="s">
        <v>2145</v>
      </c>
      <c r="I784" s="9">
        <v>45329</v>
      </c>
    </row>
    <row r="785" spans="1:9" x14ac:dyDescent="0.15">
      <c r="A785" s="6">
        <v>784</v>
      </c>
      <c r="B785" s="7" t="s">
        <v>8</v>
      </c>
      <c r="C785" s="8">
        <v>1887</v>
      </c>
      <c r="D785" s="9">
        <v>45425</v>
      </c>
      <c r="E785" s="13" t="str">
        <f>+HYPERLINK("http://trademark.i-assist.jp/data/china/image_1887th/76815399.pdf","76815399")</f>
        <v>76815399</v>
      </c>
      <c r="F785" s="7" t="s">
        <v>2146</v>
      </c>
      <c r="G785" s="7" t="s">
        <v>2147</v>
      </c>
      <c r="H785" s="7" t="s">
        <v>2148</v>
      </c>
      <c r="I785" s="9">
        <v>45329</v>
      </c>
    </row>
    <row r="786" spans="1:9" x14ac:dyDescent="0.15">
      <c r="A786" s="6">
        <v>785</v>
      </c>
      <c r="B786" s="7" t="s">
        <v>8</v>
      </c>
      <c r="C786" s="8">
        <v>1887</v>
      </c>
      <c r="D786" s="9">
        <v>45425</v>
      </c>
      <c r="E786" s="13" t="str">
        <f>+HYPERLINK("http://trademark.i-assist.jp/data/china/image_1887th/76815866.pdf","76815866")</f>
        <v>76815866</v>
      </c>
      <c r="F786" s="7" t="s">
        <v>2149</v>
      </c>
      <c r="G786" s="7" t="s">
        <v>2150</v>
      </c>
      <c r="H786" s="7" t="s">
        <v>2151</v>
      </c>
      <c r="I786" s="9">
        <v>45329</v>
      </c>
    </row>
    <row r="787" spans="1:9" ht="27" x14ac:dyDescent="0.15">
      <c r="A787" s="6">
        <v>786</v>
      </c>
      <c r="B787" s="7" t="s">
        <v>8</v>
      </c>
      <c r="C787" s="8">
        <v>1887</v>
      </c>
      <c r="D787" s="9">
        <v>45425</v>
      </c>
      <c r="E787" s="13" t="str">
        <f>+HYPERLINK("http://trademark.i-assist.jp/data/china/image_1887th/76815913.pdf","76815913")</f>
        <v>76815913</v>
      </c>
      <c r="F787" s="7" t="s">
        <v>2152</v>
      </c>
      <c r="G787" s="7" t="s">
        <v>2153</v>
      </c>
      <c r="H787" s="7" t="s">
        <v>2154</v>
      </c>
      <c r="I787" s="9">
        <v>45329</v>
      </c>
    </row>
    <row r="788" spans="1:9" ht="27" x14ac:dyDescent="0.15">
      <c r="A788" s="6">
        <v>787</v>
      </c>
      <c r="B788" s="7" t="s">
        <v>8</v>
      </c>
      <c r="C788" s="8">
        <v>1887</v>
      </c>
      <c r="D788" s="9">
        <v>45425</v>
      </c>
      <c r="E788" s="13" t="str">
        <f>+HYPERLINK("http://trademark.i-assist.jp/data/china/image_1887th/76815928.pdf","76815928")</f>
        <v>76815928</v>
      </c>
      <c r="F788" s="7" t="s">
        <v>2155</v>
      </c>
      <c r="G788" s="7" t="s">
        <v>2156</v>
      </c>
      <c r="H788" s="7" t="s">
        <v>2157</v>
      </c>
      <c r="I788" s="9">
        <v>45329</v>
      </c>
    </row>
    <row r="789" spans="1:9" x14ac:dyDescent="0.15">
      <c r="A789" s="6">
        <v>788</v>
      </c>
      <c r="B789" s="7" t="s">
        <v>8</v>
      </c>
      <c r="C789" s="8">
        <v>1887</v>
      </c>
      <c r="D789" s="9">
        <v>45425</v>
      </c>
      <c r="E789" s="13" t="str">
        <f>+HYPERLINK("http://trademark.i-assist.jp/data/china/image_1887th/76816041.pdf","76816041")</f>
        <v>76816041</v>
      </c>
      <c r="F789" s="7" t="s">
        <v>2158</v>
      </c>
      <c r="G789" s="7" t="s">
        <v>2159</v>
      </c>
      <c r="H789" s="7" t="s">
        <v>2160</v>
      </c>
      <c r="I789" s="9">
        <v>45329</v>
      </c>
    </row>
    <row r="790" spans="1:9" x14ac:dyDescent="0.15">
      <c r="A790" s="6">
        <v>789</v>
      </c>
      <c r="B790" s="7" t="s">
        <v>8</v>
      </c>
      <c r="C790" s="8">
        <v>1887</v>
      </c>
      <c r="D790" s="9">
        <v>45425</v>
      </c>
      <c r="E790" s="13" t="str">
        <f>+HYPERLINK("http://trademark.i-assist.jp/data/china/image_1887th/76816078.pdf","76816078")</f>
        <v>76816078</v>
      </c>
      <c r="F790" s="7" t="s">
        <v>2161</v>
      </c>
      <c r="G790" s="7" t="s">
        <v>2162</v>
      </c>
      <c r="H790" s="7" t="s">
        <v>2163</v>
      </c>
      <c r="I790" s="9">
        <v>45329</v>
      </c>
    </row>
    <row r="791" spans="1:9" x14ac:dyDescent="0.15">
      <c r="A791" s="6">
        <v>790</v>
      </c>
      <c r="B791" s="7" t="s">
        <v>8</v>
      </c>
      <c r="C791" s="8">
        <v>1887</v>
      </c>
      <c r="D791" s="9">
        <v>45425</v>
      </c>
      <c r="E791" s="13" t="str">
        <f>+HYPERLINK("http://trademark.i-assist.jp/data/china/image_1887th/76816162.pdf","76816162")</f>
        <v>76816162</v>
      </c>
      <c r="F791" s="7" t="s">
        <v>2164</v>
      </c>
      <c r="G791" s="7" t="s">
        <v>2165</v>
      </c>
      <c r="H791" s="7" t="s">
        <v>2166</v>
      </c>
      <c r="I791" s="9">
        <v>45329</v>
      </c>
    </row>
    <row r="792" spans="1:9" x14ac:dyDescent="0.15">
      <c r="A792" s="6">
        <v>791</v>
      </c>
      <c r="B792" s="7" t="s">
        <v>8</v>
      </c>
      <c r="C792" s="8">
        <v>1887</v>
      </c>
      <c r="D792" s="9">
        <v>45425</v>
      </c>
      <c r="E792" s="13" t="str">
        <f>+HYPERLINK("http://trademark.i-assist.jp/data/china/image_1887th/76816283.pdf","76816283")</f>
        <v>76816283</v>
      </c>
      <c r="F792" s="7" t="s">
        <v>2167</v>
      </c>
      <c r="G792" s="7" t="s">
        <v>2168</v>
      </c>
      <c r="H792" s="7" t="s">
        <v>2169</v>
      </c>
      <c r="I792" s="9">
        <v>45329</v>
      </c>
    </row>
    <row r="793" spans="1:9" ht="27" x14ac:dyDescent="0.15">
      <c r="A793" s="6">
        <v>792</v>
      </c>
      <c r="B793" s="7" t="s">
        <v>8</v>
      </c>
      <c r="C793" s="8">
        <v>1887</v>
      </c>
      <c r="D793" s="9">
        <v>45425</v>
      </c>
      <c r="E793" s="13" t="str">
        <f>+HYPERLINK("http://trademark.i-assist.jp/data/china/image_1887th/76816342.pdf","76816342")</f>
        <v>76816342</v>
      </c>
      <c r="F793" s="7" t="s">
        <v>2170</v>
      </c>
      <c r="G793" s="7" t="s">
        <v>2171</v>
      </c>
      <c r="H793" s="7" t="s">
        <v>2172</v>
      </c>
      <c r="I793" s="9">
        <v>45329</v>
      </c>
    </row>
    <row r="794" spans="1:9" x14ac:dyDescent="0.15">
      <c r="A794" s="6">
        <v>793</v>
      </c>
      <c r="B794" s="7" t="s">
        <v>8</v>
      </c>
      <c r="C794" s="8">
        <v>1887</v>
      </c>
      <c r="D794" s="9">
        <v>45425</v>
      </c>
      <c r="E794" s="13" t="str">
        <f>+HYPERLINK("http://trademark.i-assist.jp/data/china/image_1887th/76816344.pdf","76816344")</f>
        <v>76816344</v>
      </c>
      <c r="F794" s="7" t="s">
        <v>2173</v>
      </c>
      <c r="G794" s="7" t="s">
        <v>2174</v>
      </c>
      <c r="H794" s="7" t="s">
        <v>2175</v>
      </c>
      <c r="I794" s="9">
        <v>45329</v>
      </c>
    </row>
    <row r="795" spans="1:9" x14ac:dyDescent="0.15">
      <c r="A795" s="6">
        <v>794</v>
      </c>
      <c r="B795" s="7" t="s">
        <v>8</v>
      </c>
      <c r="C795" s="8">
        <v>1887</v>
      </c>
      <c r="D795" s="9">
        <v>45425</v>
      </c>
      <c r="E795" s="13" t="str">
        <f>+HYPERLINK("http://trademark.i-assist.jp/data/china/image_1887th/76816452.pdf","76816452")</f>
        <v>76816452</v>
      </c>
      <c r="F795" s="7" t="s">
        <v>2176</v>
      </c>
      <c r="G795" s="7" t="s">
        <v>2177</v>
      </c>
      <c r="H795" s="7" t="s">
        <v>2178</v>
      </c>
      <c r="I795" s="9">
        <v>45329</v>
      </c>
    </row>
    <row r="796" spans="1:9" x14ac:dyDescent="0.15">
      <c r="A796" s="6">
        <v>795</v>
      </c>
      <c r="B796" s="7" t="s">
        <v>8</v>
      </c>
      <c r="C796" s="8">
        <v>1887</v>
      </c>
      <c r="D796" s="9">
        <v>45425</v>
      </c>
      <c r="E796" s="13" t="str">
        <f>+HYPERLINK("http://trademark.i-assist.jp/data/china/image_1887th/76816601.pdf","76816601")</f>
        <v>76816601</v>
      </c>
      <c r="F796" s="7" t="s">
        <v>2179</v>
      </c>
      <c r="G796" s="7" t="s">
        <v>2180</v>
      </c>
      <c r="H796" s="7" t="s">
        <v>2181</v>
      </c>
      <c r="I796" s="9">
        <v>45329</v>
      </c>
    </row>
    <row r="797" spans="1:9" x14ac:dyDescent="0.15">
      <c r="A797" s="6">
        <v>796</v>
      </c>
      <c r="B797" s="7" t="s">
        <v>8</v>
      </c>
      <c r="C797" s="8">
        <v>1887</v>
      </c>
      <c r="D797" s="9">
        <v>45425</v>
      </c>
      <c r="E797" s="13" t="str">
        <f>+HYPERLINK("http://trademark.i-assist.jp/data/china/image_1887th/76816772.pdf","76816772")</f>
        <v>76816772</v>
      </c>
      <c r="F797" s="7" t="s">
        <v>2182</v>
      </c>
      <c r="G797" s="7" t="s">
        <v>2183</v>
      </c>
      <c r="H797" s="7" t="s">
        <v>2184</v>
      </c>
      <c r="I797" s="9">
        <v>45329</v>
      </c>
    </row>
    <row r="798" spans="1:9" x14ac:dyDescent="0.15">
      <c r="A798" s="6">
        <v>797</v>
      </c>
      <c r="B798" s="7" t="s">
        <v>8</v>
      </c>
      <c r="C798" s="8">
        <v>1887</v>
      </c>
      <c r="D798" s="9">
        <v>45425</v>
      </c>
      <c r="E798" s="13" t="str">
        <f>+HYPERLINK("http://trademark.i-assist.jp/data/china/image_1887th/76816925.pdf","76816925")</f>
        <v>76816925</v>
      </c>
      <c r="F798" s="7" t="s">
        <v>2185</v>
      </c>
      <c r="G798" s="7" t="s">
        <v>2186</v>
      </c>
      <c r="H798" s="7" t="s">
        <v>2187</v>
      </c>
      <c r="I798" s="9">
        <v>45329</v>
      </c>
    </row>
    <row r="799" spans="1:9" ht="27" x14ac:dyDescent="0.15">
      <c r="A799" s="6">
        <v>798</v>
      </c>
      <c r="B799" s="7" t="s">
        <v>8</v>
      </c>
      <c r="C799" s="8">
        <v>1887</v>
      </c>
      <c r="D799" s="9">
        <v>45425</v>
      </c>
      <c r="E799" s="13" t="str">
        <f>+HYPERLINK("http://trademark.i-assist.jp/data/china/image_1887th/76817025.pdf","76817025")</f>
        <v>76817025</v>
      </c>
      <c r="F799" s="7" t="s">
        <v>2188</v>
      </c>
      <c r="G799" s="7" t="s">
        <v>2189</v>
      </c>
      <c r="H799" s="7" t="s">
        <v>2190</v>
      </c>
      <c r="I799" s="9">
        <v>45329</v>
      </c>
    </row>
    <row r="800" spans="1:9" x14ac:dyDescent="0.15">
      <c r="A800" s="6">
        <v>799</v>
      </c>
      <c r="B800" s="7" t="s">
        <v>8</v>
      </c>
      <c r="C800" s="8">
        <v>1887</v>
      </c>
      <c r="D800" s="9">
        <v>45425</v>
      </c>
      <c r="E800" s="13" t="str">
        <f>+HYPERLINK("http://trademark.i-assist.jp/data/china/image_1887th/76817237.pdf","76817237")</f>
        <v>76817237</v>
      </c>
      <c r="F800" s="7" t="s">
        <v>2191</v>
      </c>
      <c r="G800" s="7" t="s">
        <v>2192</v>
      </c>
      <c r="H800" s="7" t="s">
        <v>2193</v>
      </c>
      <c r="I800" s="9">
        <v>45329</v>
      </c>
    </row>
    <row r="801" spans="1:9" x14ac:dyDescent="0.15">
      <c r="A801" s="6">
        <v>800</v>
      </c>
      <c r="B801" s="7" t="s">
        <v>8</v>
      </c>
      <c r="C801" s="8">
        <v>1887</v>
      </c>
      <c r="D801" s="9">
        <v>45425</v>
      </c>
      <c r="E801" s="13" t="str">
        <f>+HYPERLINK("http://trademark.i-assist.jp/data/china/image_1887th/76817583.pdf","76817583")</f>
        <v>76817583</v>
      </c>
      <c r="F801" s="7" t="s">
        <v>2194</v>
      </c>
      <c r="G801" s="7" t="s">
        <v>2195</v>
      </c>
      <c r="H801" s="7" t="s">
        <v>2196</v>
      </c>
      <c r="I801" s="9">
        <v>45329</v>
      </c>
    </row>
    <row r="802" spans="1:9" x14ac:dyDescent="0.15">
      <c r="A802" s="6">
        <v>801</v>
      </c>
      <c r="B802" s="7" t="s">
        <v>8</v>
      </c>
      <c r="C802" s="8">
        <v>1887</v>
      </c>
      <c r="D802" s="9">
        <v>45425</v>
      </c>
      <c r="E802" s="13" t="str">
        <f>+HYPERLINK("http://trademark.i-assist.jp/data/china/image_1887th/76817741.pdf","76817741")</f>
        <v>76817741</v>
      </c>
      <c r="F802" s="7" t="s">
        <v>2197</v>
      </c>
      <c r="G802" s="7" t="s">
        <v>2192</v>
      </c>
      <c r="H802" s="7" t="s">
        <v>2198</v>
      </c>
      <c r="I802" s="9">
        <v>45329</v>
      </c>
    </row>
    <row r="803" spans="1:9" ht="27" x14ac:dyDescent="0.15">
      <c r="A803" s="6">
        <v>802</v>
      </c>
      <c r="B803" s="7" t="s">
        <v>8</v>
      </c>
      <c r="C803" s="8">
        <v>1887</v>
      </c>
      <c r="D803" s="9">
        <v>45425</v>
      </c>
      <c r="E803" s="13" t="str">
        <f>+HYPERLINK("http://trademark.i-assist.jp/data/china/image_1887th/76817963.pdf","76817963")</f>
        <v>76817963</v>
      </c>
      <c r="F803" s="7" t="s">
        <v>2199</v>
      </c>
      <c r="G803" s="7" t="s">
        <v>2200</v>
      </c>
      <c r="H803" s="7" t="s">
        <v>2201</v>
      </c>
      <c r="I803" s="9">
        <v>45329</v>
      </c>
    </row>
    <row r="804" spans="1:9" x14ac:dyDescent="0.15">
      <c r="A804" s="6">
        <v>803</v>
      </c>
      <c r="B804" s="7" t="s">
        <v>8</v>
      </c>
      <c r="C804" s="8">
        <v>1887</v>
      </c>
      <c r="D804" s="9">
        <v>45425</v>
      </c>
      <c r="E804" s="13" t="str">
        <f>+HYPERLINK("http://trademark.i-assist.jp/data/china/image_1887th/76818346.pdf","76818346")</f>
        <v>76818346</v>
      </c>
      <c r="F804" s="7" t="s">
        <v>2161</v>
      </c>
      <c r="G804" s="7" t="s">
        <v>2162</v>
      </c>
      <c r="H804" s="7" t="s">
        <v>2202</v>
      </c>
      <c r="I804" s="9">
        <v>45329</v>
      </c>
    </row>
    <row r="805" spans="1:9" x14ac:dyDescent="0.15">
      <c r="A805" s="6">
        <v>804</v>
      </c>
      <c r="B805" s="7" t="s">
        <v>8</v>
      </c>
      <c r="C805" s="8">
        <v>1887</v>
      </c>
      <c r="D805" s="9">
        <v>45425</v>
      </c>
      <c r="E805" s="13" t="str">
        <f>+HYPERLINK("http://trademark.i-assist.jp/data/china/image_1887th/76818603.pdf","76818603")</f>
        <v>76818603</v>
      </c>
      <c r="F805" s="7" t="s">
        <v>2203</v>
      </c>
      <c r="G805" s="7" t="s">
        <v>2204</v>
      </c>
      <c r="H805" s="7" t="s">
        <v>2205</v>
      </c>
      <c r="I805" s="9">
        <v>45329</v>
      </c>
    </row>
    <row r="806" spans="1:9" x14ac:dyDescent="0.15">
      <c r="A806" s="6">
        <v>805</v>
      </c>
      <c r="B806" s="7" t="s">
        <v>8</v>
      </c>
      <c r="C806" s="8">
        <v>1887</v>
      </c>
      <c r="D806" s="9">
        <v>45425</v>
      </c>
      <c r="E806" s="13" t="str">
        <f>+HYPERLINK("http://trademark.i-assist.jp/data/china/image_1887th/76818681.pdf","76818681")</f>
        <v>76818681</v>
      </c>
      <c r="F806" s="7" t="s">
        <v>2206</v>
      </c>
      <c r="G806" s="7" t="s">
        <v>2207</v>
      </c>
      <c r="H806" s="7" t="s">
        <v>2208</v>
      </c>
      <c r="I806" s="9">
        <v>45329</v>
      </c>
    </row>
    <row r="807" spans="1:9" ht="27" x14ac:dyDescent="0.15">
      <c r="A807" s="6">
        <v>806</v>
      </c>
      <c r="B807" s="7" t="s">
        <v>8</v>
      </c>
      <c r="C807" s="8">
        <v>1887</v>
      </c>
      <c r="D807" s="9">
        <v>45425</v>
      </c>
      <c r="E807" s="13" t="str">
        <f>+HYPERLINK("http://trademark.i-assist.jp/data/china/image_1887th/76818777.pdf","76818777")</f>
        <v>76818777</v>
      </c>
      <c r="F807" s="7" t="s">
        <v>2209</v>
      </c>
      <c r="G807" s="7" t="s">
        <v>2210</v>
      </c>
      <c r="H807" s="7" t="s">
        <v>2211</v>
      </c>
      <c r="I807" s="9">
        <v>45329</v>
      </c>
    </row>
    <row r="808" spans="1:9" x14ac:dyDescent="0.15">
      <c r="A808" s="6">
        <v>807</v>
      </c>
      <c r="B808" s="7" t="s">
        <v>8</v>
      </c>
      <c r="C808" s="8">
        <v>1887</v>
      </c>
      <c r="D808" s="9">
        <v>45425</v>
      </c>
      <c r="E808" s="13" t="str">
        <f>+HYPERLINK("http://trademark.i-assist.jp/data/china/image_1887th/76819039.pdf","76819039")</f>
        <v>76819039</v>
      </c>
      <c r="F808" s="7" t="s">
        <v>54</v>
      </c>
      <c r="G808" s="7" t="s">
        <v>2212</v>
      </c>
      <c r="H808" s="7" t="s">
        <v>2213</v>
      </c>
      <c r="I808" s="9">
        <v>45329</v>
      </c>
    </row>
    <row r="809" spans="1:9" ht="27" x14ac:dyDescent="0.15">
      <c r="A809" s="6">
        <v>808</v>
      </c>
      <c r="B809" s="7" t="s">
        <v>8</v>
      </c>
      <c r="C809" s="8">
        <v>1887</v>
      </c>
      <c r="D809" s="9">
        <v>45425</v>
      </c>
      <c r="E809" s="13" t="str">
        <f>+HYPERLINK("http://trademark.i-assist.jp/data/china/image_1887th/76819611.pdf","76819611")</f>
        <v>76819611</v>
      </c>
      <c r="F809" s="7" t="s">
        <v>2214</v>
      </c>
      <c r="G809" s="7" t="s">
        <v>2171</v>
      </c>
      <c r="H809" s="7" t="s">
        <v>2215</v>
      </c>
      <c r="I809" s="9">
        <v>45329</v>
      </c>
    </row>
    <row r="810" spans="1:9" x14ac:dyDescent="0.15">
      <c r="A810" s="6">
        <v>809</v>
      </c>
      <c r="B810" s="7" t="s">
        <v>8</v>
      </c>
      <c r="C810" s="8">
        <v>1887</v>
      </c>
      <c r="D810" s="9">
        <v>45425</v>
      </c>
      <c r="E810" s="13" t="str">
        <f>+HYPERLINK("http://trademark.i-assist.jp/data/china/image_1887th/76819817.pdf","76819817")</f>
        <v>76819817</v>
      </c>
      <c r="F810" s="7" t="s">
        <v>2216</v>
      </c>
      <c r="G810" s="7" t="s">
        <v>2217</v>
      </c>
      <c r="H810" s="7" t="s">
        <v>2218</v>
      </c>
      <c r="I810" s="9">
        <v>45329</v>
      </c>
    </row>
    <row r="811" spans="1:9" x14ac:dyDescent="0.15">
      <c r="A811" s="6">
        <v>810</v>
      </c>
      <c r="B811" s="7" t="s">
        <v>8</v>
      </c>
      <c r="C811" s="8">
        <v>1887</v>
      </c>
      <c r="D811" s="9">
        <v>45425</v>
      </c>
      <c r="E811" s="13" t="str">
        <f>+HYPERLINK("http://trademark.i-assist.jp/data/china/image_1887th/76819908.pdf","76819908")</f>
        <v>76819908</v>
      </c>
      <c r="F811" s="7" t="s">
        <v>2219</v>
      </c>
      <c r="G811" s="7" t="s">
        <v>2220</v>
      </c>
      <c r="H811" s="7" t="s">
        <v>2221</v>
      </c>
      <c r="I811" s="9">
        <v>45329</v>
      </c>
    </row>
    <row r="812" spans="1:9" x14ac:dyDescent="0.15">
      <c r="A812" s="6">
        <v>811</v>
      </c>
      <c r="B812" s="7" t="s">
        <v>8</v>
      </c>
      <c r="C812" s="8">
        <v>1887</v>
      </c>
      <c r="D812" s="9">
        <v>45425</v>
      </c>
      <c r="E812" s="13" t="str">
        <f>+HYPERLINK("http://trademark.i-assist.jp/data/china/image_1887th/76819974.pdf","76819974")</f>
        <v>76819974</v>
      </c>
      <c r="F812" s="7" t="s">
        <v>2222</v>
      </c>
      <c r="G812" s="7" t="s">
        <v>2223</v>
      </c>
      <c r="H812" s="7" t="s">
        <v>2224</v>
      </c>
      <c r="I812" s="9">
        <v>45329</v>
      </c>
    </row>
    <row r="813" spans="1:9" x14ac:dyDescent="0.15">
      <c r="A813" s="6">
        <v>812</v>
      </c>
      <c r="B813" s="7" t="s">
        <v>8</v>
      </c>
      <c r="C813" s="8">
        <v>1887</v>
      </c>
      <c r="D813" s="9">
        <v>45425</v>
      </c>
      <c r="E813" s="13" t="str">
        <f>+HYPERLINK("http://trademark.i-assist.jp/data/china/image_1887th/76820244.pdf","76820244")</f>
        <v>76820244</v>
      </c>
      <c r="F813" s="7" t="s">
        <v>2225</v>
      </c>
      <c r="G813" s="7" t="s">
        <v>2192</v>
      </c>
      <c r="H813" s="7" t="s">
        <v>2226</v>
      </c>
      <c r="I813" s="9">
        <v>45329</v>
      </c>
    </row>
    <row r="814" spans="1:9" x14ac:dyDescent="0.15">
      <c r="A814" s="6">
        <v>813</v>
      </c>
      <c r="B814" s="7" t="s">
        <v>8</v>
      </c>
      <c r="C814" s="8">
        <v>1887</v>
      </c>
      <c r="D814" s="9">
        <v>45425</v>
      </c>
      <c r="E814" s="13" t="str">
        <f>+HYPERLINK("http://trademark.i-assist.jp/data/china/image_1887th/76820571.pdf","76820571")</f>
        <v>76820571</v>
      </c>
      <c r="F814" s="7" t="s">
        <v>2227</v>
      </c>
      <c r="G814" s="7" t="s">
        <v>2228</v>
      </c>
      <c r="H814" s="7" t="s">
        <v>2229</v>
      </c>
      <c r="I814" s="9">
        <v>45329</v>
      </c>
    </row>
    <row r="815" spans="1:9" ht="27" x14ac:dyDescent="0.15">
      <c r="A815" s="6">
        <v>814</v>
      </c>
      <c r="B815" s="7" t="s">
        <v>8</v>
      </c>
      <c r="C815" s="8">
        <v>1887</v>
      </c>
      <c r="D815" s="9">
        <v>45425</v>
      </c>
      <c r="E815" s="13" t="str">
        <f>+HYPERLINK("http://trademark.i-assist.jp/data/china/image_1887th/76820637.pdf","76820637")</f>
        <v>76820637</v>
      </c>
      <c r="F815" s="7" t="s">
        <v>2230</v>
      </c>
      <c r="G815" s="7" t="s">
        <v>2171</v>
      </c>
      <c r="H815" s="7" t="s">
        <v>2231</v>
      </c>
      <c r="I815" s="9">
        <v>45329</v>
      </c>
    </row>
    <row r="816" spans="1:9" x14ac:dyDescent="0.15">
      <c r="A816" s="6">
        <v>815</v>
      </c>
      <c r="B816" s="7" t="s">
        <v>8</v>
      </c>
      <c r="C816" s="8">
        <v>1887</v>
      </c>
      <c r="D816" s="9">
        <v>45425</v>
      </c>
      <c r="E816" s="13" t="str">
        <f>+HYPERLINK("http://trademark.i-assist.jp/data/china/image_1887th/76820661.pdf","76820661")</f>
        <v>76820661</v>
      </c>
      <c r="F816" s="7" t="s">
        <v>2232</v>
      </c>
      <c r="G816" s="7" t="s">
        <v>2233</v>
      </c>
      <c r="H816" s="7" t="s">
        <v>2234</v>
      </c>
      <c r="I816" s="9">
        <v>45329</v>
      </c>
    </row>
    <row r="817" spans="1:9" x14ac:dyDescent="0.15">
      <c r="A817" s="6">
        <v>816</v>
      </c>
      <c r="B817" s="7" t="s">
        <v>8</v>
      </c>
      <c r="C817" s="8">
        <v>1887</v>
      </c>
      <c r="D817" s="9">
        <v>45425</v>
      </c>
      <c r="E817" s="13" t="str">
        <f>+HYPERLINK("http://trademark.i-assist.jp/data/china/image_1887th/76821825.pdf","76821825")</f>
        <v>76821825</v>
      </c>
      <c r="F817" s="7" t="s">
        <v>2235</v>
      </c>
      <c r="G817" s="7" t="s">
        <v>2236</v>
      </c>
      <c r="H817" s="7" t="s">
        <v>2237</v>
      </c>
      <c r="I817" s="9">
        <v>45330</v>
      </c>
    </row>
    <row r="818" spans="1:9" x14ac:dyDescent="0.15">
      <c r="A818" s="6">
        <v>817</v>
      </c>
      <c r="B818" s="7" t="s">
        <v>8</v>
      </c>
      <c r="C818" s="8">
        <v>1887</v>
      </c>
      <c r="D818" s="9">
        <v>45425</v>
      </c>
      <c r="E818" s="13" t="str">
        <f>+HYPERLINK("http://trademark.i-assist.jp/data/china/image_1887th/76821856.pdf","76821856")</f>
        <v>76821856</v>
      </c>
      <c r="F818" s="7" t="s">
        <v>2238</v>
      </c>
      <c r="G818" s="7" t="s">
        <v>2239</v>
      </c>
      <c r="H818" s="7" t="s">
        <v>2240</v>
      </c>
      <c r="I818" s="9">
        <v>45330</v>
      </c>
    </row>
    <row r="819" spans="1:9" x14ac:dyDescent="0.15">
      <c r="A819" s="6">
        <v>818</v>
      </c>
      <c r="B819" s="7" t="s">
        <v>8</v>
      </c>
      <c r="C819" s="8">
        <v>1887</v>
      </c>
      <c r="D819" s="9">
        <v>45425</v>
      </c>
      <c r="E819" s="13" t="str">
        <f>+HYPERLINK("http://trademark.i-assist.jp/data/china/image_1887th/76822254.pdf","76822254")</f>
        <v>76822254</v>
      </c>
      <c r="F819" s="7" t="s">
        <v>2241</v>
      </c>
      <c r="G819" s="7" t="s">
        <v>2242</v>
      </c>
      <c r="H819" s="7" t="s">
        <v>2243</v>
      </c>
      <c r="I819" s="9">
        <v>45330</v>
      </c>
    </row>
    <row r="820" spans="1:9" x14ac:dyDescent="0.15">
      <c r="A820" s="6">
        <v>819</v>
      </c>
      <c r="B820" s="7" t="s">
        <v>8</v>
      </c>
      <c r="C820" s="8">
        <v>1887</v>
      </c>
      <c r="D820" s="9">
        <v>45425</v>
      </c>
      <c r="E820" s="13" t="str">
        <f>+HYPERLINK("http://trademark.i-assist.jp/data/china/image_1887th/76822421.pdf","76822421")</f>
        <v>76822421</v>
      </c>
      <c r="F820" s="7" t="s">
        <v>2244</v>
      </c>
      <c r="G820" s="7" t="s">
        <v>2245</v>
      </c>
      <c r="H820" s="7" t="s">
        <v>2246</v>
      </c>
      <c r="I820" s="9">
        <v>45330</v>
      </c>
    </row>
    <row r="821" spans="1:9" x14ac:dyDescent="0.15">
      <c r="A821" s="6">
        <v>820</v>
      </c>
      <c r="B821" s="7" t="s">
        <v>8</v>
      </c>
      <c r="C821" s="8">
        <v>1887</v>
      </c>
      <c r="D821" s="9">
        <v>45425</v>
      </c>
      <c r="E821" s="13" t="str">
        <f>+HYPERLINK("http://trademark.i-assist.jp/data/china/image_1887th/76823370.pdf","76823370")</f>
        <v>76823370</v>
      </c>
      <c r="F821" s="7" t="s">
        <v>2247</v>
      </c>
      <c r="G821" s="7" t="s">
        <v>2248</v>
      </c>
      <c r="H821" s="7" t="s">
        <v>2249</v>
      </c>
      <c r="I821" s="9">
        <v>45330</v>
      </c>
    </row>
    <row r="822" spans="1:9" x14ac:dyDescent="0.15">
      <c r="A822" s="6">
        <v>821</v>
      </c>
      <c r="B822" s="7" t="s">
        <v>8</v>
      </c>
      <c r="C822" s="8">
        <v>1887</v>
      </c>
      <c r="D822" s="9">
        <v>45425</v>
      </c>
      <c r="E822" s="13" t="str">
        <f>+HYPERLINK("http://trademark.i-assist.jp/data/china/image_1887th/76823477.pdf","76823477")</f>
        <v>76823477</v>
      </c>
      <c r="F822" s="7" t="s">
        <v>2250</v>
      </c>
      <c r="G822" s="7" t="s">
        <v>2251</v>
      </c>
      <c r="H822" s="7" t="s">
        <v>2252</v>
      </c>
      <c r="I822" s="9">
        <v>45330</v>
      </c>
    </row>
    <row r="823" spans="1:9" x14ac:dyDescent="0.15">
      <c r="A823" s="6">
        <v>822</v>
      </c>
      <c r="B823" s="7" t="s">
        <v>8</v>
      </c>
      <c r="C823" s="8">
        <v>1887</v>
      </c>
      <c r="D823" s="9">
        <v>45425</v>
      </c>
      <c r="E823" s="13" t="str">
        <f>+HYPERLINK("http://trademark.i-assist.jp/data/china/image_1887th/76824122.pdf","76824122")</f>
        <v>76824122</v>
      </c>
      <c r="F823" s="7" t="s">
        <v>2253</v>
      </c>
      <c r="G823" s="7" t="s">
        <v>2254</v>
      </c>
      <c r="H823" s="7" t="s">
        <v>2255</v>
      </c>
      <c r="I823" s="9">
        <v>45330</v>
      </c>
    </row>
    <row r="824" spans="1:9" x14ac:dyDescent="0.15">
      <c r="A824" s="6">
        <v>823</v>
      </c>
      <c r="B824" s="7" t="s">
        <v>8</v>
      </c>
      <c r="C824" s="8">
        <v>1887</v>
      </c>
      <c r="D824" s="9">
        <v>45425</v>
      </c>
      <c r="E824" s="13" t="str">
        <f>+HYPERLINK("http://trademark.i-assist.jp/data/china/image_1887th/76824157.pdf","76824157")</f>
        <v>76824157</v>
      </c>
      <c r="F824" s="7" t="s">
        <v>2256</v>
      </c>
      <c r="G824" s="7" t="s">
        <v>2257</v>
      </c>
      <c r="H824" s="7" t="s">
        <v>2258</v>
      </c>
      <c r="I824" s="9">
        <v>45330</v>
      </c>
    </row>
    <row r="825" spans="1:9" x14ac:dyDescent="0.15">
      <c r="A825" s="6">
        <v>824</v>
      </c>
      <c r="B825" s="7" t="s">
        <v>8</v>
      </c>
      <c r="C825" s="8">
        <v>1887</v>
      </c>
      <c r="D825" s="9">
        <v>45425</v>
      </c>
      <c r="E825" s="13" t="str">
        <f>+HYPERLINK("http://trademark.i-assist.jp/data/china/image_1887th/76824415.pdf","76824415")</f>
        <v>76824415</v>
      </c>
      <c r="F825" s="7" t="s">
        <v>2259</v>
      </c>
      <c r="G825" s="7" t="s">
        <v>2260</v>
      </c>
      <c r="H825" s="7" t="s">
        <v>2261</v>
      </c>
      <c r="I825" s="9">
        <v>45330</v>
      </c>
    </row>
    <row r="826" spans="1:9" x14ac:dyDescent="0.15">
      <c r="A826" s="6">
        <v>825</v>
      </c>
      <c r="B826" s="7" t="s">
        <v>8</v>
      </c>
      <c r="C826" s="8">
        <v>1887</v>
      </c>
      <c r="D826" s="9">
        <v>45425</v>
      </c>
      <c r="E826" s="13" t="str">
        <f>+HYPERLINK("http://trademark.i-assist.jp/data/china/image_1887th/76825015.pdf","76825015")</f>
        <v>76825015</v>
      </c>
      <c r="F826" s="7" t="s">
        <v>2262</v>
      </c>
      <c r="G826" s="7" t="s">
        <v>2263</v>
      </c>
      <c r="H826" s="7" t="s">
        <v>2264</v>
      </c>
      <c r="I826" s="9">
        <v>45330</v>
      </c>
    </row>
    <row r="827" spans="1:9" x14ac:dyDescent="0.15">
      <c r="A827" s="6">
        <v>826</v>
      </c>
      <c r="B827" s="7" t="s">
        <v>8</v>
      </c>
      <c r="C827" s="8">
        <v>1887</v>
      </c>
      <c r="D827" s="9">
        <v>45425</v>
      </c>
      <c r="E827" s="13" t="str">
        <f>+HYPERLINK("http://trademark.i-assist.jp/data/china/image_1887th/76825136.pdf","76825136")</f>
        <v>76825136</v>
      </c>
      <c r="F827" s="7" t="s">
        <v>54</v>
      </c>
      <c r="G827" s="7" t="s">
        <v>2265</v>
      </c>
      <c r="H827" s="7" t="s">
        <v>2266</v>
      </c>
      <c r="I827" s="9">
        <v>45330</v>
      </c>
    </row>
    <row r="828" spans="1:9" x14ac:dyDescent="0.15">
      <c r="A828" s="6">
        <v>827</v>
      </c>
      <c r="B828" s="7" t="s">
        <v>8</v>
      </c>
      <c r="C828" s="8">
        <v>1887</v>
      </c>
      <c r="D828" s="9">
        <v>45425</v>
      </c>
      <c r="E828" s="13" t="str">
        <f>+HYPERLINK("http://trademark.i-assist.jp/data/china/image_1887th/76825233.pdf","76825233")</f>
        <v>76825233</v>
      </c>
      <c r="F828" s="7" t="s">
        <v>54</v>
      </c>
      <c r="G828" s="7" t="s">
        <v>2267</v>
      </c>
      <c r="H828" s="7" t="s">
        <v>2268</v>
      </c>
      <c r="I828" s="9">
        <v>45330</v>
      </c>
    </row>
    <row r="829" spans="1:9" ht="27" x14ac:dyDescent="0.15">
      <c r="A829" s="6">
        <v>828</v>
      </c>
      <c r="B829" s="7" t="s">
        <v>8</v>
      </c>
      <c r="C829" s="8">
        <v>1887</v>
      </c>
      <c r="D829" s="9">
        <v>45425</v>
      </c>
      <c r="E829" s="13" t="str">
        <f>+HYPERLINK("http://trademark.i-assist.jp/data/china/image_1887th/76825429.pdf","76825429")</f>
        <v>76825429</v>
      </c>
      <c r="F829" s="7" t="s">
        <v>54</v>
      </c>
      <c r="G829" s="7" t="s">
        <v>2269</v>
      </c>
      <c r="H829" s="7" t="s">
        <v>2270</v>
      </c>
      <c r="I829" s="9">
        <v>45330</v>
      </c>
    </row>
    <row r="830" spans="1:9" x14ac:dyDescent="0.15">
      <c r="A830" s="6">
        <v>829</v>
      </c>
      <c r="B830" s="7" t="s">
        <v>8</v>
      </c>
      <c r="C830" s="8">
        <v>1887</v>
      </c>
      <c r="D830" s="9">
        <v>45425</v>
      </c>
      <c r="E830" s="13" t="str">
        <f>+HYPERLINK("http://trademark.i-assist.jp/data/china/image_1887th/76825492.pdf","76825492")</f>
        <v>76825492</v>
      </c>
      <c r="F830" s="7" t="s">
        <v>54</v>
      </c>
      <c r="G830" s="7" t="s">
        <v>2271</v>
      </c>
      <c r="H830" s="7" t="s">
        <v>2272</v>
      </c>
      <c r="I830" s="9">
        <v>45330</v>
      </c>
    </row>
    <row r="831" spans="1:9" ht="27" x14ac:dyDescent="0.15">
      <c r="A831" s="6">
        <v>830</v>
      </c>
      <c r="B831" s="7" t="s">
        <v>8</v>
      </c>
      <c r="C831" s="8">
        <v>1887</v>
      </c>
      <c r="D831" s="9">
        <v>45425</v>
      </c>
      <c r="E831" s="13" t="str">
        <f>+HYPERLINK("http://trademark.i-assist.jp/data/china/image_1887th/76825723.pdf","76825723")</f>
        <v>76825723</v>
      </c>
      <c r="F831" s="7" t="s">
        <v>2273</v>
      </c>
      <c r="G831" s="7" t="s">
        <v>2274</v>
      </c>
      <c r="H831" s="7" t="s">
        <v>2275</v>
      </c>
      <c r="I831" s="9">
        <v>45330</v>
      </c>
    </row>
    <row r="832" spans="1:9" x14ac:dyDescent="0.15">
      <c r="A832" s="6">
        <v>831</v>
      </c>
      <c r="B832" s="7" t="s">
        <v>8</v>
      </c>
      <c r="C832" s="8">
        <v>1887</v>
      </c>
      <c r="D832" s="9">
        <v>45425</v>
      </c>
      <c r="E832" s="13" t="str">
        <f>+HYPERLINK("http://trademark.i-assist.jp/data/china/image_1887th/76826090.pdf","76826090")</f>
        <v>76826090</v>
      </c>
      <c r="F832" s="7" t="s">
        <v>2276</v>
      </c>
      <c r="G832" s="7" t="s">
        <v>2251</v>
      </c>
      <c r="H832" s="7" t="s">
        <v>2277</v>
      </c>
      <c r="I832" s="9">
        <v>45330</v>
      </c>
    </row>
    <row r="833" spans="1:9" x14ac:dyDescent="0.15">
      <c r="A833" s="6">
        <v>832</v>
      </c>
      <c r="B833" s="7" t="s">
        <v>8</v>
      </c>
      <c r="C833" s="8">
        <v>1887</v>
      </c>
      <c r="D833" s="9">
        <v>45425</v>
      </c>
      <c r="E833" s="13" t="str">
        <f>+HYPERLINK("http://trademark.i-assist.jp/data/china/image_1887th/76826191.pdf","76826191")</f>
        <v>76826191</v>
      </c>
      <c r="F833" s="7" t="s">
        <v>2278</v>
      </c>
      <c r="G833" s="7" t="s">
        <v>2254</v>
      </c>
      <c r="H833" s="7" t="s">
        <v>2279</v>
      </c>
      <c r="I833" s="9">
        <v>45330</v>
      </c>
    </row>
    <row r="834" spans="1:9" ht="27" x14ac:dyDescent="0.15">
      <c r="A834" s="6">
        <v>833</v>
      </c>
      <c r="B834" s="7" t="s">
        <v>8</v>
      </c>
      <c r="C834" s="8">
        <v>1887</v>
      </c>
      <c r="D834" s="9">
        <v>45425</v>
      </c>
      <c r="E834" s="13" t="str">
        <f>+HYPERLINK("http://trademark.i-assist.jp/data/china/image_1887th/76826467.pdf","76826467")</f>
        <v>76826467</v>
      </c>
      <c r="F834" s="7" t="s">
        <v>2280</v>
      </c>
      <c r="G834" s="7" t="s">
        <v>459</v>
      </c>
      <c r="H834" s="7" t="s">
        <v>2281</v>
      </c>
      <c r="I834" s="9">
        <v>45330</v>
      </c>
    </row>
    <row r="835" spans="1:9" x14ac:dyDescent="0.15">
      <c r="A835" s="6">
        <v>834</v>
      </c>
      <c r="B835" s="7" t="s">
        <v>8</v>
      </c>
      <c r="C835" s="8">
        <v>1887</v>
      </c>
      <c r="D835" s="9">
        <v>45425</v>
      </c>
      <c r="E835" s="13" t="str">
        <f>+HYPERLINK("http://trademark.i-assist.jp/data/china/image_1887th/76826592.pdf","76826592")</f>
        <v>76826592</v>
      </c>
      <c r="F835" s="7" t="s">
        <v>2282</v>
      </c>
      <c r="G835" s="7" t="s">
        <v>2283</v>
      </c>
      <c r="H835" s="7" t="s">
        <v>2284</v>
      </c>
      <c r="I835" s="9">
        <v>45330</v>
      </c>
    </row>
    <row r="836" spans="1:9" x14ac:dyDescent="0.15">
      <c r="A836" s="6">
        <v>835</v>
      </c>
      <c r="B836" s="7" t="s">
        <v>8</v>
      </c>
      <c r="C836" s="8">
        <v>1887</v>
      </c>
      <c r="D836" s="9">
        <v>45425</v>
      </c>
      <c r="E836" s="13" t="str">
        <f>+HYPERLINK("http://trademark.i-assist.jp/data/china/image_1887th/76826644.pdf","76826644")</f>
        <v>76826644</v>
      </c>
      <c r="F836" s="7" t="s">
        <v>2285</v>
      </c>
      <c r="G836" s="7" t="s">
        <v>2286</v>
      </c>
      <c r="H836" s="7" t="s">
        <v>2287</v>
      </c>
      <c r="I836" s="9">
        <v>45330</v>
      </c>
    </row>
    <row r="837" spans="1:9" ht="27" x14ac:dyDescent="0.15">
      <c r="A837" s="6">
        <v>836</v>
      </c>
      <c r="B837" s="7" t="s">
        <v>8</v>
      </c>
      <c r="C837" s="8">
        <v>1887</v>
      </c>
      <c r="D837" s="9">
        <v>45425</v>
      </c>
      <c r="E837" s="13" t="str">
        <f>+HYPERLINK("http://trademark.i-assist.jp/data/china/image_1887th/76827438.pdf","76827438")</f>
        <v>76827438</v>
      </c>
      <c r="F837" s="7" t="s">
        <v>54</v>
      </c>
      <c r="G837" s="7" t="s">
        <v>2288</v>
      </c>
      <c r="H837" s="7" t="s">
        <v>2289</v>
      </c>
      <c r="I837" s="9">
        <v>45331</v>
      </c>
    </row>
    <row r="838" spans="1:9" x14ac:dyDescent="0.15">
      <c r="A838" s="6">
        <v>837</v>
      </c>
      <c r="B838" s="7" t="s">
        <v>8</v>
      </c>
      <c r="C838" s="8">
        <v>1887</v>
      </c>
      <c r="D838" s="9">
        <v>45425</v>
      </c>
      <c r="E838" s="13" t="str">
        <f>+HYPERLINK("http://trademark.i-assist.jp/data/china/image_1887th/76827661.pdf","76827661")</f>
        <v>76827661</v>
      </c>
      <c r="F838" s="7" t="s">
        <v>2290</v>
      </c>
      <c r="G838" s="7" t="s">
        <v>2291</v>
      </c>
      <c r="H838" s="7" t="s">
        <v>2292</v>
      </c>
      <c r="I838" s="9">
        <v>45331</v>
      </c>
    </row>
    <row r="839" spans="1:9" x14ac:dyDescent="0.15">
      <c r="A839" s="6">
        <v>838</v>
      </c>
      <c r="B839" s="7" t="s">
        <v>8</v>
      </c>
      <c r="C839" s="8">
        <v>1887</v>
      </c>
      <c r="D839" s="9">
        <v>45425</v>
      </c>
      <c r="E839" s="13" t="str">
        <f>+HYPERLINK("http://trademark.i-assist.jp/data/china/image_1887th/76827774.pdf","76827774")</f>
        <v>76827774</v>
      </c>
      <c r="F839" s="7" t="s">
        <v>2293</v>
      </c>
      <c r="G839" s="7" t="s">
        <v>2294</v>
      </c>
      <c r="H839" s="7" t="s">
        <v>2295</v>
      </c>
      <c r="I839" s="9">
        <v>45331</v>
      </c>
    </row>
    <row r="840" spans="1:9" ht="27" x14ac:dyDescent="0.15">
      <c r="A840" s="6">
        <v>839</v>
      </c>
      <c r="B840" s="7" t="s">
        <v>8</v>
      </c>
      <c r="C840" s="8">
        <v>1887</v>
      </c>
      <c r="D840" s="9">
        <v>45425</v>
      </c>
      <c r="E840" s="13" t="str">
        <f>+HYPERLINK("http://trademark.i-assist.jp/data/china/image_1887th/76827920.pdf","76827920")</f>
        <v>76827920</v>
      </c>
      <c r="F840" s="7" t="s">
        <v>2296</v>
      </c>
      <c r="G840" s="7" t="s">
        <v>2297</v>
      </c>
      <c r="H840" s="7" t="s">
        <v>2298</v>
      </c>
      <c r="I840" s="9">
        <v>45331</v>
      </c>
    </row>
    <row r="841" spans="1:9" x14ac:dyDescent="0.15">
      <c r="A841" s="6">
        <v>840</v>
      </c>
      <c r="B841" s="7" t="s">
        <v>8</v>
      </c>
      <c r="C841" s="8">
        <v>1887</v>
      </c>
      <c r="D841" s="9">
        <v>45425</v>
      </c>
      <c r="E841" s="13" t="str">
        <f>+HYPERLINK("http://trademark.i-assist.jp/data/china/image_1887th/76827950.pdf","76827950")</f>
        <v>76827950</v>
      </c>
      <c r="F841" s="7" t="s">
        <v>2299</v>
      </c>
      <c r="G841" s="7" t="s">
        <v>2300</v>
      </c>
      <c r="H841" s="7" t="s">
        <v>2301</v>
      </c>
      <c r="I841" s="9">
        <v>45331</v>
      </c>
    </row>
    <row r="842" spans="1:9" ht="27" x14ac:dyDescent="0.15">
      <c r="A842" s="6">
        <v>841</v>
      </c>
      <c r="B842" s="7" t="s">
        <v>8</v>
      </c>
      <c r="C842" s="8">
        <v>1887</v>
      </c>
      <c r="D842" s="9">
        <v>45425</v>
      </c>
      <c r="E842" s="13" t="str">
        <f>+HYPERLINK("http://trademark.i-assist.jp/data/china/image_1887th/76827986.pdf","76827986")</f>
        <v>76827986</v>
      </c>
      <c r="F842" s="7" t="s">
        <v>2302</v>
      </c>
      <c r="G842" s="7" t="s">
        <v>2303</v>
      </c>
      <c r="H842" s="7" t="s">
        <v>2304</v>
      </c>
      <c r="I842" s="9">
        <v>45331</v>
      </c>
    </row>
    <row r="843" spans="1:9" x14ac:dyDescent="0.15">
      <c r="A843" s="6">
        <v>842</v>
      </c>
      <c r="B843" s="7" t="s">
        <v>8</v>
      </c>
      <c r="C843" s="8">
        <v>1887</v>
      </c>
      <c r="D843" s="9">
        <v>45425</v>
      </c>
      <c r="E843" s="13" t="str">
        <f>+HYPERLINK("http://trademark.i-assist.jp/data/china/image_1887th/76828734.pdf","76828734")</f>
        <v>76828734</v>
      </c>
      <c r="F843" s="7" t="s">
        <v>2305</v>
      </c>
      <c r="G843" s="7" t="s">
        <v>2306</v>
      </c>
      <c r="H843" s="7" t="s">
        <v>2307</v>
      </c>
      <c r="I843" s="9">
        <v>45331</v>
      </c>
    </row>
    <row r="844" spans="1:9" x14ac:dyDescent="0.15">
      <c r="A844" s="6">
        <v>843</v>
      </c>
      <c r="B844" s="7" t="s">
        <v>8</v>
      </c>
      <c r="C844" s="8">
        <v>1887</v>
      </c>
      <c r="D844" s="9">
        <v>45425</v>
      </c>
      <c r="E844" s="13" t="str">
        <f>+HYPERLINK("http://trademark.i-assist.jp/data/china/image_1887th/76828836.pdf","76828836")</f>
        <v>76828836</v>
      </c>
      <c r="F844" s="7" t="s">
        <v>2308</v>
      </c>
      <c r="G844" s="7" t="s">
        <v>2309</v>
      </c>
      <c r="H844" s="7" t="s">
        <v>2310</v>
      </c>
      <c r="I844" s="9">
        <v>45331</v>
      </c>
    </row>
    <row r="845" spans="1:9" ht="27" x14ac:dyDescent="0.15">
      <c r="A845" s="6">
        <v>844</v>
      </c>
      <c r="B845" s="7" t="s">
        <v>8</v>
      </c>
      <c r="C845" s="8">
        <v>1887</v>
      </c>
      <c r="D845" s="9">
        <v>45425</v>
      </c>
      <c r="E845" s="13" t="str">
        <f>+HYPERLINK("http://trademark.i-assist.jp/data/china/image_1887th/76829579.pdf","76829579")</f>
        <v>76829579</v>
      </c>
      <c r="F845" s="7" t="s">
        <v>2311</v>
      </c>
      <c r="G845" s="7" t="s">
        <v>2312</v>
      </c>
      <c r="H845" s="7" t="s">
        <v>2313</v>
      </c>
      <c r="I845" s="9">
        <v>45331</v>
      </c>
    </row>
    <row r="846" spans="1:9" ht="27" x14ac:dyDescent="0.15">
      <c r="A846" s="6">
        <v>845</v>
      </c>
      <c r="B846" s="7" t="s">
        <v>8</v>
      </c>
      <c r="C846" s="8">
        <v>1887</v>
      </c>
      <c r="D846" s="9">
        <v>45425</v>
      </c>
      <c r="E846" s="13" t="str">
        <f>+HYPERLINK("http://trademark.i-assist.jp/data/china/image_1887th/76829585.pdf","76829585")</f>
        <v>76829585</v>
      </c>
      <c r="F846" s="7" t="s">
        <v>2314</v>
      </c>
      <c r="G846" s="7" t="s">
        <v>2315</v>
      </c>
      <c r="H846" s="7" t="s">
        <v>2316</v>
      </c>
      <c r="I846" s="9">
        <v>45331</v>
      </c>
    </row>
    <row r="847" spans="1:9" ht="27" x14ac:dyDescent="0.15">
      <c r="A847" s="6">
        <v>846</v>
      </c>
      <c r="B847" s="7" t="s">
        <v>8</v>
      </c>
      <c r="C847" s="8">
        <v>1887</v>
      </c>
      <c r="D847" s="9">
        <v>45425</v>
      </c>
      <c r="E847" s="13" t="str">
        <f>+HYPERLINK("http://trademark.i-assist.jp/data/china/image_1887th/76829640.pdf","76829640")</f>
        <v>76829640</v>
      </c>
      <c r="F847" s="7" t="s">
        <v>2317</v>
      </c>
      <c r="G847" s="7" t="s">
        <v>2318</v>
      </c>
      <c r="H847" s="7" t="s">
        <v>2319</v>
      </c>
      <c r="I847" s="9">
        <v>45331</v>
      </c>
    </row>
    <row r="848" spans="1:9" ht="27" x14ac:dyDescent="0.15">
      <c r="A848" s="6">
        <v>847</v>
      </c>
      <c r="B848" s="7" t="s">
        <v>8</v>
      </c>
      <c r="C848" s="8">
        <v>1887</v>
      </c>
      <c r="D848" s="9">
        <v>45425</v>
      </c>
      <c r="E848" s="13" t="str">
        <f>+HYPERLINK("http://trademark.i-assist.jp/data/china/image_1887th/76830066.pdf","76830066")</f>
        <v>76830066</v>
      </c>
      <c r="F848" s="7" t="s">
        <v>2320</v>
      </c>
      <c r="G848" s="7" t="s">
        <v>2321</v>
      </c>
      <c r="H848" s="7" t="s">
        <v>2322</v>
      </c>
      <c r="I848" s="9">
        <v>45340</v>
      </c>
    </row>
    <row r="849" spans="1:9" ht="27" x14ac:dyDescent="0.15">
      <c r="A849" s="6">
        <v>848</v>
      </c>
      <c r="B849" s="7" t="s">
        <v>8</v>
      </c>
      <c r="C849" s="8">
        <v>1887</v>
      </c>
      <c r="D849" s="9">
        <v>45425</v>
      </c>
      <c r="E849" s="13" t="str">
        <f>+HYPERLINK("http://trademark.i-assist.jp/data/china/image_1887th/76830315.pdf","76830315")</f>
        <v>76830315</v>
      </c>
      <c r="F849" s="7" t="s">
        <v>2323</v>
      </c>
      <c r="G849" s="7" t="s">
        <v>2324</v>
      </c>
      <c r="H849" s="7" t="s">
        <v>2325</v>
      </c>
      <c r="I849" s="9">
        <v>45340</v>
      </c>
    </row>
    <row r="850" spans="1:9" ht="27" x14ac:dyDescent="0.15">
      <c r="A850" s="6">
        <v>849</v>
      </c>
      <c r="B850" s="7" t="s">
        <v>8</v>
      </c>
      <c r="C850" s="8">
        <v>1887</v>
      </c>
      <c r="D850" s="9">
        <v>45425</v>
      </c>
      <c r="E850" s="13" t="str">
        <f>+HYPERLINK("http://trademark.i-assist.jp/data/china/image_1887th/76830336.pdf","76830336")</f>
        <v>76830336</v>
      </c>
      <c r="F850" s="7" t="s">
        <v>2326</v>
      </c>
      <c r="G850" s="7" t="s">
        <v>2327</v>
      </c>
      <c r="H850" s="7" t="s">
        <v>2328</v>
      </c>
      <c r="I850" s="9">
        <v>45340</v>
      </c>
    </row>
    <row r="851" spans="1:9" x14ac:dyDescent="0.15">
      <c r="A851" s="6">
        <v>850</v>
      </c>
      <c r="B851" s="7" t="s">
        <v>8</v>
      </c>
      <c r="C851" s="8">
        <v>1887</v>
      </c>
      <c r="D851" s="9">
        <v>45425</v>
      </c>
      <c r="E851" s="13" t="str">
        <f>+HYPERLINK("http://trademark.i-assist.jp/data/china/image_1887th/76830872.pdf","76830872")</f>
        <v>76830872</v>
      </c>
      <c r="F851" s="7" t="s">
        <v>2329</v>
      </c>
      <c r="G851" s="7" t="s">
        <v>2330</v>
      </c>
      <c r="H851" s="7" t="s">
        <v>2331</v>
      </c>
      <c r="I851" s="9">
        <v>45340</v>
      </c>
    </row>
    <row r="852" spans="1:9" x14ac:dyDescent="0.15">
      <c r="A852" s="6">
        <v>851</v>
      </c>
      <c r="B852" s="7" t="s">
        <v>8</v>
      </c>
      <c r="C852" s="8">
        <v>1887</v>
      </c>
      <c r="D852" s="9">
        <v>45425</v>
      </c>
      <c r="E852" s="13" t="str">
        <f>+HYPERLINK("http://trademark.i-assist.jp/data/china/image_1887th/76830989.pdf","76830989")</f>
        <v>76830989</v>
      </c>
      <c r="F852" s="7" t="s">
        <v>2332</v>
      </c>
      <c r="G852" s="7" t="s">
        <v>689</v>
      </c>
      <c r="H852" s="7" t="s">
        <v>2333</v>
      </c>
      <c r="I852" s="9">
        <v>45340</v>
      </c>
    </row>
    <row r="853" spans="1:9" x14ac:dyDescent="0.15">
      <c r="A853" s="6">
        <v>852</v>
      </c>
      <c r="B853" s="7" t="s">
        <v>8</v>
      </c>
      <c r="C853" s="8">
        <v>1887</v>
      </c>
      <c r="D853" s="9">
        <v>45425</v>
      </c>
      <c r="E853" s="13" t="str">
        <f>+HYPERLINK("http://trademark.i-assist.jp/data/china/image_1887th/76831041.pdf","76831041")</f>
        <v>76831041</v>
      </c>
      <c r="F853" s="7" t="s">
        <v>2334</v>
      </c>
      <c r="G853" s="7" t="s">
        <v>2335</v>
      </c>
      <c r="H853" s="7" t="s">
        <v>2336</v>
      </c>
      <c r="I853" s="9">
        <v>45340</v>
      </c>
    </row>
    <row r="854" spans="1:9" x14ac:dyDescent="0.15">
      <c r="A854" s="6">
        <v>853</v>
      </c>
      <c r="B854" s="7" t="s">
        <v>8</v>
      </c>
      <c r="C854" s="8">
        <v>1887</v>
      </c>
      <c r="D854" s="9">
        <v>45425</v>
      </c>
      <c r="E854" s="13" t="str">
        <f>+HYPERLINK("http://trademark.i-assist.jp/data/china/image_1887th/76831290.pdf","76831290")</f>
        <v>76831290</v>
      </c>
      <c r="F854" s="7" t="s">
        <v>2337</v>
      </c>
      <c r="G854" s="7" t="s">
        <v>2338</v>
      </c>
      <c r="H854" s="7" t="s">
        <v>2339</v>
      </c>
      <c r="I854" s="9">
        <v>45340</v>
      </c>
    </row>
    <row r="855" spans="1:9" x14ac:dyDescent="0.15">
      <c r="A855" s="6">
        <v>854</v>
      </c>
      <c r="B855" s="7" t="s">
        <v>8</v>
      </c>
      <c r="C855" s="8">
        <v>1887</v>
      </c>
      <c r="D855" s="9">
        <v>45425</v>
      </c>
      <c r="E855" s="13" t="str">
        <f>+HYPERLINK("http://trademark.i-assist.jp/data/china/image_1887th/76831977.pdf","76831977")</f>
        <v>76831977</v>
      </c>
      <c r="F855" s="7" t="s">
        <v>2340</v>
      </c>
      <c r="G855" s="7" t="s">
        <v>2341</v>
      </c>
      <c r="H855" s="7" t="s">
        <v>2342</v>
      </c>
      <c r="I855" s="9">
        <v>45340</v>
      </c>
    </row>
    <row r="856" spans="1:9" x14ac:dyDescent="0.15">
      <c r="A856" s="6">
        <v>855</v>
      </c>
      <c r="B856" s="7" t="s">
        <v>8</v>
      </c>
      <c r="C856" s="8">
        <v>1887</v>
      </c>
      <c r="D856" s="9">
        <v>45425</v>
      </c>
      <c r="E856" s="13" t="str">
        <f>+HYPERLINK("http://trademark.i-assist.jp/data/china/image_1887th/76832068.pdf","76832068")</f>
        <v>76832068</v>
      </c>
      <c r="F856" s="7" t="s">
        <v>2343</v>
      </c>
      <c r="G856" s="7" t="s">
        <v>2344</v>
      </c>
      <c r="H856" s="7" t="s">
        <v>2345</v>
      </c>
      <c r="I856" s="9">
        <v>45340</v>
      </c>
    </row>
    <row r="857" spans="1:9" x14ac:dyDescent="0.15">
      <c r="A857" s="6">
        <v>856</v>
      </c>
      <c r="B857" s="7" t="s">
        <v>8</v>
      </c>
      <c r="C857" s="8">
        <v>1887</v>
      </c>
      <c r="D857" s="9">
        <v>45425</v>
      </c>
      <c r="E857" s="13" t="str">
        <f>+HYPERLINK("http://trademark.i-assist.jp/data/china/image_1887th/76832406.pdf","76832406")</f>
        <v>76832406</v>
      </c>
      <c r="F857" s="7" t="s">
        <v>2346</v>
      </c>
      <c r="G857" s="7" t="s">
        <v>2347</v>
      </c>
      <c r="H857" s="7" t="s">
        <v>2348</v>
      </c>
      <c r="I857" s="9">
        <v>45340</v>
      </c>
    </row>
    <row r="858" spans="1:9" x14ac:dyDescent="0.15">
      <c r="A858" s="6">
        <v>857</v>
      </c>
      <c r="B858" s="7" t="s">
        <v>8</v>
      </c>
      <c r="C858" s="8">
        <v>1887</v>
      </c>
      <c r="D858" s="9">
        <v>45425</v>
      </c>
      <c r="E858" s="13" t="str">
        <f>+HYPERLINK("http://trademark.i-assist.jp/data/china/image_1887th/76832734A.pdf","76832734A")</f>
        <v>76832734A</v>
      </c>
      <c r="F858" s="7" t="s">
        <v>2349</v>
      </c>
      <c r="G858" s="7" t="s">
        <v>2350</v>
      </c>
      <c r="H858" s="7" t="s">
        <v>2351</v>
      </c>
      <c r="I858" s="9">
        <v>45340</v>
      </c>
    </row>
    <row r="859" spans="1:9" x14ac:dyDescent="0.15">
      <c r="A859" s="6">
        <v>858</v>
      </c>
      <c r="B859" s="7" t="s">
        <v>8</v>
      </c>
      <c r="C859" s="8">
        <v>1887</v>
      </c>
      <c r="D859" s="9">
        <v>45425</v>
      </c>
      <c r="E859" s="13" t="str">
        <f>+HYPERLINK("http://trademark.i-assist.jp/data/china/image_1887th/76833068.pdf","76833068")</f>
        <v>76833068</v>
      </c>
      <c r="F859" s="7" t="s">
        <v>2352</v>
      </c>
      <c r="G859" s="7" t="s">
        <v>2353</v>
      </c>
      <c r="H859" s="7" t="s">
        <v>2354</v>
      </c>
      <c r="I859" s="9">
        <v>45340</v>
      </c>
    </row>
    <row r="860" spans="1:9" x14ac:dyDescent="0.15">
      <c r="A860" s="6">
        <v>859</v>
      </c>
      <c r="B860" s="7" t="s">
        <v>8</v>
      </c>
      <c r="C860" s="8">
        <v>1887</v>
      </c>
      <c r="D860" s="9">
        <v>45425</v>
      </c>
      <c r="E860" s="13" t="str">
        <f>+HYPERLINK("http://trademark.i-assist.jp/data/china/image_1887th/76833283.pdf","76833283")</f>
        <v>76833283</v>
      </c>
      <c r="F860" s="7" t="s">
        <v>2355</v>
      </c>
      <c r="G860" s="7" t="s">
        <v>2356</v>
      </c>
      <c r="H860" s="7" t="s">
        <v>2357</v>
      </c>
      <c r="I860" s="9">
        <v>45340</v>
      </c>
    </row>
    <row r="861" spans="1:9" ht="27" x14ac:dyDescent="0.15">
      <c r="A861" s="6">
        <v>860</v>
      </c>
      <c r="B861" s="7" t="s">
        <v>8</v>
      </c>
      <c r="C861" s="8">
        <v>1887</v>
      </c>
      <c r="D861" s="9">
        <v>45425</v>
      </c>
      <c r="E861" s="13" t="str">
        <f>+HYPERLINK("http://trademark.i-assist.jp/data/china/image_1887th/76834152.pdf","76834152")</f>
        <v>76834152</v>
      </c>
      <c r="F861" s="7" t="s">
        <v>54</v>
      </c>
      <c r="G861" s="7" t="s">
        <v>2358</v>
      </c>
      <c r="H861" s="7" t="s">
        <v>2359</v>
      </c>
      <c r="I861" s="9">
        <v>45340</v>
      </c>
    </row>
    <row r="862" spans="1:9" x14ac:dyDescent="0.15">
      <c r="A862" s="6">
        <v>861</v>
      </c>
      <c r="B862" s="7" t="s">
        <v>8</v>
      </c>
      <c r="C862" s="8">
        <v>1887</v>
      </c>
      <c r="D862" s="9">
        <v>45425</v>
      </c>
      <c r="E862" s="13" t="str">
        <f>+HYPERLINK("http://trademark.i-assist.jp/data/china/image_1887th/76834172.pdf","76834172")</f>
        <v>76834172</v>
      </c>
      <c r="F862" s="7" t="s">
        <v>2360</v>
      </c>
      <c r="G862" s="7" t="s">
        <v>2361</v>
      </c>
      <c r="H862" s="7" t="s">
        <v>2362</v>
      </c>
      <c r="I862" s="9">
        <v>45340</v>
      </c>
    </row>
    <row r="863" spans="1:9" x14ac:dyDescent="0.15">
      <c r="A863" s="6">
        <v>862</v>
      </c>
      <c r="B863" s="7" t="s">
        <v>8</v>
      </c>
      <c r="C863" s="8">
        <v>1887</v>
      </c>
      <c r="D863" s="9">
        <v>45425</v>
      </c>
      <c r="E863" s="13" t="str">
        <f>+HYPERLINK("http://trademark.i-assist.jp/data/china/image_1887th/76834398.pdf","76834398")</f>
        <v>76834398</v>
      </c>
      <c r="F863" s="7" t="s">
        <v>2363</v>
      </c>
      <c r="G863" s="7" t="s">
        <v>2364</v>
      </c>
      <c r="H863" s="7" t="s">
        <v>2365</v>
      </c>
      <c r="I863" s="9">
        <v>45340</v>
      </c>
    </row>
    <row r="864" spans="1:9" x14ac:dyDescent="0.15">
      <c r="A864" s="6">
        <v>863</v>
      </c>
      <c r="B864" s="7" t="s">
        <v>8</v>
      </c>
      <c r="C864" s="8">
        <v>1887</v>
      </c>
      <c r="D864" s="9">
        <v>45425</v>
      </c>
      <c r="E864" s="13" t="str">
        <f>+HYPERLINK("http://trademark.i-assist.jp/data/china/image_1887th/76834787.pdf","76834787")</f>
        <v>76834787</v>
      </c>
      <c r="F864" s="7" t="s">
        <v>2366</v>
      </c>
      <c r="G864" s="7" t="s">
        <v>2367</v>
      </c>
      <c r="H864" s="7" t="s">
        <v>2368</v>
      </c>
      <c r="I864" s="9">
        <v>45340</v>
      </c>
    </row>
    <row r="865" spans="1:9" ht="27" x14ac:dyDescent="0.15">
      <c r="A865" s="6">
        <v>864</v>
      </c>
      <c r="B865" s="7" t="s">
        <v>8</v>
      </c>
      <c r="C865" s="8">
        <v>1887</v>
      </c>
      <c r="D865" s="9">
        <v>45425</v>
      </c>
      <c r="E865" s="13" t="str">
        <f>+HYPERLINK("http://trademark.i-assist.jp/data/china/image_1887th/76834865.pdf","76834865")</f>
        <v>76834865</v>
      </c>
      <c r="F865" s="7" t="s">
        <v>2369</v>
      </c>
      <c r="G865" s="7" t="s">
        <v>2370</v>
      </c>
      <c r="H865" s="7" t="s">
        <v>2371</v>
      </c>
      <c r="I865" s="9">
        <v>45340</v>
      </c>
    </row>
    <row r="866" spans="1:9" x14ac:dyDescent="0.15">
      <c r="A866" s="6">
        <v>865</v>
      </c>
      <c r="B866" s="7" t="s">
        <v>8</v>
      </c>
      <c r="C866" s="8">
        <v>1887</v>
      </c>
      <c r="D866" s="9">
        <v>45425</v>
      </c>
      <c r="E866" s="13" t="str">
        <f>+HYPERLINK("http://trademark.i-assist.jp/data/china/image_1887th/76834948.pdf","76834948")</f>
        <v>76834948</v>
      </c>
      <c r="F866" s="7" t="s">
        <v>2372</v>
      </c>
      <c r="G866" s="7" t="s">
        <v>316</v>
      </c>
      <c r="H866" s="7" t="s">
        <v>2373</v>
      </c>
      <c r="I866" s="9">
        <v>45340</v>
      </c>
    </row>
    <row r="867" spans="1:9" x14ac:dyDescent="0.15">
      <c r="A867" s="6">
        <v>866</v>
      </c>
      <c r="B867" s="7" t="s">
        <v>8</v>
      </c>
      <c r="C867" s="8">
        <v>1887</v>
      </c>
      <c r="D867" s="9">
        <v>45425</v>
      </c>
      <c r="E867" s="13" t="str">
        <f>+HYPERLINK("http://trademark.i-assist.jp/data/china/image_1887th/76835220.pdf","76835220")</f>
        <v>76835220</v>
      </c>
      <c r="F867" s="7" t="s">
        <v>2374</v>
      </c>
      <c r="G867" s="7" t="s">
        <v>2375</v>
      </c>
      <c r="H867" s="7" t="s">
        <v>2376</v>
      </c>
      <c r="I867" s="9">
        <v>45340</v>
      </c>
    </row>
    <row r="868" spans="1:9" x14ac:dyDescent="0.15">
      <c r="A868" s="6">
        <v>867</v>
      </c>
      <c r="B868" s="7" t="s">
        <v>8</v>
      </c>
      <c r="C868" s="8">
        <v>1887</v>
      </c>
      <c r="D868" s="9">
        <v>45425</v>
      </c>
      <c r="E868" s="13" t="str">
        <f>+HYPERLINK("http://trademark.i-assist.jp/data/china/image_1887th/76835331.pdf","76835331")</f>
        <v>76835331</v>
      </c>
      <c r="F868" s="7" t="s">
        <v>2377</v>
      </c>
      <c r="G868" s="7" t="s">
        <v>2378</v>
      </c>
      <c r="H868" s="7" t="s">
        <v>2379</v>
      </c>
      <c r="I868" s="9">
        <v>45340</v>
      </c>
    </row>
    <row r="869" spans="1:9" x14ac:dyDescent="0.15">
      <c r="A869" s="6">
        <v>868</v>
      </c>
      <c r="B869" s="7" t="s">
        <v>8</v>
      </c>
      <c r="C869" s="8">
        <v>1887</v>
      </c>
      <c r="D869" s="9">
        <v>45425</v>
      </c>
      <c r="E869" s="13" t="str">
        <f>+HYPERLINK("http://trademark.i-assist.jp/data/china/image_1887th/76835376.pdf","76835376")</f>
        <v>76835376</v>
      </c>
      <c r="F869" s="7" t="s">
        <v>2380</v>
      </c>
      <c r="G869" s="7" t="s">
        <v>2381</v>
      </c>
      <c r="H869" s="7" t="s">
        <v>2382</v>
      </c>
      <c r="I869" s="9">
        <v>45340</v>
      </c>
    </row>
    <row r="870" spans="1:9" x14ac:dyDescent="0.15">
      <c r="A870" s="6">
        <v>869</v>
      </c>
      <c r="B870" s="7" t="s">
        <v>8</v>
      </c>
      <c r="C870" s="8">
        <v>1887</v>
      </c>
      <c r="D870" s="9">
        <v>45425</v>
      </c>
      <c r="E870" s="13" t="str">
        <f>+HYPERLINK("http://trademark.i-assist.jp/data/china/image_1887th/76835392.pdf","76835392")</f>
        <v>76835392</v>
      </c>
      <c r="F870" s="7" t="s">
        <v>2383</v>
      </c>
      <c r="G870" s="7" t="s">
        <v>2384</v>
      </c>
      <c r="H870" s="7" t="s">
        <v>2385</v>
      </c>
      <c r="I870" s="9">
        <v>45340</v>
      </c>
    </row>
    <row r="871" spans="1:9" x14ac:dyDescent="0.15">
      <c r="A871" s="6">
        <v>870</v>
      </c>
      <c r="B871" s="7" t="s">
        <v>8</v>
      </c>
      <c r="C871" s="8">
        <v>1887</v>
      </c>
      <c r="D871" s="9">
        <v>45425</v>
      </c>
      <c r="E871" s="13" t="str">
        <f>+HYPERLINK("http://trademark.i-assist.jp/data/china/image_1887th/76835962.pdf","76835962")</f>
        <v>76835962</v>
      </c>
      <c r="F871" s="7" t="s">
        <v>2386</v>
      </c>
      <c r="G871" s="7" t="s">
        <v>2338</v>
      </c>
      <c r="H871" s="7" t="s">
        <v>2387</v>
      </c>
      <c r="I871" s="9">
        <v>45340</v>
      </c>
    </row>
    <row r="872" spans="1:9" x14ac:dyDescent="0.15">
      <c r="A872" s="6">
        <v>871</v>
      </c>
      <c r="B872" s="7" t="s">
        <v>8</v>
      </c>
      <c r="C872" s="8">
        <v>1887</v>
      </c>
      <c r="D872" s="9">
        <v>45425</v>
      </c>
      <c r="E872" s="13" t="str">
        <f>+HYPERLINK("http://trademark.i-assist.jp/data/china/image_1887th/76836639.pdf","76836639")</f>
        <v>76836639</v>
      </c>
      <c r="F872" s="7" t="s">
        <v>2388</v>
      </c>
      <c r="G872" s="7" t="s">
        <v>2389</v>
      </c>
      <c r="H872" s="7" t="s">
        <v>2390</v>
      </c>
      <c r="I872" s="9">
        <v>45340</v>
      </c>
    </row>
    <row r="873" spans="1:9" x14ac:dyDescent="0.15">
      <c r="A873" s="6">
        <v>872</v>
      </c>
      <c r="B873" s="7" t="s">
        <v>8</v>
      </c>
      <c r="C873" s="8">
        <v>1887</v>
      </c>
      <c r="D873" s="9">
        <v>45425</v>
      </c>
      <c r="E873" s="13" t="str">
        <f>+HYPERLINK("http://trademark.i-assist.jp/data/china/image_1887th/76836699.pdf","76836699")</f>
        <v>76836699</v>
      </c>
      <c r="F873" s="7" t="s">
        <v>2391</v>
      </c>
      <c r="G873" s="7" t="s">
        <v>2392</v>
      </c>
      <c r="H873" s="7" t="s">
        <v>2393</v>
      </c>
      <c r="I873" s="9">
        <v>45340</v>
      </c>
    </row>
    <row r="874" spans="1:9" x14ac:dyDescent="0.15">
      <c r="A874" s="6">
        <v>873</v>
      </c>
      <c r="B874" s="7" t="s">
        <v>8</v>
      </c>
      <c r="C874" s="8">
        <v>1887</v>
      </c>
      <c r="D874" s="9">
        <v>45425</v>
      </c>
      <c r="E874" s="13" t="str">
        <f>+HYPERLINK("http://trademark.i-assist.jp/data/china/image_1887th/76836869.pdf","76836869")</f>
        <v>76836869</v>
      </c>
      <c r="F874" s="7" t="s">
        <v>2394</v>
      </c>
      <c r="G874" s="7" t="s">
        <v>316</v>
      </c>
      <c r="H874" s="7" t="s">
        <v>2395</v>
      </c>
      <c r="I874" s="9">
        <v>45340</v>
      </c>
    </row>
    <row r="875" spans="1:9" x14ac:dyDescent="0.15">
      <c r="A875" s="6">
        <v>874</v>
      </c>
      <c r="B875" s="7" t="s">
        <v>8</v>
      </c>
      <c r="C875" s="8">
        <v>1887</v>
      </c>
      <c r="D875" s="9">
        <v>45425</v>
      </c>
      <c r="E875" s="13" t="str">
        <f>+HYPERLINK("http://trademark.i-assist.jp/data/china/image_1887th/76837003.pdf","76837003")</f>
        <v>76837003</v>
      </c>
      <c r="F875" s="7" t="s">
        <v>2396</v>
      </c>
      <c r="G875" s="7" t="s">
        <v>2397</v>
      </c>
      <c r="H875" s="7" t="s">
        <v>2398</v>
      </c>
      <c r="I875" s="9">
        <v>45340</v>
      </c>
    </row>
    <row r="876" spans="1:9" x14ac:dyDescent="0.15">
      <c r="A876" s="6">
        <v>875</v>
      </c>
      <c r="B876" s="7" t="s">
        <v>8</v>
      </c>
      <c r="C876" s="8">
        <v>1887</v>
      </c>
      <c r="D876" s="9">
        <v>45425</v>
      </c>
      <c r="E876" s="13" t="str">
        <f>+HYPERLINK("http://trademark.i-assist.jp/data/china/image_1887th/76837038.pdf","76837038")</f>
        <v>76837038</v>
      </c>
      <c r="F876" s="7" t="s">
        <v>2399</v>
      </c>
      <c r="G876" s="7" t="s">
        <v>2364</v>
      </c>
      <c r="H876" s="7" t="s">
        <v>2400</v>
      </c>
      <c r="I876" s="9">
        <v>45340</v>
      </c>
    </row>
    <row r="877" spans="1:9" x14ac:dyDescent="0.15">
      <c r="A877" s="6">
        <v>876</v>
      </c>
      <c r="B877" s="7" t="s">
        <v>8</v>
      </c>
      <c r="C877" s="8">
        <v>1887</v>
      </c>
      <c r="D877" s="9">
        <v>45425</v>
      </c>
      <c r="E877" s="13" t="str">
        <f>+HYPERLINK("http://trademark.i-assist.jp/data/china/image_1887th/76837141.pdf","76837141")</f>
        <v>76837141</v>
      </c>
      <c r="F877" s="7" t="s">
        <v>2401</v>
      </c>
      <c r="G877" s="7" t="s">
        <v>2338</v>
      </c>
      <c r="H877" s="7" t="s">
        <v>2402</v>
      </c>
      <c r="I877" s="9">
        <v>45340</v>
      </c>
    </row>
    <row r="878" spans="1:9" x14ac:dyDescent="0.15">
      <c r="A878" s="6">
        <v>877</v>
      </c>
      <c r="B878" s="7" t="s">
        <v>8</v>
      </c>
      <c r="C878" s="8">
        <v>1887</v>
      </c>
      <c r="D878" s="9">
        <v>45425</v>
      </c>
      <c r="E878" s="13" t="str">
        <f>+HYPERLINK("http://trademark.i-assist.jp/data/china/image_1887th/76837770.pdf","76837770")</f>
        <v>76837770</v>
      </c>
      <c r="F878" s="7" t="s">
        <v>2403</v>
      </c>
      <c r="G878" s="7" t="s">
        <v>2335</v>
      </c>
      <c r="H878" s="7" t="s">
        <v>2404</v>
      </c>
      <c r="I878" s="9">
        <v>45340</v>
      </c>
    </row>
    <row r="879" spans="1:9" x14ac:dyDescent="0.15">
      <c r="A879" s="6">
        <v>878</v>
      </c>
      <c r="B879" s="7" t="s">
        <v>8</v>
      </c>
      <c r="C879" s="8">
        <v>1887</v>
      </c>
      <c r="D879" s="9">
        <v>45425</v>
      </c>
      <c r="E879" s="13" t="str">
        <f>+HYPERLINK("http://trademark.i-assist.jp/data/china/image_1887th/76838191.pdf","76838191")</f>
        <v>76838191</v>
      </c>
      <c r="F879" s="7" t="s">
        <v>2405</v>
      </c>
      <c r="G879" s="7" t="s">
        <v>2406</v>
      </c>
      <c r="H879" s="7" t="s">
        <v>2407</v>
      </c>
      <c r="I879" s="9">
        <v>45340</v>
      </c>
    </row>
    <row r="880" spans="1:9" x14ac:dyDescent="0.15">
      <c r="A880" s="6">
        <v>879</v>
      </c>
      <c r="B880" s="7" t="s">
        <v>8</v>
      </c>
      <c r="C880" s="8">
        <v>1887</v>
      </c>
      <c r="D880" s="9">
        <v>45425</v>
      </c>
      <c r="E880" s="13" t="str">
        <f>+HYPERLINK("http://trademark.i-assist.jp/data/china/image_1887th/76838242.pdf","76838242")</f>
        <v>76838242</v>
      </c>
      <c r="F880" s="7" t="s">
        <v>2408</v>
      </c>
      <c r="G880" s="7" t="s">
        <v>2409</v>
      </c>
      <c r="H880" s="7" t="s">
        <v>2410</v>
      </c>
      <c r="I880" s="9">
        <v>45340</v>
      </c>
    </row>
    <row r="881" spans="1:9" x14ac:dyDescent="0.15">
      <c r="A881" s="6">
        <v>880</v>
      </c>
      <c r="B881" s="7" t="s">
        <v>8</v>
      </c>
      <c r="C881" s="8">
        <v>1887</v>
      </c>
      <c r="D881" s="9">
        <v>45425</v>
      </c>
      <c r="E881" s="13" t="str">
        <f>+HYPERLINK("http://trademark.i-assist.jp/data/china/image_1887th/76838310.pdf","76838310")</f>
        <v>76838310</v>
      </c>
      <c r="F881" s="7" t="s">
        <v>2411</v>
      </c>
      <c r="G881" s="7" t="s">
        <v>2412</v>
      </c>
      <c r="H881" s="7" t="s">
        <v>2413</v>
      </c>
      <c r="I881" s="9">
        <v>45340</v>
      </c>
    </row>
    <row r="882" spans="1:9" x14ac:dyDescent="0.15">
      <c r="A882" s="6">
        <v>881</v>
      </c>
      <c r="B882" s="7" t="s">
        <v>8</v>
      </c>
      <c r="C882" s="8">
        <v>1887</v>
      </c>
      <c r="D882" s="9">
        <v>45425</v>
      </c>
      <c r="E882" s="13" t="str">
        <f>+HYPERLINK("http://trademark.i-assist.jp/data/china/image_1887th/76838334.pdf","76838334")</f>
        <v>76838334</v>
      </c>
      <c r="F882" s="7" t="s">
        <v>2414</v>
      </c>
      <c r="G882" s="7" t="s">
        <v>2415</v>
      </c>
      <c r="H882" s="7" t="s">
        <v>2416</v>
      </c>
      <c r="I882" s="9">
        <v>45340</v>
      </c>
    </row>
    <row r="883" spans="1:9" ht="27" x14ac:dyDescent="0.15">
      <c r="A883" s="6">
        <v>882</v>
      </c>
      <c r="B883" s="7" t="s">
        <v>8</v>
      </c>
      <c r="C883" s="8">
        <v>1887</v>
      </c>
      <c r="D883" s="9">
        <v>45425</v>
      </c>
      <c r="E883" s="13" t="str">
        <f>+HYPERLINK("http://trademark.i-assist.jp/data/china/image_1887th/76838501.pdf","76838501")</f>
        <v>76838501</v>
      </c>
      <c r="F883" s="7" t="s">
        <v>2417</v>
      </c>
      <c r="G883" s="7" t="s">
        <v>2418</v>
      </c>
      <c r="H883" s="7" t="s">
        <v>2419</v>
      </c>
      <c r="I883" s="9">
        <v>45340</v>
      </c>
    </row>
    <row r="884" spans="1:9" x14ac:dyDescent="0.15">
      <c r="A884" s="6">
        <v>883</v>
      </c>
      <c r="B884" s="7" t="s">
        <v>8</v>
      </c>
      <c r="C884" s="8">
        <v>1887</v>
      </c>
      <c r="D884" s="9">
        <v>45425</v>
      </c>
      <c r="E884" s="13" t="str">
        <f>+HYPERLINK("http://trademark.i-assist.jp/data/china/image_1887th/76838541.pdf","76838541")</f>
        <v>76838541</v>
      </c>
      <c r="F884" s="7" t="s">
        <v>2420</v>
      </c>
      <c r="G884" s="7" t="s">
        <v>2421</v>
      </c>
      <c r="H884" s="7" t="s">
        <v>2422</v>
      </c>
      <c r="I884" s="9">
        <v>45340</v>
      </c>
    </row>
    <row r="885" spans="1:9" x14ac:dyDescent="0.15">
      <c r="A885" s="6">
        <v>884</v>
      </c>
      <c r="B885" s="7" t="s">
        <v>8</v>
      </c>
      <c r="C885" s="8">
        <v>1887</v>
      </c>
      <c r="D885" s="9">
        <v>45425</v>
      </c>
      <c r="E885" s="13" t="str">
        <f>+HYPERLINK("http://trademark.i-assist.jp/data/china/image_1887th/76838701.pdf","76838701")</f>
        <v>76838701</v>
      </c>
      <c r="F885" s="7" t="s">
        <v>2423</v>
      </c>
      <c r="G885" s="7" t="s">
        <v>2424</v>
      </c>
      <c r="H885" s="7" t="s">
        <v>2425</v>
      </c>
      <c r="I885" s="9">
        <v>45340</v>
      </c>
    </row>
    <row r="886" spans="1:9" ht="27" x14ac:dyDescent="0.15">
      <c r="A886" s="6">
        <v>885</v>
      </c>
      <c r="B886" s="7" t="s">
        <v>8</v>
      </c>
      <c r="C886" s="8">
        <v>1887</v>
      </c>
      <c r="D886" s="9">
        <v>45425</v>
      </c>
      <c r="E886" s="13" t="str">
        <f>+HYPERLINK("http://trademark.i-assist.jp/data/china/image_1887th/76838751.pdf","76838751")</f>
        <v>76838751</v>
      </c>
      <c r="F886" s="7" t="s">
        <v>2426</v>
      </c>
      <c r="G886" s="7" t="s">
        <v>2427</v>
      </c>
      <c r="H886" s="7" t="s">
        <v>2428</v>
      </c>
      <c r="I886" s="9">
        <v>45340</v>
      </c>
    </row>
    <row r="887" spans="1:9" ht="27" x14ac:dyDescent="0.15">
      <c r="A887" s="6">
        <v>886</v>
      </c>
      <c r="B887" s="7" t="s">
        <v>8</v>
      </c>
      <c r="C887" s="8">
        <v>1887</v>
      </c>
      <c r="D887" s="9">
        <v>45425</v>
      </c>
      <c r="E887" s="13" t="str">
        <f>+HYPERLINK("http://trademark.i-assist.jp/data/china/image_1887th/76838873.pdf","76838873")</f>
        <v>76838873</v>
      </c>
      <c r="F887" s="7" t="s">
        <v>2429</v>
      </c>
      <c r="G887" s="7" t="s">
        <v>2430</v>
      </c>
      <c r="H887" s="7" t="s">
        <v>2431</v>
      </c>
      <c r="I887" s="9">
        <v>45340</v>
      </c>
    </row>
    <row r="888" spans="1:9" x14ac:dyDescent="0.15">
      <c r="A888" s="6">
        <v>887</v>
      </c>
      <c r="B888" s="7" t="s">
        <v>8</v>
      </c>
      <c r="C888" s="8">
        <v>1887</v>
      </c>
      <c r="D888" s="9">
        <v>45425</v>
      </c>
      <c r="E888" s="13" t="str">
        <f>+HYPERLINK("http://trademark.i-assist.jp/data/china/image_1887th/76839023.pdf","76839023")</f>
        <v>76839023</v>
      </c>
      <c r="F888" s="7" t="s">
        <v>2432</v>
      </c>
      <c r="G888" s="7" t="s">
        <v>2433</v>
      </c>
      <c r="H888" s="7" t="s">
        <v>2434</v>
      </c>
      <c r="I888" s="9">
        <v>45340</v>
      </c>
    </row>
    <row r="889" spans="1:9" x14ac:dyDescent="0.15">
      <c r="A889" s="6">
        <v>888</v>
      </c>
      <c r="B889" s="7" t="s">
        <v>8</v>
      </c>
      <c r="C889" s="8">
        <v>1887</v>
      </c>
      <c r="D889" s="9">
        <v>45425</v>
      </c>
      <c r="E889" s="13" t="str">
        <f>+HYPERLINK("http://trademark.i-assist.jp/data/china/image_1887th/76839154.pdf","76839154")</f>
        <v>76839154</v>
      </c>
      <c r="F889" s="7" t="s">
        <v>2435</v>
      </c>
      <c r="G889" s="7" t="s">
        <v>2436</v>
      </c>
      <c r="H889" s="7" t="s">
        <v>2437</v>
      </c>
      <c r="I889" s="9">
        <v>45340</v>
      </c>
    </row>
    <row r="890" spans="1:9" x14ac:dyDescent="0.15">
      <c r="A890" s="6">
        <v>889</v>
      </c>
      <c r="B890" s="7" t="s">
        <v>8</v>
      </c>
      <c r="C890" s="8">
        <v>1887</v>
      </c>
      <c r="D890" s="9">
        <v>45425</v>
      </c>
      <c r="E890" s="13" t="str">
        <f>+HYPERLINK("http://trademark.i-assist.jp/data/china/image_1887th/76839219.pdf","76839219")</f>
        <v>76839219</v>
      </c>
      <c r="F890" s="7" t="s">
        <v>2438</v>
      </c>
      <c r="G890" s="7" t="s">
        <v>2439</v>
      </c>
      <c r="H890" s="7" t="s">
        <v>2440</v>
      </c>
      <c r="I890" s="9">
        <v>45340</v>
      </c>
    </row>
    <row r="891" spans="1:9" ht="27" x14ac:dyDescent="0.15">
      <c r="A891" s="6">
        <v>890</v>
      </c>
      <c r="B891" s="7" t="s">
        <v>8</v>
      </c>
      <c r="C891" s="8">
        <v>1887</v>
      </c>
      <c r="D891" s="9">
        <v>45425</v>
      </c>
      <c r="E891" s="13" t="str">
        <f>+HYPERLINK("http://trademark.i-assist.jp/data/china/image_1887th/76839308.pdf","76839308")</f>
        <v>76839308</v>
      </c>
      <c r="F891" s="7" t="s">
        <v>2441</v>
      </c>
      <c r="G891" s="7" t="s">
        <v>2442</v>
      </c>
      <c r="H891" s="7" t="s">
        <v>2443</v>
      </c>
      <c r="I891" s="9">
        <v>45340</v>
      </c>
    </row>
    <row r="892" spans="1:9" x14ac:dyDescent="0.15">
      <c r="A892" s="6">
        <v>891</v>
      </c>
      <c r="B892" s="7" t="s">
        <v>8</v>
      </c>
      <c r="C892" s="8">
        <v>1887</v>
      </c>
      <c r="D892" s="9">
        <v>45425</v>
      </c>
      <c r="E892" s="13" t="str">
        <f>+HYPERLINK("http://trademark.i-assist.jp/data/china/image_1887th/76839347.pdf","76839347")</f>
        <v>76839347</v>
      </c>
      <c r="F892" s="7" t="s">
        <v>2444</v>
      </c>
      <c r="G892" s="7" t="s">
        <v>2406</v>
      </c>
      <c r="H892" s="7" t="s">
        <v>2445</v>
      </c>
      <c r="I892" s="9">
        <v>45340</v>
      </c>
    </row>
    <row r="893" spans="1:9" x14ac:dyDescent="0.15">
      <c r="A893" s="6">
        <v>892</v>
      </c>
      <c r="B893" s="7" t="s">
        <v>8</v>
      </c>
      <c r="C893" s="8">
        <v>1887</v>
      </c>
      <c r="D893" s="9">
        <v>45425</v>
      </c>
      <c r="E893" s="13" t="str">
        <f>+HYPERLINK("http://trademark.i-assist.jp/data/china/image_1887th/76839502.pdf","76839502")</f>
        <v>76839502</v>
      </c>
      <c r="F893" s="7" t="s">
        <v>2446</v>
      </c>
      <c r="G893" s="7" t="s">
        <v>2447</v>
      </c>
      <c r="H893" s="7" t="s">
        <v>2448</v>
      </c>
      <c r="I893" s="9">
        <v>45340</v>
      </c>
    </row>
    <row r="894" spans="1:9" ht="27" x14ac:dyDescent="0.15">
      <c r="A894" s="6">
        <v>893</v>
      </c>
      <c r="B894" s="7" t="s">
        <v>8</v>
      </c>
      <c r="C894" s="8">
        <v>1887</v>
      </c>
      <c r="D894" s="9">
        <v>45425</v>
      </c>
      <c r="E894" s="13" t="str">
        <f>+HYPERLINK("http://trademark.i-assist.jp/data/china/image_1887th/76839565.pdf","76839565")</f>
        <v>76839565</v>
      </c>
      <c r="F894" s="7" t="s">
        <v>2449</v>
      </c>
      <c r="G894" s="7" t="s">
        <v>2450</v>
      </c>
      <c r="H894" s="7" t="s">
        <v>2451</v>
      </c>
      <c r="I894" s="9">
        <v>45340</v>
      </c>
    </row>
    <row r="895" spans="1:9" x14ac:dyDescent="0.15">
      <c r="A895" s="6">
        <v>894</v>
      </c>
      <c r="B895" s="7" t="s">
        <v>8</v>
      </c>
      <c r="C895" s="8">
        <v>1887</v>
      </c>
      <c r="D895" s="9">
        <v>45425</v>
      </c>
      <c r="E895" s="13" t="str">
        <f>+HYPERLINK("http://trademark.i-assist.jp/data/china/image_1887th/76840094.pdf","76840094")</f>
        <v>76840094</v>
      </c>
      <c r="F895" s="7" t="s">
        <v>2452</v>
      </c>
      <c r="G895" s="7" t="s">
        <v>2453</v>
      </c>
      <c r="H895" s="7" t="s">
        <v>2454</v>
      </c>
      <c r="I895" s="9">
        <v>45340</v>
      </c>
    </row>
    <row r="896" spans="1:9" x14ac:dyDescent="0.15">
      <c r="A896" s="6">
        <v>895</v>
      </c>
      <c r="B896" s="7" t="s">
        <v>8</v>
      </c>
      <c r="C896" s="8">
        <v>1887</v>
      </c>
      <c r="D896" s="9">
        <v>45425</v>
      </c>
      <c r="E896" s="13" t="str">
        <f>+HYPERLINK("http://trademark.i-assist.jp/data/china/image_1887th/76840343.pdf","76840343")</f>
        <v>76840343</v>
      </c>
      <c r="F896" s="7" t="s">
        <v>2455</v>
      </c>
      <c r="G896" s="7" t="s">
        <v>2456</v>
      </c>
      <c r="H896" s="7" t="s">
        <v>2457</v>
      </c>
      <c r="I896" s="9">
        <v>45340</v>
      </c>
    </row>
    <row r="897" spans="1:9" x14ac:dyDescent="0.15">
      <c r="A897" s="6">
        <v>896</v>
      </c>
      <c r="B897" s="7" t="s">
        <v>8</v>
      </c>
      <c r="C897" s="8">
        <v>1887</v>
      </c>
      <c r="D897" s="9">
        <v>45425</v>
      </c>
      <c r="E897" s="13" t="str">
        <f>+HYPERLINK("http://trademark.i-assist.jp/data/china/image_1887th/76840603.pdf","76840603")</f>
        <v>76840603</v>
      </c>
      <c r="F897" s="7" t="s">
        <v>2458</v>
      </c>
      <c r="G897" s="7" t="s">
        <v>2459</v>
      </c>
      <c r="H897" s="7" t="s">
        <v>2460</v>
      </c>
      <c r="I897" s="9">
        <v>45340</v>
      </c>
    </row>
    <row r="898" spans="1:9" x14ac:dyDescent="0.15">
      <c r="A898" s="6">
        <v>897</v>
      </c>
      <c r="B898" s="7" t="s">
        <v>8</v>
      </c>
      <c r="C898" s="8">
        <v>1887</v>
      </c>
      <c r="D898" s="9">
        <v>45425</v>
      </c>
      <c r="E898" s="13" t="str">
        <f>+HYPERLINK("http://trademark.i-assist.jp/data/china/image_1887th/76841227.pdf","76841227")</f>
        <v>76841227</v>
      </c>
      <c r="F898" s="7" t="s">
        <v>2461</v>
      </c>
      <c r="G898" s="7" t="s">
        <v>2406</v>
      </c>
      <c r="H898" s="7" t="s">
        <v>2462</v>
      </c>
      <c r="I898" s="9">
        <v>45340</v>
      </c>
    </row>
    <row r="899" spans="1:9" x14ac:dyDescent="0.15">
      <c r="A899" s="6">
        <v>898</v>
      </c>
      <c r="B899" s="7" t="s">
        <v>8</v>
      </c>
      <c r="C899" s="8">
        <v>1887</v>
      </c>
      <c r="D899" s="9">
        <v>45425</v>
      </c>
      <c r="E899" s="13" t="str">
        <f>+HYPERLINK("http://trademark.i-assist.jp/data/china/image_1887th/76841304.pdf","76841304")</f>
        <v>76841304</v>
      </c>
      <c r="F899" s="7" t="s">
        <v>2463</v>
      </c>
      <c r="G899" s="7" t="s">
        <v>2464</v>
      </c>
      <c r="H899" s="7" t="s">
        <v>2465</v>
      </c>
      <c r="I899" s="9">
        <v>45340</v>
      </c>
    </row>
    <row r="900" spans="1:9" x14ac:dyDescent="0.15">
      <c r="A900" s="6">
        <v>899</v>
      </c>
      <c r="B900" s="7" t="s">
        <v>8</v>
      </c>
      <c r="C900" s="8">
        <v>1887</v>
      </c>
      <c r="D900" s="9">
        <v>45425</v>
      </c>
      <c r="E900" s="13" t="str">
        <f>+HYPERLINK("http://trademark.i-assist.jp/data/china/image_1887th/76841382.pdf","76841382")</f>
        <v>76841382</v>
      </c>
      <c r="F900" s="7" t="s">
        <v>2466</v>
      </c>
      <c r="G900" s="7" t="s">
        <v>2467</v>
      </c>
      <c r="H900" s="7" t="s">
        <v>2468</v>
      </c>
      <c r="I900" s="9">
        <v>45340</v>
      </c>
    </row>
    <row r="901" spans="1:9" ht="27" x14ac:dyDescent="0.15">
      <c r="A901" s="6">
        <v>900</v>
      </c>
      <c r="B901" s="7" t="s">
        <v>8</v>
      </c>
      <c r="C901" s="8">
        <v>1887</v>
      </c>
      <c r="D901" s="9">
        <v>45425</v>
      </c>
      <c r="E901" s="13" t="str">
        <f>+HYPERLINK("http://trademark.i-assist.jp/data/china/image_1887th/76841623.pdf","76841623")</f>
        <v>76841623</v>
      </c>
      <c r="F901" s="7" t="s">
        <v>2469</v>
      </c>
      <c r="G901" s="7" t="s">
        <v>2470</v>
      </c>
      <c r="H901" s="7" t="s">
        <v>2471</v>
      </c>
      <c r="I901" s="9">
        <v>45340</v>
      </c>
    </row>
    <row r="902" spans="1:9" x14ac:dyDescent="0.15">
      <c r="A902" s="6">
        <v>901</v>
      </c>
      <c r="B902" s="7" t="s">
        <v>8</v>
      </c>
      <c r="C902" s="8">
        <v>1887</v>
      </c>
      <c r="D902" s="9">
        <v>45425</v>
      </c>
      <c r="E902" s="13" t="str">
        <f>+HYPERLINK("http://trademark.i-assist.jp/data/china/image_1887th/76841672.pdf","76841672")</f>
        <v>76841672</v>
      </c>
      <c r="F902" s="7" t="s">
        <v>2472</v>
      </c>
      <c r="G902" s="7" t="s">
        <v>2473</v>
      </c>
      <c r="H902" s="7" t="s">
        <v>2474</v>
      </c>
      <c r="I902" s="9">
        <v>45340</v>
      </c>
    </row>
    <row r="903" spans="1:9" ht="27" x14ac:dyDescent="0.15">
      <c r="A903" s="6">
        <v>902</v>
      </c>
      <c r="B903" s="7" t="s">
        <v>8</v>
      </c>
      <c r="C903" s="8">
        <v>1887</v>
      </c>
      <c r="D903" s="9">
        <v>45425</v>
      </c>
      <c r="E903" s="13" t="str">
        <f>+HYPERLINK("http://trademark.i-assist.jp/data/china/image_1887th/76841800.pdf","76841800")</f>
        <v>76841800</v>
      </c>
      <c r="F903" s="7" t="s">
        <v>2475</v>
      </c>
      <c r="G903" s="7" t="s">
        <v>2476</v>
      </c>
      <c r="H903" s="7" t="s">
        <v>2477</v>
      </c>
      <c r="I903" s="9">
        <v>45340</v>
      </c>
    </row>
    <row r="904" spans="1:9" x14ac:dyDescent="0.15">
      <c r="A904" s="6">
        <v>903</v>
      </c>
      <c r="B904" s="7" t="s">
        <v>8</v>
      </c>
      <c r="C904" s="8">
        <v>1887</v>
      </c>
      <c r="D904" s="9">
        <v>45425</v>
      </c>
      <c r="E904" s="13" t="str">
        <f>+HYPERLINK("http://trademark.i-assist.jp/data/china/image_1887th/76841931.pdf","76841931")</f>
        <v>76841931</v>
      </c>
      <c r="F904" s="7" t="s">
        <v>2478</v>
      </c>
      <c r="G904" s="7" t="s">
        <v>2350</v>
      </c>
      <c r="H904" s="7" t="s">
        <v>2479</v>
      </c>
      <c r="I904" s="9">
        <v>45340</v>
      </c>
    </row>
    <row r="905" spans="1:9" x14ac:dyDescent="0.15">
      <c r="A905" s="6">
        <v>904</v>
      </c>
      <c r="B905" s="7" t="s">
        <v>8</v>
      </c>
      <c r="C905" s="8">
        <v>1887</v>
      </c>
      <c r="D905" s="9">
        <v>45425</v>
      </c>
      <c r="E905" s="13" t="str">
        <f>+HYPERLINK("http://trademark.i-assist.jp/data/china/image_1887th/76842332.pdf","76842332")</f>
        <v>76842332</v>
      </c>
      <c r="F905" s="7" t="s">
        <v>54</v>
      </c>
      <c r="G905" s="7" t="s">
        <v>2480</v>
      </c>
      <c r="H905" s="7" t="s">
        <v>2481</v>
      </c>
      <c r="I905" s="9">
        <v>45340</v>
      </c>
    </row>
    <row r="906" spans="1:9" ht="27" x14ac:dyDescent="0.15">
      <c r="A906" s="6">
        <v>905</v>
      </c>
      <c r="B906" s="7" t="s">
        <v>8</v>
      </c>
      <c r="C906" s="8">
        <v>1887</v>
      </c>
      <c r="D906" s="9">
        <v>45425</v>
      </c>
      <c r="E906" s="13" t="str">
        <f>+HYPERLINK("http://trademark.i-assist.jp/data/china/image_1887th/76842364.pdf","76842364")</f>
        <v>76842364</v>
      </c>
      <c r="F906" s="7" t="s">
        <v>2482</v>
      </c>
      <c r="G906" s="7" t="s">
        <v>2442</v>
      </c>
      <c r="H906" s="7" t="s">
        <v>2483</v>
      </c>
      <c r="I906" s="9">
        <v>45340</v>
      </c>
    </row>
    <row r="907" spans="1:9" x14ac:dyDescent="0.15">
      <c r="A907" s="6">
        <v>906</v>
      </c>
      <c r="B907" s="7" t="s">
        <v>8</v>
      </c>
      <c r="C907" s="8">
        <v>1887</v>
      </c>
      <c r="D907" s="9">
        <v>45425</v>
      </c>
      <c r="E907" s="13" t="str">
        <f>+HYPERLINK("http://trademark.i-assist.jp/data/china/image_1887th/76842427.pdf","76842427")</f>
        <v>76842427</v>
      </c>
      <c r="F907" s="7" t="s">
        <v>2484</v>
      </c>
      <c r="G907" s="7" t="s">
        <v>2485</v>
      </c>
      <c r="H907" s="7" t="s">
        <v>2486</v>
      </c>
      <c r="I907" s="9">
        <v>45340</v>
      </c>
    </row>
    <row r="908" spans="1:9" x14ac:dyDescent="0.15">
      <c r="A908" s="6">
        <v>907</v>
      </c>
      <c r="B908" s="7" t="s">
        <v>8</v>
      </c>
      <c r="C908" s="8">
        <v>1887</v>
      </c>
      <c r="D908" s="9">
        <v>45425</v>
      </c>
      <c r="E908" s="13" t="str">
        <f>+HYPERLINK("http://trademark.i-assist.jp/data/china/image_1887th/76842432.pdf","76842432")</f>
        <v>76842432</v>
      </c>
      <c r="F908" s="7" t="s">
        <v>2487</v>
      </c>
      <c r="G908" s="7" t="s">
        <v>2488</v>
      </c>
      <c r="H908" s="7" t="s">
        <v>2489</v>
      </c>
      <c r="I908" s="9">
        <v>45340</v>
      </c>
    </row>
    <row r="909" spans="1:9" x14ac:dyDescent="0.15">
      <c r="A909" s="6">
        <v>908</v>
      </c>
      <c r="B909" s="7" t="s">
        <v>8</v>
      </c>
      <c r="C909" s="8">
        <v>1887</v>
      </c>
      <c r="D909" s="9">
        <v>45425</v>
      </c>
      <c r="E909" s="13" t="str">
        <f>+HYPERLINK("http://trademark.i-assist.jp/data/china/image_1887th/76842462.pdf","76842462")</f>
        <v>76842462</v>
      </c>
      <c r="F909" s="7" t="s">
        <v>2490</v>
      </c>
      <c r="G909" s="7" t="s">
        <v>2491</v>
      </c>
      <c r="H909" s="7" t="s">
        <v>2492</v>
      </c>
      <c r="I909" s="9">
        <v>45340</v>
      </c>
    </row>
    <row r="910" spans="1:9" x14ac:dyDescent="0.15">
      <c r="A910" s="6">
        <v>909</v>
      </c>
      <c r="B910" s="7" t="s">
        <v>8</v>
      </c>
      <c r="C910" s="8">
        <v>1887</v>
      </c>
      <c r="D910" s="9">
        <v>45425</v>
      </c>
      <c r="E910" s="13" t="str">
        <f>+HYPERLINK("http://trademark.i-assist.jp/data/china/image_1887th/76842468.pdf","76842468")</f>
        <v>76842468</v>
      </c>
      <c r="F910" s="7" t="s">
        <v>2493</v>
      </c>
      <c r="G910" s="7" t="s">
        <v>2356</v>
      </c>
      <c r="H910" s="7" t="s">
        <v>2494</v>
      </c>
      <c r="I910" s="9">
        <v>45340</v>
      </c>
    </row>
    <row r="911" spans="1:9" x14ac:dyDescent="0.15">
      <c r="A911" s="6">
        <v>910</v>
      </c>
      <c r="B911" s="7" t="s">
        <v>8</v>
      </c>
      <c r="C911" s="8">
        <v>1887</v>
      </c>
      <c r="D911" s="9">
        <v>45425</v>
      </c>
      <c r="E911" s="13" t="str">
        <f>+HYPERLINK("http://trademark.i-assist.jp/data/china/image_1887th/76842516.pdf","76842516")</f>
        <v>76842516</v>
      </c>
      <c r="F911" s="7" t="s">
        <v>2495</v>
      </c>
      <c r="G911" s="7" t="s">
        <v>2459</v>
      </c>
      <c r="H911" s="7" t="s">
        <v>2496</v>
      </c>
      <c r="I911" s="9">
        <v>45340</v>
      </c>
    </row>
    <row r="912" spans="1:9" x14ac:dyDescent="0.15">
      <c r="A912" s="6">
        <v>911</v>
      </c>
      <c r="B912" s="7" t="s">
        <v>8</v>
      </c>
      <c r="C912" s="8">
        <v>1887</v>
      </c>
      <c r="D912" s="9">
        <v>45425</v>
      </c>
      <c r="E912" s="13" t="str">
        <f>+HYPERLINK("http://trademark.i-assist.jp/data/china/image_1887th/76842755.pdf","76842755")</f>
        <v>76842755</v>
      </c>
      <c r="F912" s="7" t="s">
        <v>2497</v>
      </c>
      <c r="G912" s="7" t="s">
        <v>2498</v>
      </c>
      <c r="H912" s="7" t="s">
        <v>2499</v>
      </c>
      <c r="I912" s="9">
        <v>45340</v>
      </c>
    </row>
    <row r="913" spans="1:9" x14ac:dyDescent="0.15">
      <c r="A913" s="6">
        <v>912</v>
      </c>
      <c r="B913" s="7" t="s">
        <v>8</v>
      </c>
      <c r="C913" s="8">
        <v>1887</v>
      </c>
      <c r="D913" s="9">
        <v>45425</v>
      </c>
      <c r="E913" s="13" t="str">
        <f>+HYPERLINK("http://trademark.i-assist.jp/data/china/image_1887th/76842809.pdf","76842809")</f>
        <v>76842809</v>
      </c>
      <c r="F913" s="7" t="s">
        <v>2500</v>
      </c>
      <c r="G913" s="7" t="s">
        <v>2501</v>
      </c>
      <c r="H913" s="7" t="s">
        <v>2502</v>
      </c>
      <c r="I913" s="9">
        <v>45340</v>
      </c>
    </row>
    <row r="914" spans="1:9" x14ac:dyDescent="0.15">
      <c r="A914" s="6">
        <v>913</v>
      </c>
      <c r="B914" s="7" t="s">
        <v>8</v>
      </c>
      <c r="C914" s="8">
        <v>1887</v>
      </c>
      <c r="D914" s="9">
        <v>45425</v>
      </c>
      <c r="E914" s="13" t="str">
        <f>+HYPERLINK("http://trademark.i-assist.jp/data/china/image_1887th/76842835.pdf","76842835")</f>
        <v>76842835</v>
      </c>
      <c r="F914" s="7" t="s">
        <v>2503</v>
      </c>
      <c r="G914" s="7" t="s">
        <v>2504</v>
      </c>
      <c r="H914" s="7" t="s">
        <v>2505</v>
      </c>
      <c r="I914" s="9">
        <v>45340</v>
      </c>
    </row>
    <row r="915" spans="1:9" x14ac:dyDescent="0.15">
      <c r="A915" s="6">
        <v>914</v>
      </c>
      <c r="B915" s="7" t="s">
        <v>8</v>
      </c>
      <c r="C915" s="8">
        <v>1887</v>
      </c>
      <c r="D915" s="9">
        <v>45425</v>
      </c>
      <c r="E915" s="13" t="str">
        <f>+HYPERLINK("http://trademark.i-assist.jp/data/china/image_1887th/76842848.pdf","76842848")</f>
        <v>76842848</v>
      </c>
      <c r="F915" s="7" t="s">
        <v>2506</v>
      </c>
      <c r="G915" s="7" t="s">
        <v>2507</v>
      </c>
      <c r="H915" s="7" t="s">
        <v>2508</v>
      </c>
      <c r="I915" s="9">
        <v>45340</v>
      </c>
    </row>
    <row r="916" spans="1:9" x14ac:dyDescent="0.15">
      <c r="A916" s="6">
        <v>915</v>
      </c>
      <c r="B916" s="7" t="s">
        <v>8</v>
      </c>
      <c r="C916" s="8">
        <v>1887</v>
      </c>
      <c r="D916" s="9">
        <v>45425</v>
      </c>
      <c r="E916" s="13" t="str">
        <f>+HYPERLINK("http://trademark.i-assist.jp/data/china/image_1887th/76842901.pdf","76842901")</f>
        <v>76842901</v>
      </c>
      <c r="F916" s="7" t="s">
        <v>2509</v>
      </c>
      <c r="G916" s="7" t="s">
        <v>2510</v>
      </c>
      <c r="H916" s="7" t="s">
        <v>2511</v>
      </c>
      <c r="I916" s="9">
        <v>45340</v>
      </c>
    </row>
    <row r="917" spans="1:9" x14ac:dyDescent="0.15">
      <c r="A917" s="6">
        <v>916</v>
      </c>
      <c r="B917" s="7" t="s">
        <v>8</v>
      </c>
      <c r="C917" s="8">
        <v>1887</v>
      </c>
      <c r="D917" s="9">
        <v>45425</v>
      </c>
      <c r="E917" s="13" t="str">
        <f>+HYPERLINK("http://trademark.i-assist.jp/data/china/image_1887th/76843644.pdf","76843644")</f>
        <v>76843644</v>
      </c>
      <c r="F917" s="7" t="s">
        <v>2512</v>
      </c>
      <c r="G917" s="7" t="s">
        <v>2513</v>
      </c>
      <c r="H917" s="7" t="s">
        <v>2514</v>
      </c>
      <c r="I917" s="9">
        <v>45340</v>
      </c>
    </row>
    <row r="918" spans="1:9" x14ac:dyDescent="0.15">
      <c r="A918" s="6">
        <v>917</v>
      </c>
      <c r="B918" s="7" t="s">
        <v>8</v>
      </c>
      <c r="C918" s="8">
        <v>1887</v>
      </c>
      <c r="D918" s="9">
        <v>45425</v>
      </c>
      <c r="E918" s="13" t="str">
        <f>+HYPERLINK("http://trademark.i-assist.jp/data/china/image_1887th/76843917.pdf","76843917")</f>
        <v>76843917</v>
      </c>
      <c r="F918" s="7" t="s">
        <v>2515</v>
      </c>
      <c r="G918" s="7" t="s">
        <v>2516</v>
      </c>
      <c r="H918" s="7" t="s">
        <v>2517</v>
      </c>
      <c r="I918" s="9">
        <v>45340</v>
      </c>
    </row>
    <row r="919" spans="1:9" ht="27" x14ac:dyDescent="0.15">
      <c r="A919" s="6">
        <v>918</v>
      </c>
      <c r="B919" s="7" t="s">
        <v>8</v>
      </c>
      <c r="C919" s="8">
        <v>1887</v>
      </c>
      <c r="D919" s="9">
        <v>45425</v>
      </c>
      <c r="E919" s="13" t="str">
        <f>+HYPERLINK("http://trademark.i-assist.jp/data/china/image_1887th/76843921.pdf","76843921")</f>
        <v>76843921</v>
      </c>
      <c r="F919" s="7" t="s">
        <v>2518</v>
      </c>
      <c r="G919" s="7" t="s">
        <v>2519</v>
      </c>
      <c r="H919" s="7" t="s">
        <v>2520</v>
      </c>
      <c r="I919" s="9">
        <v>45340</v>
      </c>
    </row>
    <row r="920" spans="1:9" ht="27" x14ac:dyDescent="0.15">
      <c r="A920" s="6">
        <v>919</v>
      </c>
      <c r="B920" s="7" t="s">
        <v>8</v>
      </c>
      <c r="C920" s="8">
        <v>1887</v>
      </c>
      <c r="D920" s="9">
        <v>45425</v>
      </c>
      <c r="E920" s="13" t="str">
        <f>+HYPERLINK("http://trademark.i-assist.jp/data/china/image_1887th/76843922.pdf","76843922")</f>
        <v>76843922</v>
      </c>
      <c r="F920" s="7" t="s">
        <v>2521</v>
      </c>
      <c r="G920" s="7" t="s">
        <v>2519</v>
      </c>
      <c r="H920" s="7" t="s">
        <v>2522</v>
      </c>
      <c r="I920" s="9">
        <v>45340</v>
      </c>
    </row>
    <row r="921" spans="1:9" x14ac:dyDescent="0.15">
      <c r="A921" s="6">
        <v>920</v>
      </c>
      <c r="B921" s="7" t="s">
        <v>8</v>
      </c>
      <c r="C921" s="8">
        <v>1887</v>
      </c>
      <c r="D921" s="9">
        <v>45425</v>
      </c>
      <c r="E921" s="13" t="str">
        <f>+HYPERLINK("http://trademark.i-assist.jp/data/china/image_1887th/76844526.pdf","76844526")</f>
        <v>76844526</v>
      </c>
      <c r="F921" s="7" t="s">
        <v>2523</v>
      </c>
      <c r="G921" s="7" t="s">
        <v>498</v>
      </c>
      <c r="H921" s="7" t="s">
        <v>2524</v>
      </c>
      <c r="I921" s="9">
        <v>45340</v>
      </c>
    </row>
    <row r="922" spans="1:9" x14ac:dyDescent="0.15">
      <c r="A922" s="6">
        <v>921</v>
      </c>
      <c r="B922" s="7" t="s">
        <v>8</v>
      </c>
      <c r="C922" s="8">
        <v>1887</v>
      </c>
      <c r="D922" s="9">
        <v>45425</v>
      </c>
      <c r="E922" s="13" t="str">
        <f>+HYPERLINK("http://trademark.i-assist.jp/data/china/image_1887th/76844628.pdf","76844628")</f>
        <v>76844628</v>
      </c>
      <c r="F922" s="7" t="s">
        <v>2525</v>
      </c>
      <c r="G922" s="7" t="s">
        <v>2526</v>
      </c>
      <c r="H922" s="7" t="s">
        <v>2527</v>
      </c>
      <c r="I922" s="9">
        <v>45340</v>
      </c>
    </row>
    <row r="923" spans="1:9" x14ac:dyDescent="0.15">
      <c r="A923" s="6">
        <v>922</v>
      </c>
      <c r="B923" s="7" t="s">
        <v>8</v>
      </c>
      <c r="C923" s="8">
        <v>1887</v>
      </c>
      <c r="D923" s="9">
        <v>45425</v>
      </c>
      <c r="E923" s="13" t="str">
        <f>+HYPERLINK("http://trademark.i-assist.jp/data/china/image_1887th/76844647.pdf","76844647")</f>
        <v>76844647</v>
      </c>
      <c r="F923" s="7" t="s">
        <v>2528</v>
      </c>
      <c r="G923" s="7" t="s">
        <v>2526</v>
      </c>
      <c r="H923" s="7" t="s">
        <v>2529</v>
      </c>
      <c r="I923" s="9">
        <v>45340</v>
      </c>
    </row>
    <row r="924" spans="1:9" x14ac:dyDescent="0.15">
      <c r="A924" s="6">
        <v>923</v>
      </c>
      <c r="B924" s="7" t="s">
        <v>8</v>
      </c>
      <c r="C924" s="8">
        <v>1887</v>
      </c>
      <c r="D924" s="9">
        <v>45425</v>
      </c>
      <c r="E924" s="13" t="str">
        <f>+HYPERLINK("http://trademark.i-assist.jp/data/china/image_1887th/76844663.pdf","76844663")</f>
        <v>76844663</v>
      </c>
      <c r="F924" s="7" t="s">
        <v>2530</v>
      </c>
      <c r="G924" s="7" t="s">
        <v>1753</v>
      </c>
      <c r="H924" s="7" t="s">
        <v>2531</v>
      </c>
      <c r="I924" s="9">
        <v>45340</v>
      </c>
    </row>
    <row r="925" spans="1:9" x14ac:dyDescent="0.15">
      <c r="A925" s="6">
        <v>924</v>
      </c>
      <c r="B925" s="7" t="s">
        <v>8</v>
      </c>
      <c r="C925" s="8">
        <v>1887</v>
      </c>
      <c r="D925" s="9">
        <v>45425</v>
      </c>
      <c r="E925" s="13" t="str">
        <f>+HYPERLINK("http://trademark.i-assist.jp/data/china/image_1887th/76844754.pdf","76844754")</f>
        <v>76844754</v>
      </c>
      <c r="F925" s="7" t="s">
        <v>2532</v>
      </c>
      <c r="G925" s="7" t="s">
        <v>2389</v>
      </c>
      <c r="H925" s="7" t="s">
        <v>2533</v>
      </c>
      <c r="I925" s="9">
        <v>45340</v>
      </c>
    </row>
    <row r="926" spans="1:9" x14ac:dyDescent="0.15">
      <c r="A926" s="6">
        <v>925</v>
      </c>
      <c r="B926" s="7" t="s">
        <v>8</v>
      </c>
      <c r="C926" s="8">
        <v>1887</v>
      </c>
      <c r="D926" s="9">
        <v>45425</v>
      </c>
      <c r="E926" s="13" t="str">
        <f>+HYPERLINK("http://trademark.i-assist.jp/data/china/image_1887th/76844789.pdf","76844789")</f>
        <v>76844789</v>
      </c>
      <c r="F926" s="7" t="s">
        <v>2534</v>
      </c>
      <c r="G926" s="7" t="s">
        <v>2535</v>
      </c>
      <c r="H926" s="7" t="s">
        <v>2536</v>
      </c>
      <c r="I926" s="9">
        <v>45340</v>
      </c>
    </row>
    <row r="927" spans="1:9" ht="27" x14ac:dyDescent="0.15">
      <c r="A927" s="6">
        <v>926</v>
      </c>
      <c r="B927" s="7" t="s">
        <v>8</v>
      </c>
      <c r="C927" s="8">
        <v>1887</v>
      </c>
      <c r="D927" s="9">
        <v>45425</v>
      </c>
      <c r="E927" s="13" t="str">
        <f>+HYPERLINK("http://trademark.i-assist.jp/data/china/image_1887th/76844920.pdf","76844920")</f>
        <v>76844920</v>
      </c>
      <c r="F927" s="7" t="s">
        <v>2537</v>
      </c>
      <c r="G927" s="7" t="s">
        <v>2538</v>
      </c>
      <c r="H927" s="7" t="s">
        <v>2539</v>
      </c>
      <c r="I927" s="9">
        <v>45340</v>
      </c>
    </row>
    <row r="928" spans="1:9" x14ac:dyDescent="0.15">
      <c r="A928" s="6">
        <v>927</v>
      </c>
      <c r="B928" s="7" t="s">
        <v>8</v>
      </c>
      <c r="C928" s="8">
        <v>1887</v>
      </c>
      <c r="D928" s="9">
        <v>45425</v>
      </c>
      <c r="E928" s="13" t="str">
        <f>+HYPERLINK("http://trademark.i-assist.jp/data/china/image_1887th/76844965.pdf","76844965")</f>
        <v>76844965</v>
      </c>
      <c r="F928" s="7" t="s">
        <v>2540</v>
      </c>
      <c r="G928" s="7" t="s">
        <v>2541</v>
      </c>
      <c r="H928" s="7" t="s">
        <v>2542</v>
      </c>
      <c r="I928" s="9">
        <v>45340</v>
      </c>
    </row>
    <row r="929" spans="1:9" x14ac:dyDescent="0.15">
      <c r="A929" s="6">
        <v>928</v>
      </c>
      <c r="B929" s="7" t="s">
        <v>8</v>
      </c>
      <c r="C929" s="8">
        <v>1887</v>
      </c>
      <c r="D929" s="9">
        <v>45425</v>
      </c>
      <c r="E929" s="13" t="str">
        <f>+HYPERLINK("http://trademark.i-assist.jp/data/china/image_1887th/76845191.pdf","76845191")</f>
        <v>76845191</v>
      </c>
      <c r="F929" s="7" t="s">
        <v>54</v>
      </c>
      <c r="G929" s="7" t="s">
        <v>2543</v>
      </c>
      <c r="H929" s="7" t="s">
        <v>2544</v>
      </c>
      <c r="I929" s="9">
        <v>45340</v>
      </c>
    </row>
    <row r="930" spans="1:9" x14ac:dyDescent="0.15">
      <c r="A930" s="6">
        <v>929</v>
      </c>
      <c r="B930" s="7" t="s">
        <v>8</v>
      </c>
      <c r="C930" s="8">
        <v>1887</v>
      </c>
      <c r="D930" s="9">
        <v>45425</v>
      </c>
      <c r="E930" s="13" t="str">
        <f>+HYPERLINK("http://trademark.i-assist.jp/data/china/image_1887th/76845312.pdf","76845312")</f>
        <v>76845312</v>
      </c>
      <c r="F930" s="7" t="s">
        <v>2545</v>
      </c>
      <c r="G930" s="7" t="s">
        <v>2546</v>
      </c>
      <c r="H930" s="7" t="s">
        <v>2547</v>
      </c>
      <c r="I930" s="9">
        <v>45340</v>
      </c>
    </row>
    <row r="931" spans="1:9" x14ac:dyDescent="0.15">
      <c r="A931" s="6">
        <v>930</v>
      </c>
      <c r="B931" s="7" t="s">
        <v>8</v>
      </c>
      <c r="C931" s="8">
        <v>1887</v>
      </c>
      <c r="D931" s="9">
        <v>45425</v>
      </c>
      <c r="E931" s="13" t="str">
        <f>+HYPERLINK("http://trademark.i-assist.jp/data/china/image_1887th/76845556.pdf","76845556")</f>
        <v>76845556</v>
      </c>
      <c r="F931" s="7" t="s">
        <v>2548</v>
      </c>
      <c r="G931" s="7" t="s">
        <v>2549</v>
      </c>
      <c r="H931" s="7" t="s">
        <v>2550</v>
      </c>
      <c r="I931" s="9">
        <v>45341</v>
      </c>
    </row>
    <row r="932" spans="1:9" x14ac:dyDescent="0.15">
      <c r="A932" s="6">
        <v>931</v>
      </c>
      <c r="B932" s="7" t="s">
        <v>8</v>
      </c>
      <c r="C932" s="8">
        <v>1887</v>
      </c>
      <c r="D932" s="9">
        <v>45425</v>
      </c>
      <c r="E932" s="13" t="str">
        <f>+HYPERLINK("http://trademark.i-assist.jp/data/china/image_1887th/76846152.pdf","76846152")</f>
        <v>76846152</v>
      </c>
      <c r="F932" s="7" t="s">
        <v>2551</v>
      </c>
      <c r="G932" s="7" t="s">
        <v>2552</v>
      </c>
      <c r="H932" s="7" t="s">
        <v>2553</v>
      </c>
      <c r="I932" s="9">
        <v>45341</v>
      </c>
    </row>
    <row r="933" spans="1:9" x14ac:dyDescent="0.15">
      <c r="A933" s="6">
        <v>932</v>
      </c>
      <c r="B933" s="7" t="s">
        <v>8</v>
      </c>
      <c r="C933" s="8">
        <v>1887</v>
      </c>
      <c r="D933" s="9">
        <v>45425</v>
      </c>
      <c r="E933" s="13" t="str">
        <f>+HYPERLINK("http://trademark.i-assist.jp/data/china/image_1887th/76846765.pdf","76846765")</f>
        <v>76846765</v>
      </c>
      <c r="F933" s="7" t="s">
        <v>2554</v>
      </c>
      <c r="G933" s="7" t="s">
        <v>2555</v>
      </c>
      <c r="H933" s="7" t="s">
        <v>2556</v>
      </c>
      <c r="I933" s="9">
        <v>45341</v>
      </c>
    </row>
    <row r="934" spans="1:9" x14ac:dyDescent="0.15">
      <c r="A934" s="6">
        <v>933</v>
      </c>
      <c r="B934" s="7" t="s">
        <v>8</v>
      </c>
      <c r="C934" s="8">
        <v>1887</v>
      </c>
      <c r="D934" s="9">
        <v>45425</v>
      </c>
      <c r="E934" s="13" t="str">
        <f>+HYPERLINK("http://trademark.i-assist.jp/data/china/image_1887th/76847168.pdf","76847168")</f>
        <v>76847168</v>
      </c>
      <c r="F934" s="7" t="s">
        <v>2557</v>
      </c>
      <c r="G934" s="7" t="s">
        <v>2558</v>
      </c>
      <c r="H934" s="7" t="s">
        <v>2559</v>
      </c>
      <c r="I934" s="9">
        <v>45341</v>
      </c>
    </row>
    <row r="935" spans="1:9" x14ac:dyDescent="0.15">
      <c r="A935" s="6">
        <v>934</v>
      </c>
      <c r="B935" s="7" t="s">
        <v>8</v>
      </c>
      <c r="C935" s="8">
        <v>1887</v>
      </c>
      <c r="D935" s="9">
        <v>45425</v>
      </c>
      <c r="E935" s="13" t="str">
        <f>+HYPERLINK("http://trademark.i-assist.jp/data/china/image_1887th/76847354.pdf","76847354")</f>
        <v>76847354</v>
      </c>
      <c r="F935" s="7" t="s">
        <v>2560</v>
      </c>
      <c r="G935" s="7" t="s">
        <v>2561</v>
      </c>
      <c r="H935" s="7" t="s">
        <v>2562</v>
      </c>
      <c r="I935" s="9">
        <v>45341</v>
      </c>
    </row>
    <row r="936" spans="1:9" x14ac:dyDescent="0.15">
      <c r="A936" s="6">
        <v>935</v>
      </c>
      <c r="B936" s="7" t="s">
        <v>8</v>
      </c>
      <c r="C936" s="8">
        <v>1887</v>
      </c>
      <c r="D936" s="9">
        <v>45425</v>
      </c>
      <c r="E936" s="13" t="str">
        <f>+HYPERLINK("http://trademark.i-assist.jp/data/china/image_1887th/76847403.pdf","76847403")</f>
        <v>76847403</v>
      </c>
      <c r="F936" s="7" t="s">
        <v>2563</v>
      </c>
      <c r="G936" s="7" t="s">
        <v>2564</v>
      </c>
      <c r="H936" s="7" t="s">
        <v>2565</v>
      </c>
      <c r="I936" s="9">
        <v>45341</v>
      </c>
    </row>
    <row r="937" spans="1:9" x14ac:dyDescent="0.15">
      <c r="A937" s="6">
        <v>936</v>
      </c>
      <c r="B937" s="7" t="s">
        <v>8</v>
      </c>
      <c r="C937" s="8">
        <v>1887</v>
      </c>
      <c r="D937" s="9">
        <v>45425</v>
      </c>
      <c r="E937" s="13" t="str">
        <f>+HYPERLINK("http://trademark.i-assist.jp/data/china/image_1887th/76847896.pdf","76847896")</f>
        <v>76847896</v>
      </c>
      <c r="F937" s="7" t="s">
        <v>2566</v>
      </c>
      <c r="G937" s="7" t="s">
        <v>2567</v>
      </c>
      <c r="H937" s="7" t="s">
        <v>2568</v>
      </c>
      <c r="I937" s="9">
        <v>45341</v>
      </c>
    </row>
    <row r="938" spans="1:9" ht="27" x14ac:dyDescent="0.15">
      <c r="A938" s="6">
        <v>937</v>
      </c>
      <c r="B938" s="7" t="s">
        <v>8</v>
      </c>
      <c r="C938" s="8">
        <v>1887</v>
      </c>
      <c r="D938" s="9">
        <v>45425</v>
      </c>
      <c r="E938" s="13" t="str">
        <f>+HYPERLINK("http://trademark.i-assist.jp/data/china/image_1887th/76848107.pdf","76848107")</f>
        <v>76848107</v>
      </c>
      <c r="F938" s="7" t="s">
        <v>2569</v>
      </c>
      <c r="G938" s="7" t="s">
        <v>2570</v>
      </c>
      <c r="H938" s="7" t="s">
        <v>2571</v>
      </c>
      <c r="I938" s="9">
        <v>45341</v>
      </c>
    </row>
    <row r="939" spans="1:9" x14ac:dyDescent="0.15">
      <c r="A939" s="6">
        <v>938</v>
      </c>
      <c r="B939" s="7" t="s">
        <v>8</v>
      </c>
      <c r="C939" s="8">
        <v>1887</v>
      </c>
      <c r="D939" s="9">
        <v>45425</v>
      </c>
      <c r="E939" s="13" t="str">
        <f>+HYPERLINK("http://trademark.i-assist.jp/data/china/image_1887th/76848131.pdf","76848131")</f>
        <v>76848131</v>
      </c>
      <c r="F939" s="7" t="s">
        <v>2572</v>
      </c>
      <c r="G939" s="7" t="s">
        <v>2573</v>
      </c>
      <c r="H939" s="7" t="s">
        <v>2574</v>
      </c>
      <c r="I939" s="9">
        <v>45341</v>
      </c>
    </row>
    <row r="940" spans="1:9" x14ac:dyDescent="0.15">
      <c r="A940" s="6">
        <v>939</v>
      </c>
      <c r="B940" s="7" t="s">
        <v>8</v>
      </c>
      <c r="C940" s="8">
        <v>1887</v>
      </c>
      <c r="D940" s="9">
        <v>45425</v>
      </c>
      <c r="E940" s="13" t="str">
        <f>+HYPERLINK("http://trademark.i-assist.jp/data/china/image_1887th/76848499.pdf","76848499")</f>
        <v>76848499</v>
      </c>
      <c r="F940" s="7" t="s">
        <v>2575</v>
      </c>
      <c r="G940" s="7" t="s">
        <v>2576</v>
      </c>
      <c r="H940" s="7" t="s">
        <v>2577</v>
      </c>
      <c r="I940" s="9">
        <v>45341</v>
      </c>
    </row>
    <row r="941" spans="1:9" x14ac:dyDescent="0.15">
      <c r="A941" s="6">
        <v>940</v>
      </c>
      <c r="B941" s="7" t="s">
        <v>8</v>
      </c>
      <c r="C941" s="8">
        <v>1887</v>
      </c>
      <c r="D941" s="9">
        <v>45425</v>
      </c>
      <c r="E941" s="13" t="str">
        <f>+HYPERLINK("http://trademark.i-assist.jp/data/china/image_1887th/76848699.pdf","76848699")</f>
        <v>76848699</v>
      </c>
      <c r="F941" s="7" t="s">
        <v>2578</v>
      </c>
      <c r="G941" s="7" t="s">
        <v>2579</v>
      </c>
      <c r="H941" s="7" t="s">
        <v>2580</v>
      </c>
      <c r="I941" s="9">
        <v>45341</v>
      </c>
    </row>
    <row r="942" spans="1:9" x14ac:dyDescent="0.15">
      <c r="A942" s="6">
        <v>941</v>
      </c>
      <c r="B942" s="7" t="s">
        <v>8</v>
      </c>
      <c r="C942" s="8">
        <v>1887</v>
      </c>
      <c r="D942" s="9">
        <v>45425</v>
      </c>
      <c r="E942" s="13" t="str">
        <f>+HYPERLINK("http://trademark.i-assist.jp/data/china/image_1887th/76849292.pdf","76849292")</f>
        <v>76849292</v>
      </c>
      <c r="F942" s="7" t="s">
        <v>2581</v>
      </c>
      <c r="G942" s="7" t="s">
        <v>2582</v>
      </c>
      <c r="H942" s="7" t="s">
        <v>2583</v>
      </c>
      <c r="I942" s="9">
        <v>45341</v>
      </c>
    </row>
    <row r="943" spans="1:9" x14ac:dyDescent="0.15">
      <c r="A943" s="6">
        <v>942</v>
      </c>
      <c r="B943" s="7" t="s">
        <v>8</v>
      </c>
      <c r="C943" s="8">
        <v>1887</v>
      </c>
      <c r="D943" s="9">
        <v>45425</v>
      </c>
      <c r="E943" s="13" t="str">
        <f>+HYPERLINK("http://trademark.i-assist.jp/data/china/image_1887th/76849371.pdf","76849371")</f>
        <v>76849371</v>
      </c>
      <c r="F943" s="7" t="s">
        <v>2584</v>
      </c>
      <c r="G943" s="7" t="s">
        <v>2558</v>
      </c>
      <c r="H943" s="7" t="s">
        <v>2585</v>
      </c>
      <c r="I943" s="9">
        <v>45341</v>
      </c>
    </row>
    <row r="944" spans="1:9" x14ac:dyDescent="0.15">
      <c r="A944" s="6">
        <v>943</v>
      </c>
      <c r="B944" s="7" t="s">
        <v>8</v>
      </c>
      <c r="C944" s="8">
        <v>1887</v>
      </c>
      <c r="D944" s="9">
        <v>45425</v>
      </c>
      <c r="E944" s="13" t="str">
        <f>+HYPERLINK("http://trademark.i-assist.jp/data/china/image_1887th/76850138.pdf","76850138")</f>
        <v>76850138</v>
      </c>
      <c r="F944" s="7" t="s">
        <v>2586</v>
      </c>
      <c r="G944" s="7" t="s">
        <v>2555</v>
      </c>
      <c r="H944" s="7" t="s">
        <v>2587</v>
      </c>
      <c r="I944" s="9">
        <v>45341</v>
      </c>
    </row>
    <row r="945" spans="1:9" x14ac:dyDescent="0.15">
      <c r="A945" s="6">
        <v>944</v>
      </c>
      <c r="B945" s="7" t="s">
        <v>8</v>
      </c>
      <c r="C945" s="8">
        <v>1887</v>
      </c>
      <c r="D945" s="9">
        <v>45425</v>
      </c>
      <c r="E945" s="13" t="str">
        <f>+HYPERLINK("http://trademark.i-assist.jp/data/china/image_1887th/76851349.pdf","76851349")</f>
        <v>76851349</v>
      </c>
      <c r="F945" s="7" t="s">
        <v>2588</v>
      </c>
      <c r="G945" s="7" t="s">
        <v>2589</v>
      </c>
      <c r="H945" s="7" t="s">
        <v>2590</v>
      </c>
      <c r="I945" s="9">
        <v>45341</v>
      </c>
    </row>
    <row r="946" spans="1:9" x14ac:dyDescent="0.15">
      <c r="A946" s="6">
        <v>945</v>
      </c>
      <c r="B946" s="7" t="s">
        <v>8</v>
      </c>
      <c r="C946" s="8">
        <v>1887</v>
      </c>
      <c r="D946" s="9">
        <v>45425</v>
      </c>
      <c r="E946" s="13" t="str">
        <f>+HYPERLINK("http://trademark.i-assist.jp/data/china/image_1887th/76851459.pdf","76851459")</f>
        <v>76851459</v>
      </c>
      <c r="F946" s="7" t="s">
        <v>2591</v>
      </c>
      <c r="G946" s="7" t="s">
        <v>2592</v>
      </c>
      <c r="H946" s="7" t="s">
        <v>2593</v>
      </c>
      <c r="I946" s="9">
        <v>45341</v>
      </c>
    </row>
    <row r="947" spans="1:9" x14ac:dyDescent="0.15">
      <c r="A947" s="6">
        <v>946</v>
      </c>
      <c r="B947" s="7" t="s">
        <v>8</v>
      </c>
      <c r="C947" s="8">
        <v>1887</v>
      </c>
      <c r="D947" s="9">
        <v>45425</v>
      </c>
      <c r="E947" s="13" t="str">
        <f>+HYPERLINK("http://trademark.i-assist.jp/data/china/image_1887th/76851991.pdf","76851991")</f>
        <v>76851991</v>
      </c>
      <c r="F947" s="7" t="s">
        <v>2594</v>
      </c>
      <c r="G947" s="7" t="s">
        <v>2595</v>
      </c>
      <c r="H947" s="7" t="s">
        <v>2596</v>
      </c>
      <c r="I947" s="9">
        <v>45341</v>
      </c>
    </row>
    <row r="948" spans="1:9" x14ac:dyDescent="0.15">
      <c r="A948" s="6">
        <v>947</v>
      </c>
      <c r="B948" s="7" t="s">
        <v>8</v>
      </c>
      <c r="C948" s="8">
        <v>1887</v>
      </c>
      <c r="D948" s="9">
        <v>45425</v>
      </c>
      <c r="E948" s="13" t="str">
        <f>+HYPERLINK("http://trademark.i-assist.jp/data/china/image_1887th/76852214.pdf","76852214")</f>
        <v>76852214</v>
      </c>
      <c r="F948" s="7" t="s">
        <v>2597</v>
      </c>
      <c r="G948" s="7" t="s">
        <v>2598</v>
      </c>
      <c r="H948" s="7" t="s">
        <v>2599</v>
      </c>
      <c r="I948" s="9">
        <v>45341</v>
      </c>
    </row>
    <row r="949" spans="1:9" x14ac:dyDescent="0.15">
      <c r="A949" s="6">
        <v>948</v>
      </c>
      <c r="B949" s="7" t="s">
        <v>8</v>
      </c>
      <c r="C949" s="8">
        <v>1887</v>
      </c>
      <c r="D949" s="9">
        <v>45425</v>
      </c>
      <c r="E949" s="13" t="str">
        <f>+HYPERLINK("http://trademark.i-assist.jp/data/china/image_1887th/76852255.pdf","76852255")</f>
        <v>76852255</v>
      </c>
      <c r="F949" s="7" t="s">
        <v>2600</v>
      </c>
      <c r="G949" s="7" t="s">
        <v>2601</v>
      </c>
      <c r="H949" s="7" t="s">
        <v>2602</v>
      </c>
      <c r="I949" s="9">
        <v>45341</v>
      </c>
    </row>
    <row r="950" spans="1:9" x14ac:dyDescent="0.15">
      <c r="A950" s="6">
        <v>949</v>
      </c>
      <c r="B950" s="7" t="s">
        <v>8</v>
      </c>
      <c r="C950" s="8">
        <v>1887</v>
      </c>
      <c r="D950" s="9">
        <v>45425</v>
      </c>
      <c r="E950" s="13" t="str">
        <f>+HYPERLINK("http://trademark.i-assist.jp/data/china/image_1887th/76852896.pdf","76852896")</f>
        <v>76852896</v>
      </c>
      <c r="F950" s="7" t="s">
        <v>2603</v>
      </c>
      <c r="G950" s="7" t="s">
        <v>2604</v>
      </c>
      <c r="H950" s="7" t="s">
        <v>2605</v>
      </c>
      <c r="I950" s="9">
        <v>45341</v>
      </c>
    </row>
    <row r="951" spans="1:9" x14ac:dyDescent="0.15">
      <c r="A951" s="6">
        <v>950</v>
      </c>
      <c r="B951" s="7" t="s">
        <v>8</v>
      </c>
      <c r="C951" s="8">
        <v>1887</v>
      </c>
      <c r="D951" s="9">
        <v>45425</v>
      </c>
      <c r="E951" s="13" t="str">
        <f>+HYPERLINK("http://trademark.i-assist.jp/data/china/image_1887th/76853040.pdf","76853040")</f>
        <v>76853040</v>
      </c>
      <c r="F951" s="7" t="s">
        <v>2606</v>
      </c>
      <c r="G951" s="7" t="s">
        <v>2607</v>
      </c>
      <c r="H951" s="7" t="s">
        <v>2608</v>
      </c>
      <c r="I951" s="9">
        <v>45341</v>
      </c>
    </row>
    <row r="952" spans="1:9" x14ac:dyDescent="0.15">
      <c r="A952" s="6">
        <v>951</v>
      </c>
      <c r="B952" s="7" t="s">
        <v>8</v>
      </c>
      <c r="C952" s="8">
        <v>1887</v>
      </c>
      <c r="D952" s="9">
        <v>45425</v>
      </c>
      <c r="E952" s="13" t="str">
        <f>+HYPERLINK("http://trademark.i-assist.jp/data/china/image_1887th/76853458.pdf","76853458")</f>
        <v>76853458</v>
      </c>
      <c r="F952" s="7" t="s">
        <v>2609</v>
      </c>
      <c r="G952" s="7" t="s">
        <v>2610</v>
      </c>
      <c r="H952" s="7" t="s">
        <v>2611</v>
      </c>
      <c r="I952" s="9">
        <v>45341</v>
      </c>
    </row>
    <row r="953" spans="1:9" x14ac:dyDescent="0.15">
      <c r="A953" s="6">
        <v>952</v>
      </c>
      <c r="B953" s="7" t="s">
        <v>8</v>
      </c>
      <c r="C953" s="8">
        <v>1887</v>
      </c>
      <c r="D953" s="9">
        <v>45425</v>
      </c>
      <c r="E953" s="13" t="str">
        <f>+HYPERLINK("http://trademark.i-assist.jp/data/china/image_1887th/76853484.pdf","76853484")</f>
        <v>76853484</v>
      </c>
      <c r="F953" s="7" t="s">
        <v>2612</v>
      </c>
      <c r="G953" s="7" t="s">
        <v>2613</v>
      </c>
      <c r="H953" s="7" t="s">
        <v>2614</v>
      </c>
      <c r="I953" s="9">
        <v>45341</v>
      </c>
    </row>
    <row r="954" spans="1:9" x14ac:dyDescent="0.15">
      <c r="A954" s="6">
        <v>953</v>
      </c>
      <c r="B954" s="7" t="s">
        <v>8</v>
      </c>
      <c r="C954" s="8">
        <v>1887</v>
      </c>
      <c r="D954" s="9">
        <v>45425</v>
      </c>
      <c r="E954" s="13" t="str">
        <f>+HYPERLINK("http://trademark.i-assist.jp/data/china/image_1887th/76853565.pdf","76853565")</f>
        <v>76853565</v>
      </c>
      <c r="F954" s="7" t="s">
        <v>2615</v>
      </c>
      <c r="G954" s="7" t="s">
        <v>2616</v>
      </c>
      <c r="H954" s="7" t="s">
        <v>2617</v>
      </c>
      <c r="I954" s="9">
        <v>45341</v>
      </c>
    </row>
    <row r="955" spans="1:9" x14ac:dyDescent="0.15">
      <c r="A955" s="6">
        <v>954</v>
      </c>
      <c r="B955" s="7" t="s">
        <v>8</v>
      </c>
      <c r="C955" s="8">
        <v>1887</v>
      </c>
      <c r="D955" s="9">
        <v>45425</v>
      </c>
      <c r="E955" s="13" t="str">
        <f>+HYPERLINK("http://trademark.i-assist.jp/data/china/image_1887th/76853594.pdf","76853594")</f>
        <v>76853594</v>
      </c>
      <c r="F955" s="7" t="s">
        <v>2618</v>
      </c>
      <c r="G955" s="7" t="s">
        <v>2589</v>
      </c>
      <c r="H955" s="7" t="s">
        <v>2619</v>
      </c>
      <c r="I955" s="9">
        <v>45341</v>
      </c>
    </row>
    <row r="956" spans="1:9" x14ac:dyDescent="0.15">
      <c r="A956" s="6">
        <v>955</v>
      </c>
      <c r="B956" s="7" t="s">
        <v>8</v>
      </c>
      <c r="C956" s="8">
        <v>1887</v>
      </c>
      <c r="D956" s="9">
        <v>45425</v>
      </c>
      <c r="E956" s="13" t="str">
        <f>+HYPERLINK("http://trademark.i-assist.jp/data/china/image_1887th/76853733.pdf","76853733")</f>
        <v>76853733</v>
      </c>
      <c r="F956" s="7" t="s">
        <v>2620</v>
      </c>
      <c r="G956" s="7" t="s">
        <v>2558</v>
      </c>
      <c r="H956" s="7" t="s">
        <v>2621</v>
      </c>
      <c r="I956" s="9">
        <v>45341</v>
      </c>
    </row>
    <row r="957" spans="1:9" x14ac:dyDescent="0.15">
      <c r="A957" s="6">
        <v>956</v>
      </c>
      <c r="B957" s="7" t="s">
        <v>8</v>
      </c>
      <c r="C957" s="8">
        <v>1887</v>
      </c>
      <c r="D957" s="9">
        <v>45425</v>
      </c>
      <c r="E957" s="13" t="str">
        <f>+HYPERLINK("http://trademark.i-assist.jp/data/china/image_1887th/76853927.pdf","76853927")</f>
        <v>76853927</v>
      </c>
      <c r="F957" s="7" t="s">
        <v>2622</v>
      </c>
      <c r="G957" s="7" t="s">
        <v>2623</v>
      </c>
      <c r="H957" s="7" t="s">
        <v>2624</v>
      </c>
      <c r="I957" s="9">
        <v>45341</v>
      </c>
    </row>
    <row r="958" spans="1:9" x14ac:dyDescent="0.15">
      <c r="A958" s="6">
        <v>957</v>
      </c>
      <c r="B958" s="7" t="s">
        <v>8</v>
      </c>
      <c r="C958" s="8">
        <v>1887</v>
      </c>
      <c r="D958" s="9">
        <v>45425</v>
      </c>
      <c r="E958" s="13" t="str">
        <f>+HYPERLINK("http://trademark.i-assist.jp/data/china/image_1887th/76854686.pdf","76854686")</f>
        <v>76854686</v>
      </c>
      <c r="F958" s="7" t="s">
        <v>2625</v>
      </c>
      <c r="G958" s="7" t="s">
        <v>2626</v>
      </c>
      <c r="H958" s="7" t="s">
        <v>2627</v>
      </c>
      <c r="I958" s="9">
        <v>45341</v>
      </c>
    </row>
    <row r="959" spans="1:9" ht="27" x14ac:dyDescent="0.15">
      <c r="A959" s="6">
        <v>958</v>
      </c>
      <c r="B959" s="7" t="s">
        <v>8</v>
      </c>
      <c r="C959" s="8">
        <v>1887</v>
      </c>
      <c r="D959" s="9">
        <v>45425</v>
      </c>
      <c r="E959" s="13" t="str">
        <f>+HYPERLINK("http://trademark.i-assist.jp/data/china/image_1887th/76854704.pdf","76854704")</f>
        <v>76854704</v>
      </c>
      <c r="F959" s="7" t="s">
        <v>2628</v>
      </c>
      <c r="G959" s="7" t="s">
        <v>2629</v>
      </c>
      <c r="H959" s="7" t="s">
        <v>2630</v>
      </c>
      <c r="I959" s="9">
        <v>45341</v>
      </c>
    </row>
    <row r="960" spans="1:9" x14ac:dyDescent="0.15">
      <c r="A960" s="6">
        <v>959</v>
      </c>
      <c r="B960" s="7" t="s">
        <v>8</v>
      </c>
      <c r="C960" s="8">
        <v>1887</v>
      </c>
      <c r="D960" s="9">
        <v>45425</v>
      </c>
      <c r="E960" s="13" t="str">
        <f>+HYPERLINK("http://trademark.i-assist.jp/data/china/image_1887th/76854722.pdf","76854722")</f>
        <v>76854722</v>
      </c>
      <c r="F960" s="7" t="s">
        <v>2631</v>
      </c>
      <c r="G960" s="7" t="s">
        <v>2632</v>
      </c>
      <c r="H960" s="7" t="s">
        <v>2633</v>
      </c>
      <c r="I960" s="9">
        <v>45341</v>
      </c>
    </row>
    <row r="961" spans="1:9" x14ac:dyDescent="0.15">
      <c r="A961" s="6">
        <v>960</v>
      </c>
      <c r="B961" s="7" t="s">
        <v>8</v>
      </c>
      <c r="C961" s="8">
        <v>1887</v>
      </c>
      <c r="D961" s="9">
        <v>45425</v>
      </c>
      <c r="E961" s="13" t="str">
        <f>+HYPERLINK("http://trademark.i-assist.jp/data/china/image_1887th/76854749.pdf","76854749")</f>
        <v>76854749</v>
      </c>
      <c r="F961" s="7" t="s">
        <v>2634</v>
      </c>
      <c r="G961" s="7" t="s">
        <v>2635</v>
      </c>
      <c r="H961" s="7" t="s">
        <v>2636</v>
      </c>
      <c r="I961" s="9">
        <v>45341</v>
      </c>
    </row>
    <row r="962" spans="1:9" ht="27" x14ac:dyDescent="0.15">
      <c r="A962" s="6">
        <v>961</v>
      </c>
      <c r="B962" s="7" t="s">
        <v>8</v>
      </c>
      <c r="C962" s="8">
        <v>1887</v>
      </c>
      <c r="D962" s="9">
        <v>45425</v>
      </c>
      <c r="E962" s="13" t="str">
        <f>+HYPERLINK("http://trademark.i-assist.jp/data/china/image_1887th/76854762.pdf","76854762")</f>
        <v>76854762</v>
      </c>
      <c r="F962" s="7" t="s">
        <v>2637</v>
      </c>
      <c r="G962" s="7" t="s">
        <v>2570</v>
      </c>
      <c r="H962" s="7" t="s">
        <v>2638</v>
      </c>
      <c r="I962" s="9">
        <v>45341</v>
      </c>
    </row>
    <row r="963" spans="1:9" x14ac:dyDescent="0.15">
      <c r="A963" s="6">
        <v>962</v>
      </c>
      <c r="B963" s="7" t="s">
        <v>8</v>
      </c>
      <c r="C963" s="8">
        <v>1887</v>
      </c>
      <c r="D963" s="9">
        <v>45425</v>
      </c>
      <c r="E963" s="13" t="str">
        <f>+HYPERLINK("http://trademark.i-assist.jp/data/china/image_1887th/76855001.pdf","76855001")</f>
        <v>76855001</v>
      </c>
      <c r="F963" s="7" t="s">
        <v>2639</v>
      </c>
      <c r="G963" s="7" t="s">
        <v>2640</v>
      </c>
      <c r="H963" s="7" t="s">
        <v>2641</v>
      </c>
      <c r="I963" s="9">
        <v>45341</v>
      </c>
    </row>
    <row r="964" spans="1:9" x14ac:dyDescent="0.15">
      <c r="A964" s="6">
        <v>963</v>
      </c>
      <c r="B964" s="7" t="s">
        <v>8</v>
      </c>
      <c r="C964" s="8">
        <v>1887</v>
      </c>
      <c r="D964" s="9">
        <v>45425</v>
      </c>
      <c r="E964" s="13" t="str">
        <f>+HYPERLINK("http://trademark.i-assist.jp/data/china/image_1887th/76855020.pdf","76855020")</f>
        <v>76855020</v>
      </c>
      <c r="F964" s="7" t="s">
        <v>2642</v>
      </c>
      <c r="G964" s="7" t="s">
        <v>2643</v>
      </c>
      <c r="H964" s="7" t="s">
        <v>2644</v>
      </c>
      <c r="I964" s="9">
        <v>45341</v>
      </c>
    </row>
    <row r="965" spans="1:9" x14ac:dyDescent="0.15">
      <c r="A965" s="6">
        <v>964</v>
      </c>
      <c r="B965" s="7" t="s">
        <v>8</v>
      </c>
      <c r="C965" s="8">
        <v>1887</v>
      </c>
      <c r="D965" s="9">
        <v>45425</v>
      </c>
      <c r="E965" s="13" t="str">
        <f>+HYPERLINK("http://trademark.i-assist.jp/data/china/image_1887th/76855161.pdf","76855161")</f>
        <v>76855161</v>
      </c>
      <c r="F965" s="7" t="s">
        <v>2645</v>
      </c>
      <c r="G965" s="7" t="s">
        <v>2646</v>
      </c>
      <c r="H965" s="7" t="s">
        <v>2647</v>
      </c>
      <c r="I965" s="9">
        <v>45341</v>
      </c>
    </row>
    <row r="966" spans="1:9" x14ac:dyDescent="0.15">
      <c r="A966" s="6">
        <v>965</v>
      </c>
      <c r="B966" s="7" t="s">
        <v>8</v>
      </c>
      <c r="C966" s="8">
        <v>1887</v>
      </c>
      <c r="D966" s="9">
        <v>45425</v>
      </c>
      <c r="E966" s="13" t="str">
        <f>+HYPERLINK("http://trademark.i-assist.jp/data/china/image_1887th/76855338.pdf","76855338")</f>
        <v>76855338</v>
      </c>
      <c r="F966" s="7" t="s">
        <v>2648</v>
      </c>
      <c r="G966" s="7" t="s">
        <v>2649</v>
      </c>
      <c r="H966" s="7" t="s">
        <v>2650</v>
      </c>
      <c r="I966" s="9">
        <v>45341</v>
      </c>
    </row>
    <row r="967" spans="1:9" ht="27" x14ac:dyDescent="0.15">
      <c r="A967" s="6">
        <v>966</v>
      </c>
      <c r="B967" s="7" t="s">
        <v>8</v>
      </c>
      <c r="C967" s="8">
        <v>1887</v>
      </c>
      <c r="D967" s="9">
        <v>45425</v>
      </c>
      <c r="E967" s="13" t="str">
        <f>+HYPERLINK("http://trademark.i-assist.jp/data/china/image_1887th/76855576.pdf","76855576")</f>
        <v>76855576</v>
      </c>
      <c r="F967" s="7" t="s">
        <v>2651</v>
      </c>
      <c r="G967" s="7" t="s">
        <v>2652</v>
      </c>
      <c r="H967" s="7" t="s">
        <v>2653</v>
      </c>
      <c r="I967" s="9">
        <v>45341</v>
      </c>
    </row>
    <row r="968" spans="1:9" x14ac:dyDescent="0.15">
      <c r="A968" s="6">
        <v>967</v>
      </c>
      <c r="B968" s="7" t="s">
        <v>8</v>
      </c>
      <c r="C968" s="8">
        <v>1887</v>
      </c>
      <c r="D968" s="9">
        <v>45425</v>
      </c>
      <c r="E968" s="13" t="str">
        <f>+HYPERLINK("http://trademark.i-assist.jp/data/china/image_1887th/76855721.pdf","76855721")</f>
        <v>76855721</v>
      </c>
      <c r="F968" s="7" t="s">
        <v>2654</v>
      </c>
      <c r="G968" s="7" t="s">
        <v>2655</v>
      </c>
      <c r="H968" s="7" t="s">
        <v>2656</v>
      </c>
      <c r="I968" s="9">
        <v>45341</v>
      </c>
    </row>
    <row r="969" spans="1:9" x14ac:dyDescent="0.15">
      <c r="A969" s="6">
        <v>968</v>
      </c>
      <c r="B969" s="7" t="s">
        <v>8</v>
      </c>
      <c r="C969" s="8">
        <v>1887</v>
      </c>
      <c r="D969" s="9">
        <v>45425</v>
      </c>
      <c r="E969" s="13" t="str">
        <f>+HYPERLINK("http://trademark.i-assist.jp/data/china/image_1887th/76855944.pdf","76855944")</f>
        <v>76855944</v>
      </c>
      <c r="F969" s="7" t="s">
        <v>2657</v>
      </c>
      <c r="G969" s="7" t="s">
        <v>2658</v>
      </c>
      <c r="H969" s="7" t="s">
        <v>2659</v>
      </c>
      <c r="I969" s="9">
        <v>45341</v>
      </c>
    </row>
    <row r="970" spans="1:9" x14ac:dyDescent="0.15">
      <c r="A970" s="6">
        <v>969</v>
      </c>
      <c r="B970" s="7" t="s">
        <v>8</v>
      </c>
      <c r="C970" s="8">
        <v>1887</v>
      </c>
      <c r="D970" s="9">
        <v>45425</v>
      </c>
      <c r="E970" s="13" t="str">
        <f>+HYPERLINK("http://trademark.i-assist.jp/data/china/image_1887th/76856034.pdf","76856034")</f>
        <v>76856034</v>
      </c>
      <c r="F970" s="7" t="s">
        <v>2660</v>
      </c>
      <c r="G970" s="7" t="s">
        <v>2661</v>
      </c>
      <c r="H970" s="7" t="s">
        <v>2662</v>
      </c>
      <c r="I970" s="9">
        <v>45341</v>
      </c>
    </row>
    <row r="971" spans="1:9" x14ac:dyDescent="0.15">
      <c r="A971" s="6">
        <v>970</v>
      </c>
      <c r="B971" s="7" t="s">
        <v>8</v>
      </c>
      <c r="C971" s="8">
        <v>1887</v>
      </c>
      <c r="D971" s="9">
        <v>45425</v>
      </c>
      <c r="E971" s="13" t="str">
        <f>+HYPERLINK("http://trademark.i-assist.jp/data/china/image_1887th/76856286.pdf","76856286")</f>
        <v>76856286</v>
      </c>
      <c r="F971" s="7" t="s">
        <v>2663</v>
      </c>
      <c r="G971" s="7" t="s">
        <v>2564</v>
      </c>
      <c r="H971" s="7" t="s">
        <v>2664</v>
      </c>
      <c r="I971" s="9">
        <v>45341</v>
      </c>
    </row>
    <row r="972" spans="1:9" x14ac:dyDescent="0.15">
      <c r="A972" s="6">
        <v>971</v>
      </c>
      <c r="B972" s="7" t="s">
        <v>8</v>
      </c>
      <c r="C972" s="8">
        <v>1887</v>
      </c>
      <c r="D972" s="9">
        <v>45425</v>
      </c>
      <c r="E972" s="13" t="str">
        <f>+HYPERLINK("http://trademark.i-assist.jp/data/china/image_1887th/76856650.pdf","76856650")</f>
        <v>76856650</v>
      </c>
      <c r="F972" s="7" t="s">
        <v>2665</v>
      </c>
      <c r="G972" s="7" t="s">
        <v>2666</v>
      </c>
      <c r="H972" s="7" t="s">
        <v>2667</v>
      </c>
      <c r="I972" s="9">
        <v>45341</v>
      </c>
    </row>
    <row r="973" spans="1:9" ht="27" x14ac:dyDescent="0.15">
      <c r="A973" s="6">
        <v>972</v>
      </c>
      <c r="B973" s="7" t="s">
        <v>8</v>
      </c>
      <c r="C973" s="8">
        <v>1887</v>
      </c>
      <c r="D973" s="9">
        <v>45425</v>
      </c>
      <c r="E973" s="13" t="str">
        <f>+HYPERLINK("http://trademark.i-assist.jp/data/china/image_1887th/76856675.pdf","76856675")</f>
        <v>76856675</v>
      </c>
      <c r="F973" s="7" t="s">
        <v>2668</v>
      </c>
      <c r="G973" s="7" t="s">
        <v>2669</v>
      </c>
      <c r="H973" s="7" t="s">
        <v>2670</v>
      </c>
      <c r="I973" s="9">
        <v>45341</v>
      </c>
    </row>
    <row r="974" spans="1:9" x14ac:dyDescent="0.15">
      <c r="A974" s="6">
        <v>973</v>
      </c>
      <c r="B974" s="7" t="s">
        <v>8</v>
      </c>
      <c r="C974" s="8">
        <v>1887</v>
      </c>
      <c r="D974" s="9">
        <v>45425</v>
      </c>
      <c r="E974" s="13" t="str">
        <f>+HYPERLINK("http://trademark.i-assist.jp/data/china/image_1887th/76856735.pdf","76856735")</f>
        <v>76856735</v>
      </c>
      <c r="F974" s="7" t="s">
        <v>2671</v>
      </c>
      <c r="G974" s="7" t="s">
        <v>2672</v>
      </c>
      <c r="H974" s="7" t="s">
        <v>2673</v>
      </c>
      <c r="I974" s="9">
        <v>45341</v>
      </c>
    </row>
    <row r="975" spans="1:9" x14ac:dyDescent="0.15">
      <c r="A975" s="6">
        <v>974</v>
      </c>
      <c r="B975" s="7" t="s">
        <v>8</v>
      </c>
      <c r="C975" s="8">
        <v>1887</v>
      </c>
      <c r="D975" s="9">
        <v>45425</v>
      </c>
      <c r="E975" s="13" t="str">
        <f>+HYPERLINK("http://trademark.i-assist.jp/data/china/image_1887th/76856902.pdf","76856902")</f>
        <v>76856902</v>
      </c>
      <c r="F975" s="7" t="s">
        <v>2674</v>
      </c>
      <c r="G975" s="7" t="s">
        <v>2675</v>
      </c>
      <c r="H975" s="7" t="s">
        <v>2676</v>
      </c>
      <c r="I975" s="9">
        <v>45341</v>
      </c>
    </row>
    <row r="976" spans="1:9" ht="27" x14ac:dyDescent="0.15">
      <c r="A976" s="6">
        <v>975</v>
      </c>
      <c r="B976" s="7" t="s">
        <v>8</v>
      </c>
      <c r="C976" s="8">
        <v>1887</v>
      </c>
      <c r="D976" s="9">
        <v>45425</v>
      </c>
      <c r="E976" s="13" t="str">
        <f>+HYPERLINK("http://trademark.i-assist.jp/data/china/image_1887th/76857143.pdf","76857143")</f>
        <v>76857143</v>
      </c>
      <c r="F976" s="7" t="s">
        <v>2677</v>
      </c>
      <c r="G976" s="7" t="s">
        <v>2678</v>
      </c>
      <c r="H976" s="7" t="s">
        <v>2679</v>
      </c>
      <c r="I976" s="9">
        <v>45341</v>
      </c>
    </row>
    <row r="977" spans="1:9" x14ac:dyDescent="0.15">
      <c r="A977" s="6">
        <v>976</v>
      </c>
      <c r="B977" s="7" t="s">
        <v>8</v>
      </c>
      <c r="C977" s="8">
        <v>1887</v>
      </c>
      <c r="D977" s="9">
        <v>45425</v>
      </c>
      <c r="E977" s="13" t="str">
        <f>+HYPERLINK("http://trademark.i-assist.jp/data/china/image_1887th/76857259.pdf","76857259")</f>
        <v>76857259</v>
      </c>
      <c r="F977" s="7" t="s">
        <v>2680</v>
      </c>
      <c r="G977" s="7" t="s">
        <v>2681</v>
      </c>
      <c r="H977" s="7" t="s">
        <v>2682</v>
      </c>
      <c r="I977" s="9">
        <v>45341</v>
      </c>
    </row>
    <row r="978" spans="1:9" x14ac:dyDescent="0.15">
      <c r="A978" s="6">
        <v>977</v>
      </c>
      <c r="B978" s="7" t="s">
        <v>8</v>
      </c>
      <c r="C978" s="8">
        <v>1887</v>
      </c>
      <c r="D978" s="9">
        <v>45425</v>
      </c>
      <c r="E978" s="13" t="str">
        <f>+HYPERLINK("http://trademark.i-assist.jp/data/china/image_1887th/76857389.pdf","76857389")</f>
        <v>76857389</v>
      </c>
      <c r="F978" s="7" t="s">
        <v>2683</v>
      </c>
      <c r="G978" s="7" t="s">
        <v>2684</v>
      </c>
      <c r="H978" s="7" t="s">
        <v>2685</v>
      </c>
      <c r="I978" s="9">
        <v>45341</v>
      </c>
    </row>
    <row r="979" spans="1:9" x14ac:dyDescent="0.15">
      <c r="A979" s="6">
        <v>978</v>
      </c>
      <c r="B979" s="7" t="s">
        <v>8</v>
      </c>
      <c r="C979" s="8">
        <v>1887</v>
      </c>
      <c r="D979" s="9">
        <v>45425</v>
      </c>
      <c r="E979" s="13" t="str">
        <f>+HYPERLINK("http://trademark.i-assist.jp/data/china/image_1887th/76857728.pdf","76857728")</f>
        <v>76857728</v>
      </c>
      <c r="F979" s="7" t="s">
        <v>2686</v>
      </c>
      <c r="G979" s="7" t="s">
        <v>2687</v>
      </c>
      <c r="H979" s="7" t="s">
        <v>2688</v>
      </c>
      <c r="I979" s="9">
        <v>45341</v>
      </c>
    </row>
    <row r="980" spans="1:9" x14ac:dyDescent="0.15">
      <c r="A980" s="6">
        <v>979</v>
      </c>
      <c r="B980" s="7" t="s">
        <v>8</v>
      </c>
      <c r="C980" s="8">
        <v>1887</v>
      </c>
      <c r="D980" s="9">
        <v>45425</v>
      </c>
      <c r="E980" s="13" t="str">
        <f>+HYPERLINK("http://trademark.i-assist.jp/data/china/image_1887th/76857739.pdf","76857739")</f>
        <v>76857739</v>
      </c>
      <c r="F980" s="7" t="s">
        <v>2689</v>
      </c>
      <c r="G980" s="7" t="s">
        <v>2690</v>
      </c>
      <c r="H980" s="7" t="s">
        <v>2691</v>
      </c>
      <c r="I980" s="9">
        <v>45341</v>
      </c>
    </row>
    <row r="981" spans="1:9" ht="27" x14ac:dyDescent="0.15">
      <c r="A981" s="6">
        <v>980</v>
      </c>
      <c r="B981" s="7" t="s">
        <v>8</v>
      </c>
      <c r="C981" s="8">
        <v>1887</v>
      </c>
      <c r="D981" s="9">
        <v>45425</v>
      </c>
      <c r="E981" s="13" t="str">
        <f>+HYPERLINK("http://trademark.i-assist.jp/data/china/image_1887th/76857853.pdf","76857853")</f>
        <v>76857853</v>
      </c>
      <c r="F981" s="7" t="s">
        <v>2692</v>
      </c>
      <c r="G981" s="7" t="s">
        <v>2693</v>
      </c>
      <c r="H981" s="7" t="s">
        <v>2694</v>
      </c>
      <c r="I981" s="9">
        <v>45341</v>
      </c>
    </row>
    <row r="982" spans="1:9" x14ac:dyDescent="0.15">
      <c r="A982" s="6">
        <v>981</v>
      </c>
      <c r="B982" s="7" t="s">
        <v>8</v>
      </c>
      <c r="C982" s="8">
        <v>1887</v>
      </c>
      <c r="D982" s="9">
        <v>45425</v>
      </c>
      <c r="E982" s="13" t="str">
        <f>+HYPERLINK("http://trademark.i-assist.jp/data/china/image_1887th/76858154.pdf","76858154")</f>
        <v>76858154</v>
      </c>
      <c r="F982" s="7" t="s">
        <v>2695</v>
      </c>
      <c r="G982" s="7" t="s">
        <v>2567</v>
      </c>
      <c r="H982" s="7" t="s">
        <v>2696</v>
      </c>
      <c r="I982" s="9">
        <v>45341</v>
      </c>
    </row>
    <row r="983" spans="1:9" x14ac:dyDescent="0.15">
      <c r="A983" s="6">
        <v>982</v>
      </c>
      <c r="B983" s="7" t="s">
        <v>8</v>
      </c>
      <c r="C983" s="8">
        <v>1887</v>
      </c>
      <c r="D983" s="9">
        <v>45425</v>
      </c>
      <c r="E983" s="13" t="str">
        <f>+HYPERLINK("http://trademark.i-assist.jp/data/china/image_1887th/76858184.pdf","76858184")</f>
        <v>76858184</v>
      </c>
      <c r="F983" s="7" t="s">
        <v>2697</v>
      </c>
      <c r="G983" s="7" t="s">
        <v>2684</v>
      </c>
      <c r="H983" s="7" t="s">
        <v>2698</v>
      </c>
      <c r="I983" s="9">
        <v>45341</v>
      </c>
    </row>
    <row r="984" spans="1:9" x14ac:dyDescent="0.15">
      <c r="A984" s="6">
        <v>983</v>
      </c>
      <c r="B984" s="7" t="s">
        <v>8</v>
      </c>
      <c r="C984" s="8">
        <v>1887</v>
      </c>
      <c r="D984" s="9">
        <v>45425</v>
      </c>
      <c r="E984" s="13" t="str">
        <f>+HYPERLINK("http://trademark.i-assist.jp/data/china/image_1887th/76858190.pdf","76858190")</f>
        <v>76858190</v>
      </c>
      <c r="F984" s="7" t="s">
        <v>2699</v>
      </c>
      <c r="G984" s="7" t="s">
        <v>2684</v>
      </c>
      <c r="H984" s="7" t="s">
        <v>2700</v>
      </c>
      <c r="I984" s="9">
        <v>45341</v>
      </c>
    </row>
    <row r="985" spans="1:9" x14ac:dyDescent="0.15">
      <c r="A985" s="6">
        <v>984</v>
      </c>
      <c r="B985" s="7" t="s">
        <v>8</v>
      </c>
      <c r="C985" s="8">
        <v>1887</v>
      </c>
      <c r="D985" s="9">
        <v>45425</v>
      </c>
      <c r="E985" s="13" t="str">
        <f>+HYPERLINK("http://trademark.i-assist.jp/data/china/image_1887th/76858285.pdf","76858285")</f>
        <v>76858285</v>
      </c>
      <c r="F985" s="7" t="s">
        <v>2701</v>
      </c>
      <c r="G985" s="7" t="s">
        <v>2702</v>
      </c>
      <c r="H985" s="7" t="s">
        <v>2703</v>
      </c>
      <c r="I985" s="9">
        <v>45341</v>
      </c>
    </row>
    <row r="986" spans="1:9" x14ac:dyDescent="0.15">
      <c r="A986" s="6">
        <v>985</v>
      </c>
      <c r="B986" s="7" t="s">
        <v>8</v>
      </c>
      <c r="C986" s="8">
        <v>1887</v>
      </c>
      <c r="D986" s="9">
        <v>45425</v>
      </c>
      <c r="E986" s="13" t="str">
        <f>+HYPERLINK("http://trademark.i-assist.jp/data/china/image_1887th/76858320.pdf","76858320")</f>
        <v>76858320</v>
      </c>
      <c r="F986" s="7" t="s">
        <v>54</v>
      </c>
      <c r="G986" s="7" t="s">
        <v>2704</v>
      </c>
      <c r="H986" s="7" t="s">
        <v>2705</v>
      </c>
      <c r="I986" s="9">
        <v>45341</v>
      </c>
    </row>
    <row r="987" spans="1:9" x14ac:dyDescent="0.15">
      <c r="A987" s="6">
        <v>986</v>
      </c>
      <c r="B987" s="7" t="s">
        <v>8</v>
      </c>
      <c r="C987" s="8">
        <v>1887</v>
      </c>
      <c r="D987" s="9">
        <v>45425</v>
      </c>
      <c r="E987" s="13" t="str">
        <f>+HYPERLINK("http://trademark.i-assist.jp/data/china/image_1887th/76858383.pdf","76858383")</f>
        <v>76858383</v>
      </c>
      <c r="F987" s="7" t="s">
        <v>2706</v>
      </c>
      <c r="G987" s="7" t="s">
        <v>2707</v>
      </c>
      <c r="H987" s="7" t="s">
        <v>2708</v>
      </c>
      <c r="I987" s="9">
        <v>45341</v>
      </c>
    </row>
    <row r="988" spans="1:9" x14ac:dyDescent="0.15">
      <c r="A988" s="6">
        <v>987</v>
      </c>
      <c r="B988" s="7" t="s">
        <v>8</v>
      </c>
      <c r="C988" s="8">
        <v>1887</v>
      </c>
      <c r="D988" s="9">
        <v>45425</v>
      </c>
      <c r="E988" s="13" t="str">
        <f>+HYPERLINK("http://trademark.i-assist.jp/data/china/image_1887th/76858888.pdf","76858888")</f>
        <v>76858888</v>
      </c>
      <c r="F988" s="7" t="s">
        <v>2709</v>
      </c>
      <c r="G988" s="7" t="s">
        <v>2710</v>
      </c>
      <c r="H988" s="7" t="s">
        <v>2711</v>
      </c>
      <c r="I988" s="9">
        <v>45341</v>
      </c>
    </row>
    <row r="989" spans="1:9" x14ac:dyDescent="0.15">
      <c r="A989" s="6">
        <v>988</v>
      </c>
      <c r="B989" s="7" t="s">
        <v>8</v>
      </c>
      <c r="C989" s="8">
        <v>1887</v>
      </c>
      <c r="D989" s="9">
        <v>45425</v>
      </c>
      <c r="E989" s="13" t="str">
        <f>+HYPERLINK("http://trademark.i-assist.jp/data/china/image_1887th/76859274.pdf","76859274")</f>
        <v>76859274</v>
      </c>
      <c r="F989" s="7" t="s">
        <v>2712</v>
      </c>
      <c r="G989" s="7" t="s">
        <v>2713</v>
      </c>
      <c r="H989" s="7" t="s">
        <v>2714</v>
      </c>
      <c r="I989" s="9">
        <v>45341</v>
      </c>
    </row>
    <row r="990" spans="1:9" ht="27" x14ac:dyDescent="0.15">
      <c r="A990" s="6">
        <v>989</v>
      </c>
      <c r="B990" s="7" t="s">
        <v>8</v>
      </c>
      <c r="C990" s="8">
        <v>1887</v>
      </c>
      <c r="D990" s="9">
        <v>45425</v>
      </c>
      <c r="E990" s="13" t="str">
        <f>+HYPERLINK("http://trademark.i-assist.jp/data/china/image_1887th/76859478.pdf","76859478")</f>
        <v>76859478</v>
      </c>
      <c r="F990" s="7" t="s">
        <v>2715</v>
      </c>
      <c r="G990" s="7" t="s">
        <v>2716</v>
      </c>
      <c r="H990" s="7" t="s">
        <v>2717</v>
      </c>
      <c r="I990" s="9">
        <v>45341</v>
      </c>
    </row>
    <row r="991" spans="1:9" x14ac:dyDescent="0.15">
      <c r="A991" s="6">
        <v>990</v>
      </c>
      <c r="B991" s="7" t="s">
        <v>8</v>
      </c>
      <c r="C991" s="8">
        <v>1887</v>
      </c>
      <c r="D991" s="9">
        <v>45425</v>
      </c>
      <c r="E991" s="13" t="str">
        <f>+HYPERLINK("http://trademark.i-assist.jp/data/china/image_1887th/76859812.pdf","76859812")</f>
        <v>76859812</v>
      </c>
      <c r="F991" s="7" t="s">
        <v>2718</v>
      </c>
      <c r="G991" s="7" t="s">
        <v>2564</v>
      </c>
      <c r="H991" s="7" t="s">
        <v>2719</v>
      </c>
      <c r="I991" s="9">
        <v>45341</v>
      </c>
    </row>
    <row r="992" spans="1:9" x14ac:dyDescent="0.15">
      <c r="A992" s="6">
        <v>991</v>
      </c>
      <c r="B992" s="7" t="s">
        <v>8</v>
      </c>
      <c r="C992" s="8">
        <v>1887</v>
      </c>
      <c r="D992" s="9">
        <v>45425</v>
      </c>
      <c r="E992" s="13" t="str">
        <f>+HYPERLINK("http://trademark.i-assist.jp/data/china/image_1887th/76859848.pdf","76859848")</f>
        <v>76859848</v>
      </c>
      <c r="F992" s="7" t="s">
        <v>2720</v>
      </c>
      <c r="G992" s="7" t="s">
        <v>2721</v>
      </c>
      <c r="H992" s="7" t="s">
        <v>2722</v>
      </c>
      <c r="I992" s="9">
        <v>45341</v>
      </c>
    </row>
    <row r="993" spans="1:9" x14ac:dyDescent="0.15">
      <c r="A993" s="6">
        <v>992</v>
      </c>
      <c r="B993" s="7" t="s">
        <v>8</v>
      </c>
      <c r="C993" s="8">
        <v>1887</v>
      </c>
      <c r="D993" s="9">
        <v>45425</v>
      </c>
      <c r="E993" s="13" t="str">
        <f>+HYPERLINK("http://trademark.i-assist.jp/data/china/image_1887th/76859963.pdf","76859963")</f>
        <v>76859963</v>
      </c>
      <c r="F993" s="7" t="s">
        <v>2723</v>
      </c>
      <c r="G993" s="7" t="s">
        <v>2724</v>
      </c>
      <c r="H993" s="7" t="s">
        <v>2725</v>
      </c>
      <c r="I993" s="9">
        <v>45341</v>
      </c>
    </row>
    <row r="994" spans="1:9" x14ac:dyDescent="0.15">
      <c r="A994" s="6">
        <v>993</v>
      </c>
      <c r="B994" s="7" t="s">
        <v>8</v>
      </c>
      <c r="C994" s="8">
        <v>1887</v>
      </c>
      <c r="D994" s="9">
        <v>45425</v>
      </c>
      <c r="E994" s="13" t="str">
        <f>+HYPERLINK("http://trademark.i-assist.jp/data/china/image_1887th/76860076.pdf","76860076")</f>
        <v>76860076</v>
      </c>
      <c r="F994" s="7" t="s">
        <v>2726</v>
      </c>
      <c r="G994" s="7" t="s">
        <v>2646</v>
      </c>
      <c r="H994" s="7" t="s">
        <v>2727</v>
      </c>
      <c r="I994" s="9">
        <v>45341</v>
      </c>
    </row>
    <row r="995" spans="1:9" x14ac:dyDescent="0.15">
      <c r="A995" s="6">
        <v>994</v>
      </c>
      <c r="B995" s="7" t="s">
        <v>8</v>
      </c>
      <c r="C995" s="8">
        <v>1887</v>
      </c>
      <c r="D995" s="9">
        <v>45425</v>
      </c>
      <c r="E995" s="13" t="str">
        <f>+HYPERLINK("http://trademark.i-assist.jp/data/china/image_1887th/76860434.pdf","76860434")</f>
        <v>76860434</v>
      </c>
      <c r="F995" s="7" t="s">
        <v>2728</v>
      </c>
      <c r="G995" s="7" t="s">
        <v>2729</v>
      </c>
      <c r="H995" s="7" t="s">
        <v>2730</v>
      </c>
      <c r="I995" s="9">
        <v>45341</v>
      </c>
    </row>
    <row r="996" spans="1:9" x14ac:dyDescent="0.15">
      <c r="A996" s="6">
        <v>995</v>
      </c>
      <c r="B996" s="7" t="s">
        <v>8</v>
      </c>
      <c r="C996" s="8">
        <v>1887</v>
      </c>
      <c r="D996" s="9">
        <v>45425</v>
      </c>
      <c r="E996" s="13" t="str">
        <f>+HYPERLINK("http://trademark.i-assist.jp/data/china/image_1887th/76860581.pdf","76860581")</f>
        <v>76860581</v>
      </c>
      <c r="F996" s="7" t="s">
        <v>2731</v>
      </c>
      <c r="G996" s="7" t="s">
        <v>1753</v>
      </c>
      <c r="H996" s="7" t="s">
        <v>2732</v>
      </c>
      <c r="I996" s="9">
        <v>45341</v>
      </c>
    </row>
    <row r="997" spans="1:9" x14ac:dyDescent="0.15">
      <c r="A997" s="6">
        <v>996</v>
      </c>
      <c r="B997" s="7" t="s">
        <v>8</v>
      </c>
      <c r="C997" s="8">
        <v>1887</v>
      </c>
      <c r="D997" s="9">
        <v>45425</v>
      </c>
      <c r="E997" s="13" t="str">
        <f>+HYPERLINK("http://trademark.i-assist.jp/data/china/image_1887th/76860588.pdf","76860588")</f>
        <v>76860588</v>
      </c>
      <c r="F997" s="7" t="s">
        <v>2733</v>
      </c>
      <c r="G997" s="7" t="s">
        <v>1753</v>
      </c>
      <c r="H997" s="7" t="s">
        <v>2734</v>
      </c>
      <c r="I997" s="9">
        <v>45341</v>
      </c>
    </row>
    <row r="998" spans="1:9" x14ac:dyDescent="0.15">
      <c r="A998" s="6">
        <v>997</v>
      </c>
      <c r="B998" s="7" t="s">
        <v>8</v>
      </c>
      <c r="C998" s="8">
        <v>1887</v>
      </c>
      <c r="D998" s="9">
        <v>45425</v>
      </c>
      <c r="E998" s="13" t="str">
        <f>+HYPERLINK("http://trademark.i-assist.jp/data/china/image_1887th/76860974.pdf","76860974")</f>
        <v>76860974</v>
      </c>
      <c r="F998" s="7" t="s">
        <v>2735</v>
      </c>
      <c r="G998" s="7" t="s">
        <v>2736</v>
      </c>
      <c r="H998" s="7" t="s">
        <v>2737</v>
      </c>
      <c r="I998" s="9">
        <v>45341</v>
      </c>
    </row>
    <row r="999" spans="1:9" x14ac:dyDescent="0.15">
      <c r="A999" s="6">
        <v>998</v>
      </c>
      <c r="B999" s="7" t="s">
        <v>8</v>
      </c>
      <c r="C999" s="8">
        <v>1887</v>
      </c>
      <c r="D999" s="9">
        <v>45425</v>
      </c>
      <c r="E999" s="13" t="str">
        <f>+HYPERLINK("http://trademark.i-assist.jp/data/china/image_1887th/76861195.pdf","76861195")</f>
        <v>76861195</v>
      </c>
      <c r="F999" s="7" t="s">
        <v>2738</v>
      </c>
      <c r="G999" s="7" t="s">
        <v>2739</v>
      </c>
      <c r="H999" s="7" t="s">
        <v>2740</v>
      </c>
      <c r="I999" s="9">
        <v>45341</v>
      </c>
    </row>
    <row r="1000" spans="1:9" ht="27" x14ac:dyDescent="0.15">
      <c r="A1000" s="6">
        <v>999</v>
      </c>
      <c r="B1000" s="7" t="s">
        <v>8</v>
      </c>
      <c r="C1000" s="8">
        <v>1887</v>
      </c>
      <c r="D1000" s="9">
        <v>45425</v>
      </c>
      <c r="E1000" s="13" t="str">
        <f>+HYPERLINK("http://trademark.i-assist.jp/data/china/image_1887th/76861300.pdf","76861300")</f>
        <v>76861300</v>
      </c>
      <c r="F1000" s="7" t="s">
        <v>2741</v>
      </c>
      <c r="G1000" s="7" t="s">
        <v>967</v>
      </c>
      <c r="H1000" s="7" t="s">
        <v>2742</v>
      </c>
      <c r="I1000" s="9">
        <v>45341</v>
      </c>
    </row>
    <row r="1001" spans="1:9" x14ac:dyDescent="0.15">
      <c r="A1001" s="6">
        <v>1000</v>
      </c>
      <c r="B1001" s="7" t="s">
        <v>8</v>
      </c>
      <c r="C1001" s="8">
        <v>1887</v>
      </c>
      <c r="D1001" s="9">
        <v>45425</v>
      </c>
      <c r="E1001" s="13" t="str">
        <f>+HYPERLINK("http://trademark.i-assist.jp/data/china/image_1887th/76861633.pdf","76861633")</f>
        <v>76861633</v>
      </c>
      <c r="F1001" s="7" t="s">
        <v>2743</v>
      </c>
      <c r="G1001" s="7" t="s">
        <v>2744</v>
      </c>
      <c r="H1001" s="7" t="s">
        <v>2745</v>
      </c>
      <c r="I1001" s="9">
        <v>45341</v>
      </c>
    </row>
    <row r="1002" spans="1:9" x14ac:dyDescent="0.15">
      <c r="A1002" s="6">
        <v>1001</v>
      </c>
      <c r="B1002" s="7" t="s">
        <v>8</v>
      </c>
      <c r="C1002" s="8">
        <v>1887</v>
      </c>
      <c r="D1002" s="9">
        <v>45425</v>
      </c>
      <c r="E1002" s="13" t="str">
        <f>+HYPERLINK("http://trademark.i-assist.jp/data/china/image_1887th/76861709.pdf","76861709")</f>
        <v>76861709</v>
      </c>
      <c r="F1002" s="7" t="s">
        <v>2746</v>
      </c>
      <c r="G1002" s="7" t="s">
        <v>2747</v>
      </c>
      <c r="H1002" s="7" t="s">
        <v>2748</v>
      </c>
      <c r="I1002" s="9">
        <v>45341</v>
      </c>
    </row>
    <row r="1003" spans="1:9" ht="27" x14ac:dyDescent="0.15">
      <c r="A1003" s="6">
        <v>1002</v>
      </c>
      <c r="B1003" s="7" t="s">
        <v>8</v>
      </c>
      <c r="C1003" s="8">
        <v>1887</v>
      </c>
      <c r="D1003" s="9">
        <v>45425</v>
      </c>
      <c r="E1003" s="13" t="str">
        <f>+HYPERLINK("http://trademark.i-assist.jp/data/china/image_1887th/76862040.pdf","76862040")</f>
        <v>76862040</v>
      </c>
      <c r="F1003" s="7" t="s">
        <v>2749</v>
      </c>
      <c r="G1003" s="7" t="s">
        <v>2750</v>
      </c>
      <c r="H1003" s="7" t="s">
        <v>2751</v>
      </c>
      <c r="I1003" s="9">
        <v>45341</v>
      </c>
    </row>
    <row r="1004" spans="1:9" x14ac:dyDescent="0.15">
      <c r="A1004" s="6">
        <v>1003</v>
      </c>
      <c r="B1004" s="7" t="s">
        <v>8</v>
      </c>
      <c r="C1004" s="8">
        <v>1887</v>
      </c>
      <c r="D1004" s="9">
        <v>45425</v>
      </c>
      <c r="E1004" s="13" t="str">
        <f>+HYPERLINK("http://trademark.i-assist.jp/data/china/image_1887th/76862988.pdf","76862988")</f>
        <v>76862988</v>
      </c>
      <c r="F1004" s="7" t="s">
        <v>2752</v>
      </c>
      <c r="G1004" s="7" t="s">
        <v>2753</v>
      </c>
      <c r="H1004" s="7" t="s">
        <v>2754</v>
      </c>
      <c r="I1004" s="9">
        <v>45341</v>
      </c>
    </row>
    <row r="1005" spans="1:9" ht="27" x14ac:dyDescent="0.15">
      <c r="A1005" s="6">
        <v>1004</v>
      </c>
      <c r="B1005" s="7" t="s">
        <v>8</v>
      </c>
      <c r="C1005" s="8">
        <v>1887</v>
      </c>
      <c r="D1005" s="9">
        <v>45425</v>
      </c>
      <c r="E1005" s="13" t="str">
        <f>+HYPERLINK("http://trademark.i-assist.jp/data/china/image_1887th/76863048.pdf","76863048")</f>
        <v>76863048</v>
      </c>
      <c r="F1005" s="7" t="s">
        <v>2755</v>
      </c>
      <c r="G1005" s="7" t="s">
        <v>2756</v>
      </c>
      <c r="H1005" s="7" t="s">
        <v>2757</v>
      </c>
      <c r="I1005" s="9">
        <v>45341</v>
      </c>
    </row>
    <row r="1006" spans="1:9" x14ac:dyDescent="0.15">
      <c r="A1006" s="6">
        <v>1005</v>
      </c>
      <c r="B1006" s="7" t="s">
        <v>8</v>
      </c>
      <c r="C1006" s="8">
        <v>1887</v>
      </c>
      <c r="D1006" s="9">
        <v>45425</v>
      </c>
      <c r="E1006" s="13" t="str">
        <f>+HYPERLINK("http://trademark.i-assist.jp/data/china/image_1887th/76863190.pdf","76863190")</f>
        <v>76863190</v>
      </c>
      <c r="F1006" s="7" t="s">
        <v>2758</v>
      </c>
      <c r="G1006" s="7" t="s">
        <v>1753</v>
      </c>
      <c r="H1006" s="7" t="s">
        <v>2759</v>
      </c>
      <c r="I1006" s="9">
        <v>45341</v>
      </c>
    </row>
    <row r="1007" spans="1:9" x14ac:dyDescent="0.15">
      <c r="A1007" s="6">
        <v>1006</v>
      </c>
      <c r="B1007" s="7" t="s">
        <v>8</v>
      </c>
      <c r="C1007" s="8">
        <v>1887</v>
      </c>
      <c r="D1007" s="9">
        <v>45425</v>
      </c>
      <c r="E1007" s="13" t="str">
        <f>+HYPERLINK("http://trademark.i-assist.jp/data/china/image_1887th/76863196.pdf","76863196")</f>
        <v>76863196</v>
      </c>
      <c r="F1007" s="7" t="s">
        <v>2760</v>
      </c>
      <c r="G1007" s="7" t="s">
        <v>2761</v>
      </c>
      <c r="H1007" s="7" t="s">
        <v>2762</v>
      </c>
      <c r="I1007" s="9">
        <v>45341</v>
      </c>
    </row>
    <row r="1008" spans="1:9" x14ac:dyDescent="0.15">
      <c r="A1008" s="6">
        <v>1007</v>
      </c>
      <c r="B1008" s="7" t="s">
        <v>8</v>
      </c>
      <c r="C1008" s="8">
        <v>1887</v>
      </c>
      <c r="D1008" s="9">
        <v>45425</v>
      </c>
      <c r="E1008" s="13" t="str">
        <f>+HYPERLINK("http://trademark.i-assist.jp/data/china/image_1887th/76863449.pdf","76863449")</f>
        <v>76863449</v>
      </c>
      <c r="F1008" s="7" t="s">
        <v>2763</v>
      </c>
      <c r="G1008" s="7" t="s">
        <v>2764</v>
      </c>
      <c r="H1008" s="7" t="s">
        <v>2765</v>
      </c>
      <c r="I1008" s="9">
        <v>45342</v>
      </c>
    </row>
    <row r="1009" spans="1:9" x14ac:dyDescent="0.15">
      <c r="A1009" s="6">
        <v>1008</v>
      </c>
      <c r="B1009" s="7" t="s">
        <v>8</v>
      </c>
      <c r="C1009" s="8">
        <v>1887</v>
      </c>
      <c r="D1009" s="9">
        <v>45425</v>
      </c>
      <c r="E1009" s="13" t="str">
        <f>+HYPERLINK("http://trademark.i-assist.jp/data/china/image_1887th/76863597.pdf","76863597")</f>
        <v>76863597</v>
      </c>
      <c r="F1009" s="7" t="s">
        <v>2766</v>
      </c>
      <c r="G1009" s="7" t="s">
        <v>2767</v>
      </c>
      <c r="H1009" s="7" t="s">
        <v>2768</v>
      </c>
      <c r="I1009" s="9">
        <v>45342</v>
      </c>
    </row>
    <row r="1010" spans="1:9" x14ac:dyDescent="0.15">
      <c r="A1010" s="6">
        <v>1009</v>
      </c>
      <c r="B1010" s="7" t="s">
        <v>8</v>
      </c>
      <c r="C1010" s="8">
        <v>1887</v>
      </c>
      <c r="D1010" s="9">
        <v>45425</v>
      </c>
      <c r="E1010" s="13" t="str">
        <f>+HYPERLINK("http://trademark.i-assist.jp/data/china/image_1887th/76863603.pdf","76863603")</f>
        <v>76863603</v>
      </c>
      <c r="F1010" s="7" t="s">
        <v>2769</v>
      </c>
      <c r="G1010" s="7" t="s">
        <v>2767</v>
      </c>
      <c r="H1010" s="7" t="s">
        <v>2770</v>
      </c>
      <c r="I1010" s="9">
        <v>45342</v>
      </c>
    </row>
    <row r="1011" spans="1:9" ht="27" x14ac:dyDescent="0.15">
      <c r="A1011" s="6">
        <v>1010</v>
      </c>
      <c r="B1011" s="7" t="s">
        <v>8</v>
      </c>
      <c r="C1011" s="8">
        <v>1887</v>
      </c>
      <c r="D1011" s="9">
        <v>45425</v>
      </c>
      <c r="E1011" s="13" t="str">
        <f>+HYPERLINK("http://trademark.i-assist.jp/data/china/image_1887th/76863625.pdf","76863625")</f>
        <v>76863625</v>
      </c>
      <c r="F1011" s="7" t="s">
        <v>2771</v>
      </c>
      <c r="G1011" s="7" t="s">
        <v>2772</v>
      </c>
      <c r="H1011" s="7" t="s">
        <v>2773</v>
      </c>
      <c r="I1011" s="9">
        <v>45342</v>
      </c>
    </row>
    <row r="1012" spans="1:9" x14ac:dyDescent="0.15">
      <c r="A1012" s="6">
        <v>1011</v>
      </c>
      <c r="B1012" s="7" t="s">
        <v>8</v>
      </c>
      <c r="C1012" s="8">
        <v>1887</v>
      </c>
      <c r="D1012" s="9">
        <v>45425</v>
      </c>
      <c r="E1012" s="13" t="str">
        <f>+HYPERLINK("http://trademark.i-assist.jp/data/china/image_1887th/76863645.pdf","76863645")</f>
        <v>76863645</v>
      </c>
      <c r="F1012" s="7" t="s">
        <v>2774</v>
      </c>
      <c r="G1012" s="7" t="s">
        <v>2775</v>
      </c>
      <c r="H1012" s="7" t="s">
        <v>2776</v>
      </c>
      <c r="I1012" s="9">
        <v>45342</v>
      </c>
    </row>
    <row r="1013" spans="1:9" x14ac:dyDescent="0.15">
      <c r="A1013" s="6">
        <v>1012</v>
      </c>
      <c r="B1013" s="7" t="s">
        <v>8</v>
      </c>
      <c r="C1013" s="8">
        <v>1887</v>
      </c>
      <c r="D1013" s="9">
        <v>45425</v>
      </c>
      <c r="E1013" s="13" t="str">
        <f>+HYPERLINK("http://trademark.i-assist.jp/data/china/image_1887th/76863891.pdf","76863891")</f>
        <v>76863891</v>
      </c>
      <c r="F1013" s="7" t="s">
        <v>2777</v>
      </c>
      <c r="G1013" s="7" t="s">
        <v>2778</v>
      </c>
      <c r="H1013" s="7" t="s">
        <v>2779</v>
      </c>
      <c r="I1013" s="9">
        <v>45342</v>
      </c>
    </row>
    <row r="1014" spans="1:9" x14ac:dyDescent="0.15">
      <c r="A1014" s="6">
        <v>1013</v>
      </c>
      <c r="B1014" s="7" t="s">
        <v>8</v>
      </c>
      <c r="C1014" s="8">
        <v>1887</v>
      </c>
      <c r="D1014" s="9">
        <v>45425</v>
      </c>
      <c r="E1014" s="13" t="str">
        <f>+HYPERLINK("http://trademark.i-assist.jp/data/china/image_1887th/76864087.pdf","76864087")</f>
        <v>76864087</v>
      </c>
      <c r="F1014" s="7" t="s">
        <v>2780</v>
      </c>
      <c r="G1014" s="7" t="s">
        <v>2781</v>
      </c>
      <c r="H1014" s="7" t="s">
        <v>2782</v>
      </c>
      <c r="I1014" s="9">
        <v>45342</v>
      </c>
    </row>
    <row r="1015" spans="1:9" x14ac:dyDescent="0.15">
      <c r="A1015" s="6">
        <v>1014</v>
      </c>
      <c r="B1015" s="7" t="s">
        <v>8</v>
      </c>
      <c r="C1015" s="8">
        <v>1887</v>
      </c>
      <c r="D1015" s="9">
        <v>45425</v>
      </c>
      <c r="E1015" s="13" t="str">
        <f>+HYPERLINK("http://trademark.i-assist.jp/data/china/image_1887th/76864144.pdf","76864144")</f>
        <v>76864144</v>
      </c>
      <c r="F1015" s="7" t="s">
        <v>2783</v>
      </c>
      <c r="G1015" s="7" t="s">
        <v>2784</v>
      </c>
      <c r="H1015" s="7" t="s">
        <v>2785</v>
      </c>
      <c r="I1015" s="9">
        <v>45342</v>
      </c>
    </row>
    <row r="1016" spans="1:9" x14ac:dyDescent="0.15">
      <c r="A1016" s="6">
        <v>1015</v>
      </c>
      <c r="B1016" s="7" t="s">
        <v>8</v>
      </c>
      <c r="C1016" s="8">
        <v>1887</v>
      </c>
      <c r="D1016" s="9">
        <v>45425</v>
      </c>
      <c r="E1016" s="13" t="str">
        <f>+HYPERLINK("http://trademark.i-assist.jp/data/china/image_1887th/76864173.pdf","76864173")</f>
        <v>76864173</v>
      </c>
      <c r="F1016" s="7" t="s">
        <v>2786</v>
      </c>
      <c r="G1016" s="7" t="s">
        <v>2784</v>
      </c>
      <c r="H1016" s="7" t="s">
        <v>2787</v>
      </c>
      <c r="I1016" s="9">
        <v>45342</v>
      </c>
    </row>
    <row r="1017" spans="1:9" x14ac:dyDescent="0.15">
      <c r="A1017" s="6">
        <v>1016</v>
      </c>
      <c r="B1017" s="7" t="s">
        <v>8</v>
      </c>
      <c r="C1017" s="8">
        <v>1887</v>
      </c>
      <c r="D1017" s="9">
        <v>45425</v>
      </c>
      <c r="E1017" s="13" t="str">
        <f>+HYPERLINK("http://trademark.i-assist.jp/data/china/image_1887th/76864310.pdf","76864310")</f>
        <v>76864310</v>
      </c>
      <c r="F1017" s="7" t="s">
        <v>2788</v>
      </c>
      <c r="G1017" s="7" t="s">
        <v>2789</v>
      </c>
      <c r="H1017" s="7" t="s">
        <v>2790</v>
      </c>
      <c r="I1017" s="9">
        <v>45342</v>
      </c>
    </row>
    <row r="1018" spans="1:9" x14ac:dyDescent="0.15">
      <c r="A1018" s="6">
        <v>1017</v>
      </c>
      <c r="B1018" s="7" t="s">
        <v>8</v>
      </c>
      <c r="C1018" s="8">
        <v>1887</v>
      </c>
      <c r="D1018" s="9">
        <v>45425</v>
      </c>
      <c r="E1018" s="13" t="str">
        <f>+HYPERLINK("http://trademark.i-assist.jp/data/china/image_1887th/76864414.pdf","76864414")</f>
        <v>76864414</v>
      </c>
      <c r="F1018" s="7" t="s">
        <v>2791</v>
      </c>
      <c r="G1018" s="7" t="s">
        <v>2792</v>
      </c>
      <c r="H1018" s="7" t="s">
        <v>2793</v>
      </c>
      <c r="I1018" s="9">
        <v>45342</v>
      </c>
    </row>
    <row r="1019" spans="1:9" x14ac:dyDescent="0.15">
      <c r="A1019" s="6">
        <v>1018</v>
      </c>
      <c r="B1019" s="7" t="s">
        <v>8</v>
      </c>
      <c r="C1019" s="8">
        <v>1887</v>
      </c>
      <c r="D1019" s="9">
        <v>45425</v>
      </c>
      <c r="E1019" s="13" t="str">
        <f>+HYPERLINK("http://trademark.i-assist.jp/data/china/image_1887th/76864422.pdf","76864422")</f>
        <v>76864422</v>
      </c>
      <c r="F1019" s="7" t="s">
        <v>2794</v>
      </c>
      <c r="G1019" s="7" t="s">
        <v>2792</v>
      </c>
      <c r="H1019" s="7" t="s">
        <v>2795</v>
      </c>
      <c r="I1019" s="9">
        <v>45342</v>
      </c>
    </row>
    <row r="1020" spans="1:9" ht="27" x14ac:dyDescent="0.15">
      <c r="A1020" s="6">
        <v>1019</v>
      </c>
      <c r="B1020" s="7" t="s">
        <v>8</v>
      </c>
      <c r="C1020" s="8">
        <v>1887</v>
      </c>
      <c r="D1020" s="9">
        <v>45425</v>
      </c>
      <c r="E1020" s="13" t="str">
        <f>+HYPERLINK("http://trademark.i-assist.jp/data/china/image_1887th/76864607.pdf","76864607")</f>
        <v>76864607</v>
      </c>
      <c r="F1020" s="7" t="s">
        <v>2796</v>
      </c>
      <c r="G1020" s="7" t="s">
        <v>2797</v>
      </c>
      <c r="H1020" s="7" t="s">
        <v>2798</v>
      </c>
      <c r="I1020" s="9">
        <v>45342</v>
      </c>
    </row>
    <row r="1021" spans="1:9" x14ac:dyDescent="0.15">
      <c r="A1021" s="6">
        <v>1020</v>
      </c>
      <c r="B1021" s="7" t="s">
        <v>8</v>
      </c>
      <c r="C1021" s="8">
        <v>1887</v>
      </c>
      <c r="D1021" s="9">
        <v>45425</v>
      </c>
      <c r="E1021" s="13" t="str">
        <f>+HYPERLINK("http://trademark.i-assist.jp/data/china/image_1887th/76864635.pdf","76864635")</f>
        <v>76864635</v>
      </c>
      <c r="F1021" s="7" t="s">
        <v>2799</v>
      </c>
      <c r="G1021" s="7" t="s">
        <v>2800</v>
      </c>
      <c r="H1021" s="7" t="s">
        <v>2801</v>
      </c>
      <c r="I1021" s="9">
        <v>45342</v>
      </c>
    </row>
    <row r="1022" spans="1:9" ht="27" x14ac:dyDescent="0.15">
      <c r="A1022" s="6">
        <v>1021</v>
      </c>
      <c r="B1022" s="7" t="s">
        <v>8</v>
      </c>
      <c r="C1022" s="8">
        <v>1887</v>
      </c>
      <c r="D1022" s="9">
        <v>45425</v>
      </c>
      <c r="E1022" s="13" t="str">
        <f>+HYPERLINK("http://trademark.i-assist.jp/data/china/image_1887th/76864665.pdf","76864665")</f>
        <v>76864665</v>
      </c>
      <c r="F1022" s="7" t="s">
        <v>2802</v>
      </c>
      <c r="G1022" s="7" t="s">
        <v>2803</v>
      </c>
      <c r="H1022" s="7" t="s">
        <v>2804</v>
      </c>
      <c r="I1022" s="9">
        <v>45342</v>
      </c>
    </row>
    <row r="1023" spans="1:9" x14ac:dyDescent="0.15">
      <c r="A1023" s="6">
        <v>1022</v>
      </c>
      <c r="B1023" s="7" t="s">
        <v>8</v>
      </c>
      <c r="C1023" s="8">
        <v>1887</v>
      </c>
      <c r="D1023" s="9">
        <v>45425</v>
      </c>
      <c r="E1023" s="13" t="str">
        <f>+HYPERLINK("http://trademark.i-assist.jp/data/china/image_1887th/76865047.pdf","76865047")</f>
        <v>76865047</v>
      </c>
      <c r="F1023" s="7" t="s">
        <v>2805</v>
      </c>
      <c r="G1023" s="7" t="s">
        <v>2806</v>
      </c>
      <c r="H1023" s="7" t="s">
        <v>2807</v>
      </c>
      <c r="I1023" s="9">
        <v>45342</v>
      </c>
    </row>
    <row r="1024" spans="1:9" x14ac:dyDescent="0.15">
      <c r="A1024" s="6">
        <v>1023</v>
      </c>
      <c r="B1024" s="7" t="s">
        <v>8</v>
      </c>
      <c r="C1024" s="8">
        <v>1887</v>
      </c>
      <c r="D1024" s="9">
        <v>45425</v>
      </c>
      <c r="E1024" s="13" t="str">
        <f>+HYPERLINK("http://trademark.i-assist.jp/data/china/image_1887th/76865445.pdf","76865445")</f>
        <v>76865445</v>
      </c>
      <c r="F1024" s="7" t="s">
        <v>2808</v>
      </c>
      <c r="G1024" s="7" t="s">
        <v>2809</v>
      </c>
      <c r="H1024" s="7" t="s">
        <v>2810</v>
      </c>
      <c r="I1024" s="9">
        <v>45342</v>
      </c>
    </row>
    <row r="1025" spans="1:9" x14ac:dyDescent="0.15">
      <c r="A1025" s="6">
        <v>1024</v>
      </c>
      <c r="B1025" s="7" t="s">
        <v>8</v>
      </c>
      <c r="C1025" s="8">
        <v>1887</v>
      </c>
      <c r="D1025" s="9">
        <v>45425</v>
      </c>
      <c r="E1025" s="13" t="str">
        <f>+HYPERLINK("http://trademark.i-assist.jp/data/china/image_1887th/76865532.pdf","76865532")</f>
        <v>76865532</v>
      </c>
      <c r="F1025" s="7" t="s">
        <v>2811</v>
      </c>
      <c r="G1025" s="7" t="s">
        <v>2812</v>
      </c>
      <c r="H1025" s="7" t="s">
        <v>2813</v>
      </c>
      <c r="I1025" s="9">
        <v>45342</v>
      </c>
    </row>
    <row r="1026" spans="1:9" x14ac:dyDescent="0.15">
      <c r="A1026" s="6">
        <v>1025</v>
      </c>
      <c r="B1026" s="7" t="s">
        <v>8</v>
      </c>
      <c r="C1026" s="8">
        <v>1887</v>
      </c>
      <c r="D1026" s="9">
        <v>45425</v>
      </c>
      <c r="E1026" s="13" t="str">
        <f>+HYPERLINK("http://trademark.i-assist.jp/data/china/image_1887th/76865601.pdf","76865601")</f>
        <v>76865601</v>
      </c>
      <c r="F1026" s="7" t="s">
        <v>2814</v>
      </c>
      <c r="G1026" s="7" t="s">
        <v>2815</v>
      </c>
      <c r="H1026" s="7" t="s">
        <v>2816</v>
      </c>
      <c r="I1026" s="9">
        <v>45342</v>
      </c>
    </row>
    <row r="1027" spans="1:9" x14ac:dyDescent="0.15">
      <c r="A1027" s="6">
        <v>1026</v>
      </c>
      <c r="B1027" s="7" t="s">
        <v>8</v>
      </c>
      <c r="C1027" s="8">
        <v>1887</v>
      </c>
      <c r="D1027" s="9">
        <v>45425</v>
      </c>
      <c r="E1027" s="13" t="str">
        <f>+HYPERLINK("http://trademark.i-assist.jp/data/china/image_1887th/76865629.pdf","76865629")</f>
        <v>76865629</v>
      </c>
      <c r="F1027" s="7" t="s">
        <v>2817</v>
      </c>
      <c r="G1027" s="7" t="s">
        <v>846</v>
      </c>
      <c r="H1027" s="7" t="s">
        <v>2818</v>
      </c>
      <c r="I1027" s="9">
        <v>45342</v>
      </c>
    </row>
    <row r="1028" spans="1:9" x14ac:dyDescent="0.15">
      <c r="A1028" s="6">
        <v>1027</v>
      </c>
      <c r="B1028" s="7" t="s">
        <v>8</v>
      </c>
      <c r="C1028" s="8">
        <v>1887</v>
      </c>
      <c r="D1028" s="9">
        <v>45425</v>
      </c>
      <c r="E1028" s="13" t="str">
        <f>+HYPERLINK("http://trademark.i-assist.jp/data/china/image_1887th/76865908.pdf","76865908")</f>
        <v>76865908</v>
      </c>
      <c r="F1028" s="7" t="s">
        <v>2819</v>
      </c>
      <c r="G1028" s="7" t="s">
        <v>2789</v>
      </c>
      <c r="H1028" s="7" t="s">
        <v>2820</v>
      </c>
      <c r="I1028" s="9">
        <v>45342</v>
      </c>
    </row>
    <row r="1029" spans="1:9" x14ac:dyDescent="0.15">
      <c r="A1029" s="6">
        <v>1028</v>
      </c>
      <c r="B1029" s="7" t="s">
        <v>8</v>
      </c>
      <c r="C1029" s="8">
        <v>1887</v>
      </c>
      <c r="D1029" s="9">
        <v>45425</v>
      </c>
      <c r="E1029" s="13" t="str">
        <f>+HYPERLINK("http://trademark.i-assist.jp/data/china/image_1887th/76865928.pdf","76865928")</f>
        <v>76865928</v>
      </c>
      <c r="F1029" s="7" t="s">
        <v>2821</v>
      </c>
      <c r="G1029" s="7" t="s">
        <v>2822</v>
      </c>
      <c r="H1029" s="7" t="s">
        <v>2823</v>
      </c>
      <c r="I1029" s="9">
        <v>45342</v>
      </c>
    </row>
    <row r="1030" spans="1:9" x14ac:dyDescent="0.15">
      <c r="A1030" s="6">
        <v>1029</v>
      </c>
      <c r="B1030" s="7" t="s">
        <v>8</v>
      </c>
      <c r="C1030" s="8">
        <v>1887</v>
      </c>
      <c r="D1030" s="9">
        <v>45425</v>
      </c>
      <c r="E1030" s="13" t="str">
        <f>+HYPERLINK("http://trademark.i-assist.jp/data/china/image_1887th/76866015.pdf","76866015")</f>
        <v>76866015</v>
      </c>
      <c r="F1030" s="7" t="s">
        <v>2824</v>
      </c>
      <c r="G1030" s="7" t="s">
        <v>2825</v>
      </c>
      <c r="H1030" s="7" t="s">
        <v>2826</v>
      </c>
      <c r="I1030" s="9">
        <v>45342</v>
      </c>
    </row>
    <row r="1031" spans="1:9" x14ac:dyDescent="0.15">
      <c r="A1031" s="6">
        <v>1030</v>
      </c>
      <c r="B1031" s="7" t="s">
        <v>8</v>
      </c>
      <c r="C1031" s="8">
        <v>1887</v>
      </c>
      <c r="D1031" s="9">
        <v>45425</v>
      </c>
      <c r="E1031" s="13" t="str">
        <f>+HYPERLINK("http://trademark.i-assist.jp/data/china/image_1887th/76866203.pdf","76866203")</f>
        <v>76866203</v>
      </c>
      <c r="F1031" s="7" t="s">
        <v>2827</v>
      </c>
      <c r="G1031" s="7" t="s">
        <v>2828</v>
      </c>
      <c r="H1031" s="7" t="s">
        <v>2829</v>
      </c>
      <c r="I1031" s="9">
        <v>45342</v>
      </c>
    </row>
    <row r="1032" spans="1:9" x14ac:dyDescent="0.15">
      <c r="A1032" s="6">
        <v>1031</v>
      </c>
      <c r="B1032" s="7" t="s">
        <v>8</v>
      </c>
      <c r="C1032" s="8">
        <v>1887</v>
      </c>
      <c r="D1032" s="9">
        <v>45425</v>
      </c>
      <c r="E1032" s="13" t="str">
        <f>+HYPERLINK("http://trademark.i-assist.jp/data/china/image_1887th/76866307.pdf","76866307")</f>
        <v>76866307</v>
      </c>
      <c r="F1032" s="7" t="s">
        <v>2830</v>
      </c>
      <c r="G1032" s="7" t="s">
        <v>2831</v>
      </c>
      <c r="H1032" s="7" t="s">
        <v>2832</v>
      </c>
      <c r="I1032" s="9">
        <v>45342</v>
      </c>
    </row>
    <row r="1033" spans="1:9" x14ac:dyDescent="0.15">
      <c r="A1033" s="6">
        <v>1032</v>
      </c>
      <c r="B1033" s="7" t="s">
        <v>8</v>
      </c>
      <c r="C1033" s="8">
        <v>1887</v>
      </c>
      <c r="D1033" s="9">
        <v>45425</v>
      </c>
      <c r="E1033" s="13" t="str">
        <f>+HYPERLINK("http://trademark.i-assist.jp/data/china/image_1887th/76866662.pdf","76866662")</f>
        <v>76866662</v>
      </c>
      <c r="F1033" s="7" t="s">
        <v>2833</v>
      </c>
      <c r="G1033" s="7" t="s">
        <v>2834</v>
      </c>
      <c r="H1033" s="7" t="s">
        <v>2835</v>
      </c>
      <c r="I1033" s="9">
        <v>45342</v>
      </c>
    </row>
    <row r="1034" spans="1:9" x14ac:dyDescent="0.15">
      <c r="A1034" s="6">
        <v>1033</v>
      </c>
      <c r="B1034" s="7" t="s">
        <v>8</v>
      </c>
      <c r="C1034" s="8">
        <v>1887</v>
      </c>
      <c r="D1034" s="9">
        <v>45425</v>
      </c>
      <c r="E1034" s="13" t="str">
        <f>+HYPERLINK("http://trademark.i-assist.jp/data/china/image_1887th/76866805.pdf","76866805")</f>
        <v>76866805</v>
      </c>
      <c r="F1034" s="7" t="s">
        <v>2836</v>
      </c>
      <c r="G1034" s="7" t="s">
        <v>2837</v>
      </c>
      <c r="H1034" s="7" t="s">
        <v>2838</v>
      </c>
      <c r="I1034" s="9">
        <v>45342</v>
      </c>
    </row>
    <row r="1035" spans="1:9" ht="27" x14ac:dyDescent="0.15">
      <c r="A1035" s="6">
        <v>1034</v>
      </c>
      <c r="B1035" s="7" t="s">
        <v>8</v>
      </c>
      <c r="C1035" s="8">
        <v>1887</v>
      </c>
      <c r="D1035" s="9">
        <v>45425</v>
      </c>
      <c r="E1035" s="13" t="str">
        <f>+HYPERLINK("http://trademark.i-assist.jp/data/china/image_1887th/76867228.pdf","76867228")</f>
        <v>76867228</v>
      </c>
      <c r="F1035" s="7" t="s">
        <v>2839</v>
      </c>
      <c r="G1035" s="7" t="s">
        <v>2840</v>
      </c>
      <c r="H1035" s="7" t="s">
        <v>2841</v>
      </c>
      <c r="I1035" s="9">
        <v>45342</v>
      </c>
    </row>
    <row r="1036" spans="1:9" x14ac:dyDescent="0.15">
      <c r="A1036" s="6">
        <v>1035</v>
      </c>
      <c r="B1036" s="7" t="s">
        <v>8</v>
      </c>
      <c r="C1036" s="8">
        <v>1887</v>
      </c>
      <c r="D1036" s="9">
        <v>45425</v>
      </c>
      <c r="E1036" s="13" t="str">
        <f>+HYPERLINK("http://trademark.i-assist.jp/data/china/image_1887th/76867965.pdf","76867965")</f>
        <v>76867965</v>
      </c>
      <c r="F1036" s="7" t="s">
        <v>2842</v>
      </c>
      <c r="G1036" s="7" t="s">
        <v>2843</v>
      </c>
      <c r="H1036" s="7" t="s">
        <v>2844</v>
      </c>
      <c r="I1036" s="9">
        <v>45342</v>
      </c>
    </row>
    <row r="1037" spans="1:9" x14ac:dyDescent="0.15">
      <c r="A1037" s="6">
        <v>1036</v>
      </c>
      <c r="B1037" s="7" t="s">
        <v>8</v>
      </c>
      <c r="C1037" s="8">
        <v>1887</v>
      </c>
      <c r="D1037" s="9">
        <v>45425</v>
      </c>
      <c r="E1037" s="13" t="str">
        <f>+HYPERLINK("http://trademark.i-assist.jp/data/china/image_1887th/76867997.pdf","76867997")</f>
        <v>76867997</v>
      </c>
      <c r="F1037" s="7" t="s">
        <v>2845</v>
      </c>
      <c r="G1037" s="7" t="s">
        <v>2846</v>
      </c>
      <c r="H1037" s="7" t="s">
        <v>2847</v>
      </c>
      <c r="I1037" s="9">
        <v>45342</v>
      </c>
    </row>
    <row r="1038" spans="1:9" ht="27" x14ac:dyDescent="0.15">
      <c r="A1038" s="6">
        <v>1037</v>
      </c>
      <c r="B1038" s="7" t="s">
        <v>8</v>
      </c>
      <c r="C1038" s="8">
        <v>1887</v>
      </c>
      <c r="D1038" s="9">
        <v>45425</v>
      </c>
      <c r="E1038" s="13" t="str">
        <f>+HYPERLINK("http://trademark.i-assist.jp/data/china/image_1887th/76868041.pdf","76868041")</f>
        <v>76868041</v>
      </c>
      <c r="F1038" s="7" t="s">
        <v>2848</v>
      </c>
      <c r="G1038" s="7" t="s">
        <v>2849</v>
      </c>
      <c r="H1038" s="7" t="s">
        <v>2850</v>
      </c>
      <c r="I1038" s="9">
        <v>45342</v>
      </c>
    </row>
    <row r="1039" spans="1:9" x14ac:dyDescent="0.15">
      <c r="A1039" s="6">
        <v>1038</v>
      </c>
      <c r="B1039" s="7" t="s">
        <v>8</v>
      </c>
      <c r="C1039" s="8">
        <v>1887</v>
      </c>
      <c r="D1039" s="9">
        <v>45425</v>
      </c>
      <c r="E1039" s="13" t="str">
        <f>+HYPERLINK("http://trademark.i-assist.jp/data/china/image_1887th/76868347.pdf","76868347")</f>
        <v>76868347</v>
      </c>
      <c r="F1039" s="7" t="s">
        <v>2851</v>
      </c>
      <c r="G1039" s="7" t="s">
        <v>2843</v>
      </c>
      <c r="H1039" s="7" t="s">
        <v>2852</v>
      </c>
      <c r="I1039" s="9">
        <v>45342</v>
      </c>
    </row>
    <row r="1040" spans="1:9" x14ac:dyDescent="0.15">
      <c r="A1040" s="6">
        <v>1039</v>
      </c>
      <c r="B1040" s="7" t="s">
        <v>8</v>
      </c>
      <c r="C1040" s="8">
        <v>1887</v>
      </c>
      <c r="D1040" s="9">
        <v>45425</v>
      </c>
      <c r="E1040" s="13" t="str">
        <f>+HYPERLINK("http://trademark.i-assist.jp/data/china/image_1887th/76868497.pdf","76868497")</f>
        <v>76868497</v>
      </c>
      <c r="F1040" s="7" t="s">
        <v>2853</v>
      </c>
      <c r="G1040" s="7" t="s">
        <v>2854</v>
      </c>
      <c r="H1040" s="7" t="s">
        <v>2855</v>
      </c>
      <c r="I1040" s="9">
        <v>45342</v>
      </c>
    </row>
    <row r="1041" spans="1:9" x14ac:dyDescent="0.15">
      <c r="A1041" s="6">
        <v>1040</v>
      </c>
      <c r="B1041" s="7" t="s">
        <v>8</v>
      </c>
      <c r="C1041" s="8">
        <v>1887</v>
      </c>
      <c r="D1041" s="9">
        <v>45425</v>
      </c>
      <c r="E1041" s="13" t="str">
        <f>+HYPERLINK("http://trademark.i-assist.jp/data/china/image_1887th/76869129.pdf","76869129")</f>
        <v>76869129</v>
      </c>
      <c r="F1041" s="7" t="s">
        <v>2856</v>
      </c>
      <c r="G1041" s="7" t="s">
        <v>2857</v>
      </c>
      <c r="H1041" s="7" t="s">
        <v>2858</v>
      </c>
      <c r="I1041" s="9">
        <v>45342</v>
      </c>
    </row>
    <row r="1042" spans="1:9" ht="27" x14ac:dyDescent="0.15">
      <c r="A1042" s="6">
        <v>1041</v>
      </c>
      <c r="B1042" s="7" t="s">
        <v>8</v>
      </c>
      <c r="C1042" s="8">
        <v>1887</v>
      </c>
      <c r="D1042" s="9">
        <v>45425</v>
      </c>
      <c r="E1042" s="13" t="str">
        <f>+HYPERLINK("http://trademark.i-assist.jp/data/china/image_1887th/76869168.pdf","76869168")</f>
        <v>76869168</v>
      </c>
      <c r="F1042" s="7" t="s">
        <v>2859</v>
      </c>
      <c r="G1042" s="7" t="s">
        <v>2860</v>
      </c>
      <c r="H1042" s="7" t="s">
        <v>2861</v>
      </c>
      <c r="I1042" s="9">
        <v>45342</v>
      </c>
    </row>
    <row r="1043" spans="1:9" x14ac:dyDescent="0.15">
      <c r="A1043" s="6">
        <v>1042</v>
      </c>
      <c r="B1043" s="7" t="s">
        <v>8</v>
      </c>
      <c r="C1043" s="8">
        <v>1887</v>
      </c>
      <c r="D1043" s="9">
        <v>45425</v>
      </c>
      <c r="E1043" s="13" t="str">
        <f>+HYPERLINK("http://trademark.i-assist.jp/data/china/image_1887th/76869695.pdf","76869695")</f>
        <v>76869695</v>
      </c>
      <c r="F1043" s="7" t="s">
        <v>2862</v>
      </c>
      <c r="G1043" s="7" t="s">
        <v>2863</v>
      </c>
      <c r="H1043" s="7" t="s">
        <v>2864</v>
      </c>
      <c r="I1043" s="9">
        <v>45342</v>
      </c>
    </row>
    <row r="1044" spans="1:9" x14ac:dyDescent="0.15">
      <c r="A1044" s="6">
        <v>1043</v>
      </c>
      <c r="B1044" s="7" t="s">
        <v>8</v>
      </c>
      <c r="C1044" s="8">
        <v>1887</v>
      </c>
      <c r="D1044" s="9">
        <v>45425</v>
      </c>
      <c r="E1044" s="13" t="str">
        <f>+HYPERLINK("http://trademark.i-assist.jp/data/china/image_1887th/76869720.pdf","76869720")</f>
        <v>76869720</v>
      </c>
      <c r="F1044" s="7" t="s">
        <v>2865</v>
      </c>
      <c r="G1044" s="7" t="s">
        <v>2866</v>
      </c>
      <c r="H1044" s="7" t="s">
        <v>2867</v>
      </c>
      <c r="I1044" s="9">
        <v>45342</v>
      </c>
    </row>
    <row r="1045" spans="1:9" x14ac:dyDescent="0.15">
      <c r="A1045" s="6">
        <v>1044</v>
      </c>
      <c r="B1045" s="7" t="s">
        <v>8</v>
      </c>
      <c r="C1045" s="8">
        <v>1887</v>
      </c>
      <c r="D1045" s="9">
        <v>45425</v>
      </c>
      <c r="E1045" s="13" t="str">
        <f>+HYPERLINK("http://trademark.i-assist.jp/data/china/image_1887th/76869808.pdf","76869808")</f>
        <v>76869808</v>
      </c>
      <c r="F1045" s="7" t="s">
        <v>2868</v>
      </c>
      <c r="G1045" s="7" t="s">
        <v>2828</v>
      </c>
      <c r="H1045" s="7" t="s">
        <v>2869</v>
      </c>
      <c r="I1045" s="9">
        <v>45342</v>
      </c>
    </row>
    <row r="1046" spans="1:9" x14ac:dyDescent="0.15">
      <c r="A1046" s="6">
        <v>1045</v>
      </c>
      <c r="B1046" s="7" t="s">
        <v>8</v>
      </c>
      <c r="C1046" s="8">
        <v>1887</v>
      </c>
      <c r="D1046" s="9">
        <v>45425</v>
      </c>
      <c r="E1046" s="13" t="str">
        <f>+HYPERLINK("http://trademark.i-assist.jp/data/china/image_1887th/76870035.pdf","76870035")</f>
        <v>76870035</v>
      </c>
      <c r="F1046" s="7" t="s">
        <v>2870</v>
      </c>
      <c r="G1046" s="7" t="s">
        <v>2871</v>
      </c>
      <c r="H1046" s="7" t="s">
        <v>2872</v>
      </c>
      <c r="I1046" s="9">
        <v>45342</v>
      </c>
    </row>
    <row r="1047" spans="1:9" x14ac:dyDescent="0.15">
      <c r="A1047" s="6">
        <v>1046</v>
      </c>
      <c r="B1047" s="7" t="s">
        <v>8</v>
      </c>
      <c r="C1047" s="8">
        <v>1887</v>
      </c>
      <c r="D1047" s="9">
        <v>45425</v>
      </c>
      <c r="E1047" s="13" t="str">
        <f>+HYPERLINK("http://trademark.i-assist.jp/data/china/image_1887th/76870136.pdf","76870136")</f>
        <v>76870136</v>
      </c>
      <c r="F1047" s="7" t="s">
        <v>2873</v>
      </c>
      <c r="G1047" s="7" t="s">
        <v>2874</v>
      </c>
      <c r="H1047" s="7" t="s">
        <v>2875</v>
      </c>
      <c r="I1047" s="9">
        <v>45342</v>
      </c>
    </row>
    <row r="1048" spans="1:9" ht="27" x14ac:dyDescent="0.15">
      <c r="A1048" s="6">
        <v>1047</v>
      </c>
      <c r="B1048" s="7" t="s">
        <v>8</v>
      </c>
      <c r="C1048" s="8">
        <v>1887</v>
      </c>
      <c r="D1048" s="9">
        <v>45425</v>
      </c>
      <c r="E1048" s="13" t="str">
        <f>+HYPERLINK("http://trademark.i-assist.jp/data/china/image_1887th/76870257.pdf","76870257")</f>
        <v>76870257</v>
      </c>
      <c r="F1048" s="7" t="s">
        <v>2876</v>
      </c>
      <c r="G1048" s="7" t="s">
        <v>2877</v>
      </c>
      <c r="H1048" s="7" t="s">
        <v>2878</v>
      </c>
      <c r="I1048" s="9">
        <v>45342</v>
      </c>
    </row>
    <row r="1049" spans="1:9" x14ac:dyDescent="0.15">
      <c r="A1049" s="6">
        <v>1048</v>
      </c>
      <c r="B1049" s="7" t="s">
        <v>8</v>
      </c>
      <c r="C1049" s="8">
        <v>1887</v>
      </c>
      <c r="D1049" s="9">
        <v>45425</v>
      </c>
      <c r="E1049" s="13" t="str">
        <f>+HYPERLINK("http://trademark.i-assist.jp/data/china/image_1887th/76870358.pdf","76870358")</f>
        <v>76870358</v>
      </c>
      <c r="F1049" s="7" t="s">
        <v>2879</v>
      </c>
      <c r="G1049" s="7" t="s">
        <v>2880</v>
      </c>
      <c r="H1049" s="7" t="s">
        <v>2881</v>
      </c>
      <c r="I1049" s="9">
        <v>45342</v>
      </c>
    </row>
    <row r="1050" spans="1:9" ht="27" x14ac:dyDescent="0.15">
      <c r="A1050" s="6">
        <v>1049</v>
      </c>
      <c r="B1050" s="7" t="s">
        <v>8</v>
      </c>
      <c r="C1050" s="8">
        <v>1887</v>
      </c>
      <c r="D1050" s="9">
        <v>45425</v>
      </c>
      <c r="E1050" s="13" t="str">
        <f>+HYPERLINK("http://trademark.i-assist.jp/data/china/image_1887th/76870909.pdf","76870909")</f>
        <v>76870909</v>
      </c>
      <c r="F1050" s="7" t="s">
        <v>2882</v>
      </c>
      <c r="G1050" s="7" t="s">
        <v>2883</v>
      </c>
      <c r="H1050" s="7" t="s">
        <v>2884</v>
      </c>
      <c r="I1050" s="9">
        <v>45342</v>
      </c>
    </row>
    <row r="1051" spans="1:9" x14ac:dyDescent="0.15">
      <c r="A1051" s="6">
        <v>1050</v>
      </c>
      <c r="B1051" s="7" t="s">
        <v>8</v>
      </c>
      <c r="C1051" s="8">
        <v>1887</v>
      </c>
      <c r="D1051" s="9">
        <v>45425</v>
      </c>
      <c r="E1051" s="13" t="str">
        <f>+HYPERLINK("http://trademark.i-assist.jp/data/china/image_1887th/76871024.pdf","76871024")</f>
        <v>76871024</v>
      </c>
      <c r="F1051" s="7" t="s">
        <v>2885</v>
      </c>
      <c r="G1051" s="7" t="s">
        <v>2886</v>
      </c>
      <c r="H1051" s="7" t="s">
        <v>2887</v>
      </c>
      <c r="I1051" s="9">
        <v>45342</v>
      </c>
    </row>
    <row r="1052" spans="1:9" x14ac:dyDescent="0.15">
      <c r="A1052" s="6">
        <v>1051</v>
      </c>
      <c r="B1052" s="7" t="s">
        <v>8</v>
      </c>
      <c r="C1052" s="8">
        <v>1887</v>
      </c>
      <c r="D1052" s="9">
        <v>45425</v>
      </c>
      <c r="E1052" s="13" t="str">
        <f>+HYPERLINK("http://trademark.i-assist.jp/data/china/image_1887th/76871940.pdf","76871940")</f>
        <v>76871940</v>
      </c>
      <c r="F1052" s="7" t="s">
        <v>2888</v>
      </c>
      <c r="G1052" s="7" t="s">
        <v>2889</v>
      </c>
      <c r="H1052" s="7" t="s">
        <v>2890</v>
      </c>
      <c r="I1052" s="9">
        <v>45342</v>
      </c>
    </row>
    <row r="1053" spans="1:9" x14ac:dyDescent="0.15">
      <c r="A1053" s="6">
        <v>1052</v>
      </c>
      <c r="B1053" s="7" t="s">
        <v>8</v>
      </c>
      <c r="C1053" s="8">
        <v>1887</v>
      </c>
      <c r="D1053" s="9">
        <v>45425</v>
      </c>
      <c r="E1053" s="13" t="str">
        <f>+HYPERLINK("http://trademark.i-assist.jp/data/china/image_1887th/76872033.pdf","76872033")</f>
        <v>76872033</v>
      </c>
      <c r="F1053" s="7" t="s">
        <v>2891</v>
      </c>
      <c r="G1053" s="7" t="s">
        <v>2892</v>
      </c>
      <c r="H1053" s="7" t="s">
        <v>2893</v>
      </c>
      <c r="I1053" s="9">
        <v>45342</v>
      </c>
    </row>
    <row r="1054" spans="1:9" x14ac:dyDescent="0.15">
      <c r="A1054" s="6">
        <v>1053</v>
      </c>
      <c r="B1054" s="7" t="s">
        <v>8</v>
      </c>
      <c r="C1054" s="8">
        <v>1887</v>
      </c>
      <c r="D1054" s="9">
        <v>45425</v>
      </c>
      <c r="E1054" s="13" t="str">
        <f>+HYPERLINK("http://trademark.i-assist.jp/data/china/image_1887th/76872119.pdf","76872119")</f>
        <v>76872119</v>
      </c>
      <c r="F1054" s="7" t="s">
        <v>2894</v>
      </c>
      <c r="G1054" s="7" t="s">
        <v>2895</v>
      </c>
      <c r="H1054" s="7" t="s">
        <v>2896</v>
      </c>
      <c r="I1054" s="9">
        <v>45342</v>
      </c>
    </row>
    <row r="1055" spans="1:9" x14ac:dyDescent="0.15">
      <c r="A1055" s="6">
        <v>1054</v>
      </c>
      <c r="B1055" s="7" t="s">
        <v>8</v>
      </c>
      <c r="C1055" s="8">
        <v>1887</v>
      </c>
      <c r="D1055" s="9">
        <v>45425</v>
      </c>
      <c r="E1055" s="13" t="str">
        <f>+HYPERLINK("http://trademark.i-assist.jp/data/china/image_1887th/76872444.pdf","76872444")</f>
        <v>76872444</v>
      </c>
      <c r="F1055" s="7" t="s">
        <v>2897</v>
      </c>
      <c r="G1055" s="7" t="s">
        <v>2898</v>
      </c>
      <c r="H1055" s="7" t="s">
        <v>2899</v>
      </c>
      <c r="I1055" s="9">
        <v>45342</v>
      </c>
    </row>
    <row r="1056" spans="1:9" x14ac:dyDescent="0.15">
      <c r="A1056" s="6">
        <v>1055</v>
      </c>
      <c r="B1056" s="7" t="s">
        <v>8</v>
      </c>
      <c r="C1056" s="8">
        <v>1887</v>
      </c>
      <c r="D1056" s="9">
        <v>45425</v>
      </c>
      <c r="E1056" s="13" t="str">
        <f>+HYPERLINK("http://trademark.i-assist.jp/data/china/image_1887th/76872523.pdf","76872523")</f>
        <v>76872523</v>
      </c>
      <c r="F1056" s="7" t="s">
        <v>2900</v>
      </c>
      <c r="G1056" s="7" t="s">
        <v>2825</v>
      </c>
      <c r="H1056" s="7" t="s">
        <v>2901</v>
      </c>
      <c r="I1056" s="9">
        <v>45342</v>
      </c>
    </row>
    <row r="1057" spans="1:9" x14ac:dyDescent="0.15">
      <c r="A1057" s="6">
        <v>1056</v>
      </c>
      <c r="B1057" s="7" t="s">
        <v>8</v>
      </c>
      <c r="C1057" s="8">
        <v>1887</v>
      </c>
      <c r="D1057" s="9">
        <v>45425</v>
      </c>
      <c r="E1057" s="13" t="str">
        <f>+HYPERLINK("http://trademark.i-assist.jp/data/china/image_1887th/76872586.pdf","76872586")</f>
        <v>76872586</v>
      </c>
      <c r="F1057" s="7" t="s">
        <v>2902</v>
      </c>
      <c r="G1057" s="7" t="s">
        <v>2903</v>
      </c>
      <c r="H1057" s="7" t="s">
        <v>2904</v>
      </c>
      <c r="I1057" s="9">
        <v>45342</v>
      </c>
    </row>
    <row r="1058" spans="1:9" x14ac:dyDescent="0.15">
      <c r="A1058" s="6">
        <v>1057</v>
      </c>
      <c r="B1058" s="7" t="s">
        <v>8</v>
      </c>
      <c r="C1058" s="8">
        <v>1887</v>
      </c>
      <c r="D1058" s="9">
        <v>45425</v>
      </c>
      <c r="E1058" s="13" t="str">
        <f>+HYPERLINK("http://trademark.i-assist.jp/data/china/image_1887th/76872978.pdf","76872978")</f>
        <v>76872978</v>
      </c>
      <c r="F1058" s="7" t="s">
        <v>2905</v>
      </c>
      <c r="G1058" s="7" t="s">
        <v>2906</v>
      </c>
      <c r="H1058" s="7" t="s">
        <v>2907</v>
      </c>
      <c r="I1058" s="9">
        <v>45342</v>
      </c>
    </row>
    <row r="1059" spans="1:9" x14ac:dyDescent="0.15">
      <c r="A1059" s="6">
        <v>1058</v>
      </c>
      <c r="B1059" s="7" t="s">
        <v>8</v>
      </c>
      <c r="C1059" s="8">
        <v>1887</v>
      </c>
      <c r="D1059" s="9">
        <v>45425</v>
      </c>
      <c r="E1059" s="13" t="str">
        <f>+HYPERLINK("http://trademark.i-assist.jp/data/china/image_1887th/76873034.pdf","76873034")</f>
        <v>76873034</v>
      </c>
      <c r="F1059" s="7" t="s">
        <v>2908</v>
      </c>
      <c r="G1059" s="7" t="s">
        <v>2713</v>
      </c>
      <c r="H1059" s="7" t="s">
        <v>2909</v>
      </c>
      <c r="I1059" s="9">
        <v>45342</v>
      </c>
    </row>
    <row r="1060" spans="1:9" x14ac:dyDescent="0.15">
      <c r="A1060" s="6">
        <v>1059</v>
      </c>
      <c r="B1060" s="7" t="s">
        <v>8</v>
      </c>
      <c r="C1060" s="8">
        <v>1887</v>
      </c>
      <c r="D1060" s="9">
        <v>45425</v>
      </c>
      <c r="E1060" s="13" t="str">
        <f>+HYPERLINK("http://trademark.i-assist.jp/data/china/image_1887th/76873068.pdf","76873068")</f>
        <v>76873068</v>
      </c>
      <c r="F1060" s="7" t="s">
        <v>2910</v>
      </c>
      <c r="G1060" s="7" t="s">
        <v>2911</v>
      </c>
      <c r="H1060" s="7" t="s">
        <v>2912</v>
      </c>
      <c r="I1060" s="9">
        <v>45342</v>
      </c>
    </row>
    <row r="1061" spans="1:9" x14ac:dyDescent="0.15">
      <c r="A1061" s="6">
        <v>1060</v>
      </c>
      <c r="B1061" s="7" t="s">
        <v>8</v>
      </c>
      <c r="C1061" s="8">
        <v>1887</v>
      </c>
      <c r="D1061" s="9">
        <v>45425</v>
      </c>
      <c r="E1061" s="13" t="str">
        <f>+HYPERLINK("http://trademark.i-assist.jp/data/china/image_1887th/76873488.pdf","76873488")</f>
        <v>76873488</v>
      </c>
      <c r="F1061" s="7" t="s">
        <v>2913</v>
      </c>
      <c r="G1061" s="7" t="s">
        <v>2843</v>
      </c>
      <c r="H1061" s="7" t="s">
        <v>2914</v>
      </c>
      <c r="I1061" s="9">
        <v>45342</v>
      </c>
    </row>
    <row r="1062" spans="1:9" x14ac:dyDescent="0.15">
      <c r="A1062" s="6">
        <v>1061</v>
      </c>
      <c r="B1062" s="7" t="s">
        <v>8</v>
      </c>
      <c r="C1062" s="8">
        <v>1887</v>
      </c>
      <c r="D1062" s="9">
        <v>45425</v>
      </c>
      <c r="E1062" s="13" t="str">
        <f>+HYPERLINK("http://trademark.i-assist.jp/data/china/image_1887th/76873512.pdf","76873512")</f>
        <v>76873512</v>
      </c>
      <c r="F1062" s="7" t="s">
        <v>2915</v>
      </c>
      <c r="G1062" s="7" t="s">
        <v>2871</v>
      </c>
      <c r="H1062" s="7" t="s">
        <v>2916</v>
      </c>
      <c r="I1062" s="9">
        <v>45342</v>
      </c>
    </row>
    <row r="1063" spans="1:9" x14ac:dyDescent="0.15">
      <c r="A1063" s="6">
        <v>1062</v>
      </c>
      <c r="B1063" s="7" t="s">
        <v>8</v>
      </c>
      <c r="C1063" s="8">
        <v>1887</v>
      </c>
      <c r="D1063" s="9">
        <v>45425</v>
      </c>
      <c r="E1063" s="13" t="str">
        <f>+HYPERLINK("http://trademark.i-assist.jp/data/china/image_1887th/76873688.pdf","76873688")</f>
        <v>76873688</v>
      </c>
      <c r="F1063" s="7" t="s">
        <v>2917</v>
      </c>
      <c r="G1063" s="7" t="s">
        <v>846</v>
      </c>
      <c r="H1063" s="7" t="s">
        <v>2918</v>
      </c>
      <c r="I1063" s="9">
        <v>45342</v>
      </c>
    </row>
    <row r="1064" spans="1:9" x14ac:dyDescent="0.15">
      <c r="A1064" s="6">
        <v>1063</v>
      </c>
      <c r="B1064" s="7" t="s">
        <v>8</v>
      </c>
      <c r="C1064" s="8">
        <v>1887</v>
      </c>
      <c r="D1064" s="9">
        <v>45425</v>
      </c>
      <c r="E1064" s="13" t="str">
        <f>+HYPERLINK("http://trademark.i-assist.jp/data/china/image_1887th/76874206.pdf","76874206")</f>
        <v>76874206</v>
      </c>
      <c r="F1064" s="7" t="s">
        <v>2919</v>
      </c>
      <c r="G1064" s="7" t="s">
        <v>1869</v>
      </c>
      <c r="H1064" s="7" t="s">
        <v>2920</v>
      </c>
      <c r="I1064" s="9">
        <v>45342</v>
      </c>
    </row>
    <row r="1065" spans="1:9" x14ac:dyDescent="0.15">
      <c r="A1065" s="6">
        <v>1064</v>
      </c>
      <c r="B1065" s="7" t="s">
        <v>8</v>
      </c>
      <c r="C1065" s="8">
        <v>1887</v>
      </c>
      <c r="D1065" s="9">
        <v>45425</v>
      </c>
      <c r="E1065" s="13" t="str">
        <f>+HYPERLINK("http://trademark.i-assist.jp/data/china/image_1887th/76874559.pdf","76874559")</f>
        <v>76874559</v>
      </c>
      <c r="F1065" s="7" t="s">
        <v>2921</v>
      </c>
      <c r="G1065" s="7" t="s">
        <v>1753</v>
      </c>
      <c r="H1065" s="7" t="s">
        <v>2922</v>
      </c>
      <c r="I1065" s="9">
        <v>45342</v>
      </c>
    </row>
    <row r="1066" spans="1:9" x14ac:dyDescent="0.15">
      <c r="A1066" s="6">
        <v>1065</v>
      </c>
      <c r="B1066" s="7" t="s">
        <v>8</v>
      </c>
      <c r="C1066" s="8">
        <v>1887</v>
      </c>
      <c r="D1066" s="9">
        <v>45425</v>
      </c>
      <c r="E1066" s="13" t="str">
        <f>+HYPERLINK("http://trademark.i-assist.jp/data/china/image_1887th/76874788.pdf","76874788")</f>
        <v>76874788</v>
      </c>
      <c r="F1066" s="7" t="s">
        <v>2923</v>
      </c>
      <c r="G1066" s="7" t="s">
        <v>2924</v>
      </c>
      <c r="H1066" s="7" t="s">
        <v>2925</v>
      </c>
      <c r="I1066" s="9">
        <v>45342</v>
      </c>
    </row>
    <row r="1067" spans="1:9" x14ac:dyDescent="0.15">
      <c r="A1067" s="6">
        <v>1066</v>
      </c>
      <c r="B1067" s="7" t="s">
        <v>8</v>
      </c>
      <c r="C1067" s="8">
        <v>1887</v>
      </c>
      <c r="D1067" s="9">
        <v>45425</v>
      </c>
      <c r="E1067" s="13" t="str">
        <f>+HYPERLINK("http://trademark.i-assist.jp/data/china/image_1887th/76875355.pdf","76875355")</f>
        <v>76875355</v>
      </c>
      <c r="F1067" s="7" t="s">
        <v>2926</v>
      </c>
      <c r="G1067" s="7" t="s">
        <v>2906</v>
      </c>
      <c r="H1067" s="7" t="s">
        <v>2927</v>
      </c>
      <c r="I1067" s="9">
        <v>45342</v>
      </c>
    </row>
    <row r="1068" spans="1:9" x14ac:dyDescent="0.15">
      <c r="A1068" s="6">
        <v>1067</v>
      </c>
      <c r="B1068" s="7" t="s">
        <v>8</v>
      </c>
      <c r="C1068" s="8">
        <v>1887</v>
      </c>
      <c r="D1068" s="9">
        <v>45425</v>
      </c>
      <c r="E1068" s="13" t="str">
        <f>+HYPERLINK("http://trademark.i-assist.jp/data/china/image_1887th/76875367.pdf","76875367")</f>
        <v>76875367</v>
      </c>
      <c r="F1068" s="7" t="s">
        <v>2928</v>
      </c>
      <c r="G1068" s="7" t="s">
        <v>531</v>
      </c>
      <c r="H1068" s="7" t="s">
        <v>2929</v>
      </c>
      <c r="I1068" s="9">
        <v>45342</v>
      </c>
    </row>
    <row r="1069" spans="1:9" x14ac:dyDescent="0.15">
      <c r="A1069" s="6">
        <v>1068</v>
      </c>
      <c r="B1069" s="7" t="s">
        <v>8</v>
      </c>
      <c r="C1069" s="8">
        <v>1887</v>
      </c>
      <c r="D1069" s="9">
        <v>45425</v>
      </c>
      <c r="E1069" s="13" t="str">
        <f>+HYPERLINK("http://trademark.i-assist.jp/data/china/image_1887th/76875410.pdf","76875410")</f>
        <v>76875410</v>
      </c>
      <c r="F1069" s="7" t="s">
        <v>2930</v>
      </c>
      <c r="G1069" s="7" t="s">
        <v>2931</v>
      </c>
      <c r="H1069" s="7" t="s">
        <v>2932</v>
      </c>
      <c r="I1069" s="9">
        <v>45342</v>
      </c>
    </row>
    <row r="1070" spans="1:9" x14ac:dyDescent="0.15">
      <c r="A1070" s="6">
        <v>1069</v>
      </c>
      <c r="B1070" s="7" t="s">
        <v>8</v>
      </c>
      <c r="C1070" s="8">
        <v>1887</v>
      </c>
      <c r="D1070" s="9">
        <v>45425</v>
      </c>
      <c r="E1070" s="13" t="str">
        <f>+HYPERLINK("http://trademark.i-assist.jp/data/china/image_1887th/76875443.pdf","76875443")</f>
        <v>76875443</v>
      </c>
      <c r="F1070" s="7" t="s">
        <v>2933</v>
      </c>
      <c r="G1070" s="7" t="s">
        <v>2934</v>
      </c>
      <c r="H1070" s="7" t="s">
        <v>2935</v>
      </c>
      <c r="I1070" s="9">
        <v>45342</v>
      </c>
    </row>
    <row r="1071" spans="1:9" x14ac:dyDescent="0.15">
      <c r="A1071" s="6">
        <v>1070</v>
      </c>
      <c r="B1071" s="7" t="s">
        <v>8</v>
      </c>
      <c r="C1071" s="8">
        <v>1887</v>
      </c>
      <c r="D1071" s="9">
        <v>45425</v>
      </c>
      <c r="E1071" s="13" t="str">
        <f>+HYPERLINK("http://trademark.i-assist.jp/data/china/image_1887th/76876051.pdf","76876051")</f>
        <v>76876051</v>
      </c>
      <c r="F1071" s="7" t="s">
        <v>2936</v>
      </c>
      <c r="G1071" s="7" t="s">
        <v>2937</v>
      </c>
      <c r="H1071" s="7" t="s">
        <v>2938</v>
      </c>
      <c r="I1071" s="9">
        <v>45342</v>
      </c>
    </row>
    <row r="1072" spans="1:9" x14ac:dyDescent="0.15">
      <c r="A1072" s="6">
        <v>1071</v>
      </c>
      <c r="B1072" s="7" t="s">
        <v>8</v>
      </c>
      <c r="C1072" s="8">
        <v>1887</v>
      </c>
      <c r="D1072" s="9">
        <v>45425</v>
      </c>
      <c r="E1072" s="13" t="str">
        <f>+HYPERLINK("http://trademark.i-assist.jp/data/china/image_1887th/76876071.pdf","76876071")</f>
        <v>76876071</v>
      </c>
      <c r="F1072" s="7" t="s">
        <v>2939</v>
      </c>
      <c r="G1072" s="7" t="s">
        <v>2789</v>
      </c>
      <c r="H1072" s="7" t="s">
        <v>2940</v>
      </c>
      <c r="I1072" s="9">
        <v>45342</v>
      </c>
    </row>
    <row r="1073" spans="1:9" x14ac:dyDescent="0.15">
      <c r="A1073" s="6">
        <v>1072</v>
      </c>
      <c r="B1073" s="7" t="s">
        <v>8</v>
      </c>
      <c r="C1073" s="8">
        <v>1887</v>
      </c>
      <c r="D1073" s="9">
        <v>45425</v>
      </c>
      <c r="E1073" s="13" t="str">
        <f>+HYPERLINK("http://trademark.i-assist.jp/data/china/image_1887th/76876293.pdf","76876293")</f>
        <v>76876293</v>
      </c>
      <c r="F1073" s="7" t="s">
        <v>2941</v>
      </c>
      <c r="G1073" s="7" t="s">
        <v>1753</v>
      </c>
      <c r="H1073" s="7" t="s">
        <v>2942</v>
      </c>
      <c r="I1073" s="9">
        <v>45342</v>
      </c>
    </row>
    <row r="1074" spans="1:9" x14ac:dyDescent="0.15">
      <c r="A1074" s="6">
        <v>1073</v>
      </c>
      <c r="B1074" s="7" t="s">
        <v>8</v>
      </c>
      <c r="C1074" s="8">
        <v>1887</v>
      </c>
      <c r="D1074" s="9">
        <v>45425</v>
      </c>
      <c r="E1074" s="13" t="str">
        <f>+HYPERLINK("http://trademark.i-assist.jp/data/china/image_1887th/76876316.pdf","76876316")</f>
        <v>76876316</v>
      </c>
      <c r="F1074" s="7" t="s">
        <v>2943</v>
      </c>
      <c r="G1074" s="7" t="s">
        <v>2944</v>
      </c>
      <c r="H1074" s="7" t="s">
        <v>2945</v>
      </c>
      <c r="I1074" s="9">
        <v>45342</v>
      </c>
    </row>
    <row r="1075" spans="1:9" ht="27" x14ac:dyDescent="0.15">
      <c r="A1075" s="6">
        <v>1074</v>
      </c>
      <c r="B1075" s="7" t="s">
        <v>8</v>
      </c>
      <c r="C1075" s="8">
        <v>1887</v>
      </c>
      <c r="D1075" s="9">
        <v>45425</v>
      </c>
      <c r="E1075" s="13" t="str">
        <f>+HYPERLINK("http://trademark.i-assist.jp/data/china/image_1887th/76876345.pdf","76876345")</f>
        <v>76876345</v>
      </c>
      <c r="F1075" s="7" t="s">
        <v>2946</v>
      </c>
      <c r="G1075" s="7" t="s">
        <v>2947</v>
      </c>
      <c r="H1075" s="7" t="s">
        <v>2948</v>
      </c>
      <c r="I1075" s="9">
        <v>45342</v>
      </c>
    </row>
    <row r="1076" spans="1:9" x14ac:dyDescent="0.15">
      <c r="A1076" s="6">
        <v>1075</v>
      </c>
      <c r="B1076" s="7" t="s">
        <v>8</v>
      </c>
      <c r="C1076" s="8">
        <v>1887</v>
      </c>
      <c r="D1076" s="9">
        <v>45425</v>
      </c>
      <c r="E1076" s="13" t="str">
        <f>+HYPERLINK("http://trademark.i-assist.jp/data/china/image_1887th/76876416.pdf","76876416")</f>
        <v>76876416</v>
      </c>
      <c r="F1076" s="7" t="s">
        <v>2949</v>
      </c>
      <c r="G1076" s="7" t="s">
        <v>2789</v>
      </c>
      <c r="H1076" s="7" t="s">
        <v>2950</v>
      </c>
      <c r="I1076" s="9">
        <v>45342</v>
      </c>
    </row>
    <row r="1077" spans="1:9" x14ac:dyDescent="0.15">
      <c r="A1077" s="6">
        <v>1076</v>
      </c>
      <c r="B1077" s="7" t="s">
        <v>8</v>
      </c>
      <c r="C1077" s="8">
        <v>1887</v>
      </c>
      <c r="D1077" s="9">
        <v>45425</v>
      </c>
      <c r="E1077" s="13" t="str">
        <f>+HYPERLINK("http://trademark.i-assist.jp/data/china/image_1887th/76876536.pdf","76876536")</f>
        <v>76876536</v>
      </c>
      <c r="F1077" s="7" t="s">
        <v>2951</v>
      </c>
      <c r="G1077" s="7" t="s">
        <v>2906</v>
      </c>
      <c r="H1077" s="7" t="s">
        <v>2952</v>
      </c>
      <c r="I1077" s="9">
        <v>45342</v>
      </c>
    </row>
    <row r="1078" spans="1:9" x14ac:dyDescent="0.15">
      <c r="A1078" s="6">
        <v>1077</v>
      </c>
      <c r="B1078" s="7" t="s">
        <v>8</v>
      </c>
      <c r="C1078" s="8">
        <v>1887</v>
      </c>
      <c r="D1078" s="9">
        <v>45425</v>
      </c>
      <c r="E1078" s="13" t="str">
        <f>+HYPERLINK("http://trademark.i-assist.jp/data/china/image_1887th/76876644.pdf","76876644")</f>
        <v>76876644</v>
      </c>
      <c r="F1078" s="7" t="s">
        <v>2953</v>
      </c>
      <c r="G1078" s="7" t="s">
        <v>2831</v>
      </c>
      <c r="H1078" s="7" t="s">
        <v>2954</v>
      </c>
      <c r="I1078" s="9">
        <v>45342</v>
      </c>
    </row>
    <row r="1079" spans="1:9" ht="27" x14ac:dyDescent="0.15">
      <c r="A1079" s="6">
        <v>1078</v>
      </c>
      <c r="B1079" s="7" t="s">
        <v>8</v>
      </c>
      <c r="C1079" s="8">
        <v>1887</v>
      </c>
      <c r="D1079" s="9">
        <v>45425</v>
      </c>
      <c r="E1079" s="13" t="str">
        <f>+HYPERLINK("http://trademark.i-assist.jp/data/china/image_1887th/76876933.pdf","76876933")</f>
        <v>76876933</v>
      </c>
      <c r="F1079" s="7" t="s">
        <v>2955</v>
      </c>
      <c r="G1079" s="7" t="s">
        <v>2713</v>
      </c>
      <c r="H1079" s="7" t="s">
        <v>2956</v>
      </c>
      <c r="I1079" s="9">
        <v>45342</v>
      </c>
    </row>
    <row r="1080" spans="1:9" x14ac:dyDescent="0.15">
      <c r="A1080" s="6">
        <v>1079</v>
      </c>
      <c r="B1080" s="7" t="s">
        <v>8</v>
      </c>
      <c r="C1080" s="8">
        <v>1887</v>
      </c>
      <c r="D1080" s="9">
        <v>45425</v>
      </c>
      <c r="E1080" s="13" t="str">
        <f>+HYPERLINK("http://trademark.i-assist.jp/data/china/image_1887th/76876975.pdf","76876975")</f>
        <v>76876975</v>
      </c>
      <c r="F1080" s="7" t="s">
        <v>2957</v>
      </c>
      <c r="G1080" s="7" t="s">
        <v>2958</v>
      </c>
      <c r="H1080" s="7" t="s">
        <v>2959</v>
      </c>
      <c r="I1080" s="9">
        <v>45342</v>
      </c>
    </row>
    <row r="1081" spans="1:9" x14ac:dyDescent="0.15">
      <c r="A1081" s="6">
        <v>1080</v>
      </c>
      <c r="B1081" s="7" t="s">
        <v>8</v>
      </c>
      <c r="C1081" s="8">
        <v>1887</v>
      </c>
      <c r="D1081" s="9">
        <v>45425</v>
      </c>
      <c r="E1081" s="13" t="str">
        <f>+HYPERLINK("http://trademark.i-assist.jp/data/china/image_1887th/76876977.pdf","76876977")</f>
        <v>76876977</v>
      </c>
      <c r="F1081" s="7" t="s">
        <v>2960</v>
      </c>
      <c r="G1081" s="7" t="s">
        <v>2961</v>
      </c>
      <c r="H1081" s="7" t="s">
        <v>2962</v>
      </c>
      <c r="I1081" s="9">
        <v>45342</v>
      </c>
    </row>
    <row r="1082" spans="1:9" x14ac:dyDescent="0.15">
      <c r="A1082" s="6">
        <v>1081</v>
      </c>
      <c r="B1082" s="7" t="s">
        <v>8</v>
      </c>
      <c r="C1082" s="8">
        <v>1887</v>
      </c>
      <c r="D1082" s="9">
        <v>45425</v>
      </c>
      <c r="E1082" s="13" t="str">
        <f>+HYPERLINK("http://trademark.i-assist.jp/data/china/image_1887th/76877106.pdf","76877106")</f>
        <v>76877106</v>
      </c>
      <c r="F1082" s="7" t="s">
        <v>2963</v>
      </c>
      <c r="G1082" s="7" t="s">
        <v>2964</v>
      </c>
      <c r="H1082" s="7" t="s">
        <v>2965</v>
      </c>
      <c r="I1082" s="9">
        <v>45342</v>
      </c>
    </row>
    <row r="1083" spans="1:9" x14ac:dyDescent="0.15">
      <c r="A1083" s="6">
        <v>1082</v>
      </c>
      <c r="B1083" s="7" t="s">
        <v>8</v>
      </c>
      <c r="C1083" s="8">
        <v>1887</v>
      </c>
      <c r="D1083" s="9">
        <v>45425</v>
      </c>
      <c r="E1083" s="13" t="str">
        <f>+HYPERLINK("http://trademark.i-assist.jp/data/china/image_1887th/76877302.pdf","76877302")</f>
        <v>76877302</v>
      </c>
      <c r="F1083" s="7" t="s">
        <v>2966</v>
      </c>
      <c r="G1083" s="7" t="s">
        <v>2338</v>
      </c>
      <c r="H1083" s="7" t="s">
        <v>2967</v>
      </c>
      <c r="I1083" s="9">
        <v>45342</v>
      </c>
    </row>
    <row r="1084" spans="1:9" x14ac:dyDescent="0.15">
      <c r="A1084" s="6">
        <v>1083</v>
      </c>
      <c r="B1084" s="7" t="s">
        <v>8</v>
      </c>
      <c r="C1084" s="8">
        <v>1887</v>
      </c>
      <c r="D1084" s="9">
        <v>45425</v>
      </c>
      <c r="E1084" s="13" t="str">
        <f>+HYPERLINK("http://trademark.i-assist.jp/data/china/image_1887th/76877493.pdf","76877493")</f>
        <v>76877493</v>
      </c>
      <c r="F1084" s="7" t="s">
        <v>2968</v>
      </c>
      <c r="G1084" s="7" t="s">
        <v>2969</v>
      </c>
      <c r="H1084" s="7" t="s">
        <v>2970</v>
      </c>
      <c r="I1084" s="9">
        <v>45342</v>
      </c>
    </row>
    <row r="1085" spans="1:9" x14ac:dyDescent="0.15">
      <c r="A1085" s="6">
        <v>1084</v>
      </c>
      <c r="B1085" s="7" t="s">
        <v>8</v>
      </c>
      <c r="C1085" s="8">
        <v>1887</v>
      </c>
      <c r="D1085" s="9">
        <v>45425</v>
      </c>
      <c r="E1085" s="13" t="str">
        <f>+HYPERLINK("http://trademark.i-assist.jp/data/china/image_1887th/76877919.pdf","76877919")</f>
        <v>76877919</v>
      </c>
      <c r="F1085" s="7" t="s">
        <v>2971</v>
      </c>
      <c r="G1085" s="7" t="s">
        <v>2972</v>
      </c>
      <c r="H1085" s="7" t="s">
        <v>2973</v>
      </c>
      <c r="I1085" s="9">
        <v>45342</v>
      </c>
    </row>
    <row r="1086" spans="1:9" x14ac:dyDescent="0.15">
      <c r="A1086" s="6">
        <v>1085</v>
      </c>
      <c r="B1086" s="7" t="s">
        <v>8</v>
      </c>
      <c r="C1086" s="8">
        <v>1887</v>
      </c>
      <c r="D1086" s="9">
        <v>45425</v>
      </c>
      <c r="E1086" s="13" t="str">
        <f>+HYPERLINK("http://trademark.i-assist.jp/data/china/image_1887th/76877988.pdf","76877988")</f>
        <v>76877988</v>
      </c>
      <c r="F1086" s="7" t="s">
        <v>2974</v>
      </c>
      <c r="G1086" s="7" t="s">
        <v>2789</v>
      </c>
      <c r="H1086" s="7" t="s">
        <v>2975</v>
      </c>
      <c r="I1086" s="9">
        <v>45342</v>
      </c>
    </row>
    <row r="1087" spans="1:9" x14ac:dyDescent="0.15">
      <c r="A1087" s="6">
        <v>1086</v>
      </c>
      <c r="B1087" s="7" t="s">
        <v>8</v>
      </c>
      <c r="C1087" s="8">
        <v>1887</v>
      </c>
      <c r="D1087" s="9">
        <v>45425</v>
      </c>
      <c r="E1087" s="13" t="str">
        <f>+HYPERLINK("http://trademark.i-assist.jp/data/china/image_1887th/76878131.pdf","76878131")</f>
        <v>76878131</v>
      </c>
      <c r="F1087" s="7" t="s">
        <v>2976</v>
      </c>
      <c r="G1087" s="7" t="s">
        <v>2977</v>
      </c>
      <c r="H1087" s="7" t="s">
        <v>2978</v>
      </c>
      <c r="I1087" s="9">
        <v>45342</v>
      </c>
    </row>
    <row r="1088" spans="1:9" x14ac:dyDescent="0.15">
      <c r="A1088" s="6">
        <v>1087</v>
      </c>
      <c r="B1088" s="7" t="s">
        <v>8</v>
      </c>
      <c r="C1088" s="8">
        <v>1887</v>
      </c>
      <c r="D1088" s="9">
        <v>45425</v>
      </c>
      <c r="E1088" s="13" t="str">
        <f>+HYPERLINK("http://trademark.i-assist.jp/data/china/image_1887th/76878173.pdf","76878173")</f>
        <v>76878173</v>
      </c>
      <c r="F1088" s="7" t="s">
        <v>2979</v>
      </c>
      <c r="G1088" s="7" t="s">
        <v>2980</v>
      </c>
      <c r="H1088" s="7" t="s">
        <v>2981</v>
      </c>
      <c r="I1088" s="9">
        <v>45342</v>
      </c>
    </row>
    <row r="1089" spans="1:9" x14ac:dyDescent="0.15">
      <c r="A1089" s="6">
        <v>1088</v>
      </c>
      <c r="B1089" s="7" t="s">
        <v>8</v>
      </c>
      <c r="C1089" s="8">
        <v>1887</v>
      </c>
      <c r="D1089" s="9">
        <v>45425</v>
      </c>
      <c r="E1089" s="13" t="str">
        <f>+HYPERLINK("http://trademark.i-assist.jp/data/china/image_1887th/76878219.pdf","76878219")</f>
        <v>76878219</v>
      </c>
      <c r="F1089" s="7" t="s">
        <v>2982</v>
      </c>
      <c r="G1089" s="7" t="s">
        <v>2983</v>
      </c>
      <c r="H1089" s="7" t="s">
        <v>2984</v>
      </c>
      <c r="I1089" s="9">
        <v>45342</v>
      </c>
    </row>
    <row r="1090" spans="1:9" x14ac:dyDescent="0.15">
      <c r="A1090" s="6">
        <v>1089</v>
      </c>
      <c r="B1090" s="7" t="s">
        <v>8</v>
      </c>
      <c r="C1090" s="8">
        <v>1887</v>
      </c>
      <c r="D1090" s="9">
        <v>45425</v>
      </c>
      <c r="E1090" s="13" t="str">
        <f>+HYPERLINK("http://trademark.i-assist.jp/data/china/image_1887th/76878368.pdf","76878368")</f>
        <v>76878368</v>
      </c>
      <c r="F1090" s="7" t="s">
        <v>2985</v>
      </c>
      <c r="G1090" s="7" t="s">
        <v>2986</v>
      </c>
      <c r="H1090" s="7" t="s">
        <v>2987</v>
      </c>
      <c r="I1090" s="9">
        <v>45342</v>
      </c>
    </row>
    <row r="1091" spans="1:9" x14ac:dyDescent="0.15">
      <c r="A1091" s="6">
        <v>1090</v>
      </c>
      <c r="B1091" s="7" t="s">
        <v>8</v>
      </c>
      <c r="C1091" s="8">
        <v>1887</v>
      </c>
      <c r="D1091" s="9">
        <v>45425</v>
      </c>
      <c r="E1091" s="13" t="str">
        <f>+HYPERLINK("http://trademark.i-assist.jp/data/china/image_1887th/76878474.pdf","76878474")</f>
        <v>76878474</v>
      </c>
      <c r="F1091" s="7" t="s">
        <v>2988</v>
      </c>
      <c r="G1091" s="7" t="s">
        <v>2906</v>
      </c>
      <c r="H1091" s="7" t="s">
        <v>2989</v>
      </c>
      <c r="I1091" s="9">
        <v>45342</v>
      </c>
    </row>
    <row r="1092" spans="1:9" x14ac:dyDescent="0.15">
      <c r="A1092" s="6">
        <v>1091</v>
      </c>
      <c r="B1092" s="7" t="s">
        <v>8</v>
      </c>
      <c r="C1092" s="8">
        <v>1887</v>
      </c>
      <c r="D1092" s="9">
        <v>45425</v>
      </c>
      <c r="E1092" s="13" t="str">
        <f>+HYPERLINK("http://trademark.i-assist.jp/data/china/image_1887th/76878593.pdf","76878593")</f>
        <v>76878593</v>
      </c>
      <c r="F1092" s="7" t="s">
        <v>2990</v>
      </c>
      <c r="G1092" s="7" t="s">
        <v>2831</v>
      </c>
      <c r="H1092" s="7" t="s">
        <v>2991</v>
      </c>
      <c r="I1092" s="9">
        <v>45342</v>
      </c>
    </row>
    <row r="1093" spans="1:9" x14ac:dyDescent="0.15">
      <c r="A1093" s="6">
        <v>1092</v>
      </c>
      <c r="B1093" s="7" t="s">
        <v>8</v>
      </c>
      <c r="C1093" s="8">
        <v>1887</v>
      </c>
      <c r="D1093" s="9">
        <v>45425</v>
      </c>
      <c r="E1093" s="13" t="str">
        <f>+HYPERLINK("http://trademark.i-assist.jp/data/china/image_1887th/76878904.pdf","76878904")</f>
        <v>76878904</v>
      </c>
      <c r="F1093" s="7" t="s">
        <v>2992</v>
      </c>
      <c r="G1093" s="7" t="s">
        <v>2993</v>
      </c>
      <c r="H1093" s="7" t="s">
        <v>2994</v>
      </c>
      <c r="I1093" s="9">
        <v>45342</v>
      </c>
    </row>
    <row r="1094" spans="1:9" x14ac:dyDescent="0.15">
      <c r="A1094" s="6">
        <v>1093</v>
      </c>
      <c r="B1094" s="7" t="s">
        <v>8</v>
      </c>
      <c r="C1094" s="8">
        <v>1887</v>
      </c>
      <c r="D1094" s="9">
        <v>45425</v>
      </c>
      <c r="E1094" s="13" t="str">
        <f>+HYPERLINK("http://trademark.i-assist.jp/data/china/image_1887th/76879196.pdf","76879196")</f>
        <v>76879196</v>
      </c>
      <c r="F1094" s="7" t="s">
        <v>2995</v>
      </c>
      <c r="G1094" s="7" t="s">
        <v>2996</v>
      </c>
      <c r="H1094" s="7" t="s">
        <v>2997</v>
      </c>
      <c r="I1094" s="9">
        <v>45342</v>
      </c>
    </row>
    <row r="1095" spans="1:9" x14ac:dyDescent="0.15">
      <c r="A1095" s="6">
        <v>1094</v>
      </c>
      <c r="B1095" s="7" t="s">
        <v>8</v>
      </c>
      <c r="C1095" s="8">
        <v>1887</v>
      </c>
      <c r="D1095" s="9">
        <v>45425</v>
      </c>
      <c r="E1095" s="13" t="str">
        <f>+HYPERLINK("http://trademark.i-assist.jp/data/china/image_1887th/76879224.pdf","76879224")</f>
        <v>76879224</v>
      </c>
      <c r="F1095" s="7" t="s">
        <v>2998</v>
      </c>
      <c r="G1095" s="7" t="s">
        <v>2999</v>
      </c>
      <c r="H1095" s="7" t="s">
        <v>3000</v>
      </c>
      <c r="I1095" s="9">
        <v>45342</v>
      </c>
    </row>
    <row r="1096" spans="1:9" x14ac:dyDescent="0.15">
      <c r="A1096" s="6">
        <v>1095</v>
      </c>
      <c r="B1096" s="7" t="s">
        <v>8</v>
      </c>
      <c r="C1096" s="8">
        <v>1887</v>
      </c>
      <c r="D1096" s="9">
        <v>45425</v>
      </c>
      <c r="E1096" s="13" t="str">
        <f>+HYPERLINK("http://trademark.i-assist.jp/data/china/image_1887th/76879291.pdf","76879291")</f>
        <v>76879291</v>
      </c>
      <c r="F1096" s="7" t="s">
        <v>3001</v>
      </c>
      <c r="G1096" s="7" t="s">
        <v>3002</v>
      </c>
      <c r="H1096" s="7" t="s">
        <v>3003</v>
      </c>
      <c r="I1096" s="9">
        <v>45342</v>
      </c>
    </row>
    <row r="1097" spans="1:9" ht="27" x14ac:dyDescent="0.15">
      <c r="A1097" s="6">
        <v>1096</v>
      </c>
      <c r="B1097" s="7" t="s">
        <v>8</v>
      </c>
      <c r="C1097" s="8">
        <v>1887</v>
      </c>
      <c r="D1097" s="9">
        <v>45425</v>
      </c>
      <c r="E1097" s="13" t="str">
        <f>+HYPERLINK("http://trademark.i-assist.jp/data/china/image_1887th/76879294.pdf","76879294")</f>
        <v>76879294</v>
      </c>
      <c r="F1097" s="7" t="s">
        <v>3004</v>
      </c>
      <c r="G1097" s="7" t="s">
        <v>2840</v>
      </c>
      <c r="H1097" s="7" t="s">
        <v>3005</v>
      </c>
      <c r="I1097" s="9">
        <v>45342</v>
      </c>
    </row>
    <row r="1098" spans="1:9" x14ac:dyDescent="0.15">
      <c r="A1098" s="6">
        <v>1097</v>
      </c>
      <c r="B1098" s="7" t="s">
        <v>8</v>
      </c>
      <c r="C1098" s="8">
        <v>1887</v>
      </c>
      <c r="D1098" s="9">
        <v>45425</v>
      </c>
      <c r="E1098" s="13" t="str">
        <f>+HYPERLINK("http://trademark.i-assist.jp/data/china/image_1887th/76879385.pdf","76879385")</f>
        <v>76879385</v>
      </c>
      <c r="F1098" s="7" t="s">
        <v>3006</v>
      </c>
      <c r="G1098" s="7" t="s">
        <v>3007</v>
      </c>
      <c r="H1098" s="7" t="s">
        <v>3008</v>
      </c>
      <c r="I1098" s="9">
        <v>45342</v>
      </c>
    </row>
    <row r="1099" spans="1:9" x14ac:dyDescent="0.15">
      <c r="A1099" s="6">
        <v>1098</v>
      </c>
      <c r="B1099" s="7" t="s">
        <v>8</v>
      </c>
      <c r="C1099" s="8">
        <v>1887</v>
      </c>
      <c r="D1099" s="9">
        <v>45425</v>
      </c>
      <c r="E1099" s="13" t="str">
        <f>+HYPERLINK("http://trademark.i-assist.jp/data/china/image_1887th/76880316.pdf","76880316")</f>
        <v>76880316</v>
      </c>
      <c r="F1099" s="7" t="s">
        <v>3009</v>
      </c>
      <c r="G1099" s="7" t="s">
        <v>2778</v>
      </c>
      <c r="H1099" s="7" t="s">
        <v>3010</v>
      </c>
      <c r="I1099" s="9">
        <v>45342</v>
      </c>
    </row>
    <row r="1100" spans="1:9" x14ac:dyDescent="0.15">
      <c r="A1100" s="6">
        <v>1099</v>
      </c>
      <c r="B1100" s="7" t="s">
        <v>8</v>
      </c>
      <c r="C1100" s="8">
        <v>1887</v>
      </c>
      <c r="D1100" s="9">
        <v>45425</v>
      </c>
      <c r="E1100" s="13" t="str">
        <f>+HYPERLINK("http://trademark.i-assist.jp/data/china/image_1887th/76880334.pdf","76880334")</f>
        <v>76880334</v>
      </c>
      <c r="F1100" s="7" t="s">
        <v>3011</v>
      </c>
      <c r="G1100" s="7" t="s">
        <v>2906</v>
      </c>
      <c r="H1100" s="7" t="s">
        <v>3012</v>
      </c>
      <c r="I1100" s="9">
        <v>45342</v>
      </c>
    </row>
    <row r="1101" spans="1:9" ht="27" x14ac:dyDescent="0.15">
      <c r="A1101" s="6">
        <v>1100</v>
      </c>
      <c r="B1101" s="7" t="s">
        <v>8</v>
      </c>
      <c r="C1101" s="8">
        <v>1887</v>
      </c>
      <c r="D1101" s="9">
        <v>45425</v>
      </c>
      <c r="E1101" s="13" t="str">
        <f>+HYPERLINK("http://trademark.i-assist.jp/data/china/image_1887th/76880451.pdf","76880451")</f>
        <v>76880451</v>
      </c>
      <c r="F1101" s="7" t="s">
        <v>3013</v>
      </c>
      <c r="G1101" s="7" t="s">
        <v>3014</v>
      </c>
      <c r="H1101" s="7" t="s">
        <v>3015</v>
      </c>
      <c r="I1101" s="9">
        <v>45342</v>
      </c>
    </row>
    <row r="1102" spans="1:9" ht="27" x14ac:dyDescent="0.15">
      <c r="A1102" s="6">
        <v>1101</v>
      </c>
      <c r="B1102" s="7" t="s">
        <v>8</v>
      </c>
      <c r="C1102" s="8">
        <v>1887</v>
      </c>
      <c r="D1102" s="9">
        <v>45425</v>
      </c>
      <c r="E1102" s="13" t="str">
        <f>+HYPERLINK("http://trademark.i-assist.jp/data/china/image_1887th/76881063.pdf","76881063")</f>
        <v>76881063</v>
      </c>
      <c r="F1102" s="7" t="s">
        <v>3016</v>
      </c>
      <c r="G1102" s="7" t="s">
        <v>3017</v>
      </c>
      <c r="H1102" s="7" t="s">
        <v>3018</v>
      </c>
      <c r="I1102" s="9">
        <v>45342</v>
      </c>
    </row>
    <row r="1103" spans="1:9" x14ac:dyDescent="0.15">
      <c r="A1103" s="6">
        <v>1102</v>
      </c>
      <c r="B1103" s="7" t="s">
        <v>8</v>
      </c>
      <c r="C1103" s="8">
        <v>1887</v>
      </c>
      <c r="D1103" s="9">
        <v>45425</v>
      </c>
      <c r="E1103" s="13" t="str">
        <f>+HYPERLINK("http://trademark.i-assist.jp/data/china/image_1887th/76881213.pdf","76881213")</f>
        <v>76881213</v>
      </c>
      <c r="F1103" s="7" t="s">
        <v>3019</v>
      </c>
      <c r="G1103" s="7" t="s">
        <v>3020</v>
      </c>
      <c r="H1103" s="7" t="s">
        <v>3021</v>
      </c>
      <c r="I1103" s="9">
        <v>45342</v>
      </c>
    </row>
    <row r="1104" spans="1:9" x14ac:dyDescent="0.15">
      <c r="A1104" s="6">
        <v>1103</v>
      </c>
      <c r="B1104" s="7" t="s">
        <v>8</v>
      </c>
      <c r="C1104" s="8">
        <v>1887</v>
      </c>
      <c r="D1104" s="9">
        <v>45425</v>
      </c>
      <c r="E1104" s="13" t="str">
        <f>+HYPERLINK("http://trademark.i-assist.jp/data/china/image_1887th/76881300.pdf","76881300")</f>
        <v>76881300</v>
      </c>
      <c r="F1104" s="7" t="s">
        <v>3022</v>
      </c>
      <c r="G1104" s="7" t="s">
        <v>3023</v>
      </c>
      <c r="H1104" s="7" t="s">
        <v>3024</v>
      </c>
      <c r="I1104" s="9">
        <v>45342</v>
      </c>
    </row>
    <row r="1105" spans="1:9" ht="27" x14ac:dyDescent="0.15">
      <c r="A1105" s="6">
        <v>1104</v>
      </c>
      <c r="B1105" s="7" t="s">
        <v>8</v>
      </c>
      <c r="C1105" s="8">
        <v>1887</v>
      </c>
      <c r="D1105" s="9">
        <v>45425</v>
      </c>
      <c r="E1105" s="13" t="str">
        <f>+HYPERLINK("http://trademark.i-assist.jp/data/china/image_1887th/76881575.pdf","76881575")</f>
        <v>76881575</v>
      </c>
      <c r="F1105" s="7" t="s">
        <v>3025</v>
      </c>
      <c r="G1105" s="7" t="s">
        <v>3026</v>
      </c>
      <c r="H1105" s="7" t="s">
        <v>3027</v>
      </c>
      <c r="I1105" s="9">
        <v>45343</v>
      </c>
    </row>
    <row r="1106" spans="1:9" ht="27" x14ac:dyDescent="0.15">
      <c r="A1106" s="6">
        <v>1105</v>
      </c>
      <c r="B1106" s="7" t="s">
        <v>8</v>
      </c>
      <c r="C1106" s="8">
        <v>1887</v>
      </c>
      <c r="D1106" s="9">
        <v>45425</v>
      </c>
      <c r="E1106" s="13" t="str">
        <f>+HYPERLINK("http://trademark.i-assist.jp/data/china/image_1887th/76882269.pdf","76882269")</f>
        <v>76882269</v>
      </c>
      <c r="F1106" s="7" t="s">
        <v>3028</v>
      </c>
      <c r="G1106" s="7" t="s">
        <v>3029</v>
      </c>
      <c r="H1106" s="7" t="s">
        <v>3030</v>
      </c>
      <c r="I1106" s="9">
        <v>45343</v>
      </c>
    </row>
    <row r="1107" spans="1:9" x14ac:dyDescent="0.15">
      <c r="A1107" s="6">
        <v>1106</v>
      </c>
      <c r="B1107" s="7" t="s">
        <v>8</v>
      </c>
      <c r="C1107" s="8">
        <v>1887</v>
      </c>
      <c r="D1107" s="9">
        <v>45425</v>
      </c>
      <c r="E1107" s="13" t="str">
        <f>+HYPERLINK("http://trademark.i-assist.jp/data/china/image_1887th/76882348.pdf","76882348")</f>
        <v>76882348</v>
      </c>
      <c r="F1107" s="7" t="s">
        <v>3031</v>
      </c>
      <c r="G1107" s="7" t="s">
        <v>3032</v>
      </c>
      <c r="H1107" s="7" t="s">
        <v>3033</v>
      </c>
      <c r="I1107" s="9">
        <v>45343</v>
      </c>
    </row>
    <row r="1108" spans="1:9" x14ac:dyDescent="0.15">
      <c r="A1108" s="6">
        <v>1107</v>
      </c>
      <c r="B1108" s="7" t="s">
        <v>8</v>
      </c>
      <c r="C1108" s="8">
        <v>1887</v>
      </c>
      <c r="D1108" s="9">
        <v>45425</v>
      </c>
      <c r="E1108" s="13" t="str">
        <f>+HYPERLINK("http://trademark.i-assist.jp/data/china/image_1887th/76882394.pdf","76882394")</f>
        <v>76882394</v>
      </c>
      <c r="F1108" s="7" t="s">
        <v>3034</v>
      </c>
      <c r="G1108" s="7" t="s">
        <v>3035</v>
      </c>
      <c r="H1108" s="7" t="s">
        <v>3036</v>
      </c>
      <c r="I1108" s="9">
        <v>45343</v>
      </c>
    </row>
    <row r="1109" spans="1:9" x14ac:dyDescent="0.15">
      <c r="A1109" s="6">
        <v>1108</v>
      </c>
      <c r="B1109" s="7" t="s">
        <v>8</v>
      </c>
      <c r="C1109" s="8">
        <v>1887</v>
      </c>
      <c r="D1109" s="9">
        <v>45425</v>
      </c>
      <c r="E1109" s="13" t="str">
        <f>+HYPERLINK("http://trademark.i-assist.jp/data/china/image_1887th/76882728.pdf","76882728")</f>
        <v>76882728</v>
      </c>
      <c r="F1109" s="7" t="s">
        <v>3037</v>
      </c>
      <c r="G1109" s="7" t="s">
        <v>3038</v>
      </c>
      <c r="H1109" s="7" t="s">
        <v>3039</v>
      </c>
      <c r="I1109" s="9">
        <v>45343</v>
      </c>
    </row>
    <row r="1110" spans="1:9" x14ac:dyDescent="0.15">
      <c r="A1110" s="6">
        <v>1109</v>
      </c>
      <c r="B1110" s="7" t="s">
        <v>8</v>
      </c>
      <c r="C1110" s="8">
        <v>1887</v>
      </c>
      <c r="D1110" s="9">
        <v>45425</v>
      </c>
      <c r="E1110" s="13" t="str">
        <f>+HYPERLINK("http://trademark.i-assist.jp/data/china/image_1887th/76882886.pdf","76882886")</f>
        <v>76882886</v>
      </c>
      <c r="F1110" s="7" t="s">
        <v>3040</v>
      </c>
      <c r="G1110" s="7" t="s">
        <v>3041</v>
      </c>
      <c r="H1110" s="7" t="s">
        <v>3042</v>
      </c>
      <c r="I1110" s="9">
        <v>45343</v>
      </c>
    </row>
    <row r="1111" spans="1:9" ht="27" x14ac:dyDescent="0.15">
      <c r="A1111" s="6">
        <v>1110</v>
      </c>
      <c r="B1111" s="7" t="s">
        <v>8</v>
      </c>
      <c r="C1111" s="8">
        <v>1887</v>
      </c>
      <c r="D1111" s="9">
        <v>45425</v>
      </c>
      <c r="E1111" s="13" t="str">
        <f>+HYPERLINK("http://trademark.i-assist.jp/data/china/image_1887th/76882980.pdf","76882980")</f>
        <v>76882980</v>
      </c>
      <c r="F1111" s="7" t="s">
        <v>3043</v>
      </c>
      <c r="G1111" s="7" t="s">
        <v>3044</v>
      </c>
      <c r="H1111" s="7" t="s">
        <v>3045</v>
      </c>
      <c r="I1111" s="9">
        <v>45343</v>
      </c>
    </row>
    <row r="1112" spans="1:9" x14ac:dyDescent="0.15">
      <c r="A1112" s="6">
        <v>1111</v>
      </c>
      <c r="B1112" s="7" t="s">
        <v>8</v>
      </c>
      <c r="C1112" s="8">
        <v>1887</v>
      </c>
      <c r="D1112" s="9">
        <v>45425</v>
      </c>
      <c r="E1112" s="13" t="str">
        <f>+HYPERLINK("http://trademark.i-assist.jp/data/china/image_1887th/76883368.pdf","76883368")</f>
        <v>76883368</v>
      </c>
      <c r="F1112" s="7" t="s">
        <v>3046</v>
      </c>
      <c r="G1112" s="7" t="s">
        <v>3047</v>
      </c>
      <c r="H1112" s="7" t="s">
        <v>3048</v>
      </c>
      <c r="I1112" s="9">
        <v>45343</v>
      </c>
    </row>
    <row r="1113" spans="1:9" x14ac:dyDescent="0.15">
      <c r="A1113" s="6">
        <v>1112</v>
      </c>
      <c r="B1113" s="7" t="s">
        <v>8</v>
      </c>
      <c r="C1113" s="8">
        <v>1887</v>
      </c>
      <c r="D1113" s="9">
        <v>45425</v>
      </c>
      <c r="E1113" s="13" t="str">
        <f>+HYPERLINK("http://trademark.i-assist.jp/data/china/image_1887th/76883415.pdf","76883415")</f>
        <v>76883415</v>
      </c>
      <c r="F1113" s="7" t="s">
        <v>3049</v>
      </c>
      <c r="G1113" s="7" t="s">
        <v>3050</v>
      </c>
      <c r="H1113" s="7" t="s">
        <v>3051</v>
      </c>
      <c r="I1113" s="9">
        <v>45343</v>
      </c>
    </row>
    <row r="1114" spans="1:9" ht="27" x14ac:dyDescent="0.15">
      <c r="A1114" s="6">
        <v>1113</v>
      </c>
      <c r="B1114" s="7" t="s">
        <v>8</v>
      </c>
      <c r="C1114" s="8">
        <v>1887</v>
      </c>
      <c r="D1114" s="9">
        <v>45425</v>
      </c>
      <c r="E1114" s="13" t="str">
        <f>+HYPERLINK("http://trademark.i-assist.jp/data/china/image_1887th/76883460.pdf","76883460")</f>
        <v>76883460</v>
      </c>
      <c r="F1114" s="7" t="s">
        <v>3052</v>
      </c>
      <c r="G1114" s="7" t="s">
        <v>3053</v>
      </c>
      <c r="H1114" s="7" t="s">
        <v>3054</v>
      </c>
      <c r="I1114" s="9">
        <v>45343</v>
      </c>
    </row>
    <row r="1115" spans="1:9" ht="27" x14ac:dyDescent="0.15">
      <c r="A1115" s="6">
        <v>1114</v>
      </c>
      <c r="B1115" s="7" t="s">
        <v>8</v>
      </c>
      <c r="C1115" s="8">
        <v>1887</v>
      </c>
      <c r="D1115" s="9">
        <v>45425</v>
      </c>
      <c r="E1115" s="13" t="str">
        <f>+HYPERLINK("http://trademark.i-assist.jp/data/china/image_1887th/76883666.pdf","76883666")</f>
        <v>76883666</v>
      </c>
      <c r="F1115" s="7" t="s">
        <v>3055</v>
      </c>
      <c r="G1115" s="7" t="s">
        <v>3044</v>
      </c>
      <c r="H1115" s="7" t="s">
        <v>3056</v>
      </c>
      <c r="I1115" s="9">
        <v>45343</v>
      </c>
    </row>
    <row r="1116" spans="1:9" ht="27" x14ac:dyDescent="0.15">
      <c r="A1116" s="6">
        <v>1115</v>
      </c>
      <c r="B1116" s="7" t="s">
        <v>8</v>
      </c>
      <c r="C1116" s="8">
        <v>1887</v>
      </c>
      <c r="D1116" s="9">
        <v>45425</v>
      </c>
      <c r="E1116" s="13" t="str">
        <f>+HYPERLINK("http://trademark.i-assist.jp/data/china/image_1887th/76883671.pdf","76883671")</f>
        <v>76883671</v>
      </c>
      <c r="F1116" s="7" t="s">
        <v>3057</v>
      </c>
      <c r="G1116" s="7" t="s">
        <v>3044</v>
      </c>
      <c r="H1116" s="7" t="s">
        <v>3058</v>
      </c>
      <c r="I1116" s="9">
        <v>45343</v>
      </c>
    </row>
    <row r="1117" spans="1:9" x14ac:dyDescent="0.15">
      <c r="A1117" s="6">
        <v>1116</v>
      </c>
      <c r="B1117" s="7" t="s">
        <v>8</v>
      </c>
      <c r="C1117" s="8">
        <v>1887</v>
      </c>
      <c r="D1117" s="9">
        <v>45425</v>
      </c>
      <c r="E1117" s="13" t="str">
        <f>+HYPERLINK("http://trademark.i-assist.jp/data/china/image_1887th/76883748.pdf","76883748")</f>
        <v>76883748</v>
      </c>
      <c r="F1117" s="7" t="s">
        <v>3059</v>
      </c>
      <c r="G1117" s="7" t="s">
        <v>3041</v>
      </c>
      <c r="H1117" s="7" t="s">
        <v>3060</v>
      </c>
      <c r="I1117" s="9">
        <v>45343</v>
      </c>
    </row>
    <row r="1118" spans="1:9" x14ac:dyDescent="0.15">
      <c r="A1118" s="6">
        <v>1117</v>
      </c>
      <c r="B1118" s="7" t="s">
        <v>8</v>
      </c>
      <c r="C1118" s="8">
        <v>1887</v>
      </c>
      <c r="D1118" s="9">
        <v>45425</v>
      </c>
      <c r="E1118" s="13" t="str">
        <f>+HYPERLINK("http://trademark.i-assist.jp/data/china/image_1887th/76883786.pdf","76883786")</f>
        <v>76883786</v>
      </c>
      <c r="F1118" s="7" t="s">
        <v>3061</v>
      </c>
      <c r="G1118" s="7" t="s">
        <v>3062</v>
      </c>
      <c r="H1118" s="7" t="s">
        <v>3063</v>
      </c>
      <c r="I1118" s="9">
        <v>45343</v>
      </c>
    </row>
    <row r="1119" spans="1:9" ht="27" x14ac:dyDescent="0.15">
      <c r="A1119" s="6">
        <v>1118</v>
      </c>
      <c r="B1119" s="7" t="s">
        <v>8</v>
      </c>
      <c r="C1119" s="8">
        <v>1887</v>
      </c>
      <c r="D1119" s="9">
        <v>45425</v>
      </c>
      <c r="E1119" s="13" t="str">
        <f>+HYPERLINK("http://trademark.i-assist.jp/data/china/image_1887th/76884229.pdf","76884229")</f>
        <v>76884229</v>
      </c>
      <c r="F1119" s="7" t="s">
        <v>3064</v>
      </c>
      <c r="G1119" s="7" t="s">
        <v>3065</v>
      </c>
      <c r="H1119" s="7" t="s">
        <v>3066</v>
      </c>
      <c r="I1119" s="9">
        <v>45343</v>
      </c>
    </row>
    <row r="1120" spans="1:9" x14ac:dyDescent="0.15">
      <c r="A1120" s="6">
        <v>1119</v>
      </c>
      <c r="B1120" s="7" t="s">
        <v>8</v>
      </c>
      <c r="C1120" s="8">
        <v>1887</v>
      </c>
      <c r="D1120" s="9">
        <v>45425</v>
      </c>
      <c r="E1120" s="13" t="str">
        <f>+HYPERLINK("http://trademark.i-assist.jp/data/china/image_1887th/76884349.pdf","76884349")</f>
        <v>76884349</v>
      </c>
      <c r="F1120" s="7" t="s">
        <v>3067</v>
      </c>
      <c r="G1120" s="7" t="s">
        <v>1961</v>
      </c>
      <c r="H1120" s="7" t="s">
        <v>3068</v>
      </c>
      <c r="I1120" s="9">
        <v>45343</v>
      </c>
    </row>
    <row r="1121" spans="1:9" x14ac:dyDescent="0.15">
      <c r="A1121" s="6">
        <v>1120</v>
      </c>
      <c r="B1121" s="7" t="s">
        <v>8</v>
      </c>
      <c r="C1121" s="8">
        <v>1887</v>
      </c>
      <c r="D1121" s="9">
        <v>45425</v>
      </c>
      <c r="E1121" s="13" t="str">
        <f>+HYPERLINK("http://trademark.i-assist.jp/data/china/image_1887th/76884376.pdf","76884376")</f>
        <v>76884376</v>
      </c>
      <c r="F1121" s="7" t="s">
        <v>3069</v>
      </c>
      <c r="G1121" s="7" t="s">
        <v>3070</v>
      </c>
      <c r="H1121" s="7" t="s">
        <v>3071</v>
      </c>
      <c r="I1121" s="9">
        <v>45343</v>
      </c>
    </row>
    <row r="1122" spans="1:9" x14ac:dyDescent="0.15">
      <c r="A1122" s="6">
        <v>1121</v>
      </c>
      <c r="B1122" s="7" t="s">
        <v>8</v>
      </c>
      <c r="C1122" s="8">
        <v>1887</v>
      </c>
      <c r="D1122" s="9">
        <v>45425</v>
      </c>
      <c r="E1122" s="13" t="str">
        <f>+HYPERLINK("http://trademark.i-assist.jp/data/china/image_1887th/76884808.pdf","76884808")</f>
        <v>76884808</v>
      </c>
      <c r="F1122" s="7" t="s">
        <v>3072</v>
      </c>
      <c r="G1122" s="7" t="s">
        <v>3073</v>
      </c>
      <c r="H1122" s="7" t="s">
        <v>3074</v>
      </c>
      <c r="I1122" s="9">
        <v>45343</v>
      </c>
    </row>
    <row r="1123" spans="1:9" x14ac:dyDescent="0.15">
      <c r="A1123" s="6">
        <v>1122</v>
      </c>
      <c r="B1123" s="7" t="s">
        <v>8</v>
      </c>
      <c r="C1123" s="8">
        <v>1887</v>
      </c>
      <c r="D1123" s="9">
        <v>45425</v>
      </c>
      <c r="E1123" s="13" t="str">
        <f>+HYPERLINK("http://trademark.i-assist.jp/data/china/image_1887th/76884923.pdf","76884923")</f>
        <v>76884923</v>
      </c>
      <c r="F1123" s="7" t="s">
        <v>3075</v>
      </c>
      <c r="G1123" s="7" t="s">
        <v>3076</v>
      </c>
      <c r="H1123" s="7" t="s">
        <v>3077</v>
      </c>
      <c r="I1123" s="9">
        <v>45343</v>
      </c>
    </row>
    <row r="1124" spans="1:9" x14ac:dyDescent="0.15">
      <c r="A1124" s="6">
        <v>1123</v>
      </c>
      <c r="B1124" s="7" t="s">
        <v>8</v>
      </c>
      <c r="C1124" s="8">
        <v>1887</v>
      </c>
      <c r="D1124" s="9">
        <v>45425</v>
      </c>
      <c r="E1124" s="13" t="str">
        <f>+HYPERLINK("http://trademark.i-assist.jp/data/china/image_1887th/76885210.pdf","76885210")</f>
        <v>76885210</v>
      </c>
      <c r="F1124" s="7" t="s">
        <v>3078</v>
      </c>
      <c r="G1124" s="7" t="s">
        <v>3047</v>
      </c>
      <c r="H1124" s="7" t="s">
        <v>3079</v>
      </c>
      <c r="I1124" s="9">
        <v>45343</v>
      </c>
    </row>
    <row r="1125" spans="1:9" x14ac:dyDescent="0.15">
      <c r="A1125" s="6">
        <v>1124</v>
      </c>
      <c r="B1125" s="7" t="s">
        <v>8</v>
      </c>
      <c r="C1125" s="8">
        <v>1887</v>
      </c>
      <c r="D1125" s="9">
        <v>45425</v>
      </c>
      <c r="E1125" s="13" t="str">
        <f>+HYPERLINK("http://trademark.i-assist.jp/data/china/image_1887th/76885284.pdf","76885284")</f>
        <v>76885284</v>
      </c>
      <c r="F1125" s="7" t="s">
        <v>3080</v>
      </c>
      <c r="G1125" s="7" t="s">
        <v>3081</v>
      </c>
      <c r="H1125" s="7" t="s">
        <v>3082</v>
      </c>
      <c r="I1125" s="9">
        <v>45343</v>
      </c>
    </row>
    <row r="1126" spans="1:9" x14ac:dyDescent="0.15">
      <c r="A1126" s="6">
        <v>1125</v>
      </c>
      <c r="B1126" s="7" t="s">
        <v>8</v>
      </c>
      <c r="C1126" s="8">
        <v>1887</v>
      </c>
      <c r="D1126" s="9">
        <v>45425</v>
      </c>
      <c r="E1126" s="13" t="str">
        <f>+HYPERLINK("http://trademark.i-assist.jp/data/china/image_1887th/76885690.pdf","76885690")</f>
        <v>76885690</v>
      </c>
      <c r="F1126" s="7" t="s">
        <v>3083</v>
      </c>
      <c r="G1126" s="7" t="s">
        <v>3084</v>
      </c>
      <c r="H1126" s="7" t="s">
        <v>3085</v>
      </c>
      <c r="I1126" s="9">
        <v>45343</v>
      </c>
    </row>
    <row r="1127" spans="1:9" x14ac:dyDescent="0.15">
      <c r="A1127" s="6">
        <v>1126</v>
      </c>
      <c r="B1127" s="7" t="s">
        <v>8</v>
      </c>
      <c r="C1127" s="8">
        <v>1887</v>
      </c>
      <c r="D1127" s="9">
        <v>45425</v>
      </c>
      <c r="E1127" s="13" t="str">
        <f>+HYPERLINK("http://trademark.i-assist.jp/data/china/image_1887th/76885824.pdf","76885824")</f>
        <v>76885824</v>
      </c>
      <c r="F1127" s="7" t="s">
        <v>3086</v>
      </c>
      <c r="G1127" s="7" t="s">
        <v>3087</v>
      </c>
      <c r="H1127" s="7" t="s">
        <v>3088</v>
      </c>
      <c r="I1127" s="9">
        <v>45343</v>
      </c>
    </row>
    <row r="1128" spans="1:9" x14ac:dyDescent="0.15">
      <c r="A1128" s="6">
        <v>1127</v>
      </c>
      <c r="B1128" s="7" t="s">
        <v>8</v>
      </c>
      <c r="C1128" s="8">
        <v>1887</v>
      </c>
      <c r="D1128" s="9">
        <v>45425</v>
      </c>
      <c r="E1128" s="13" t="str">
        <f>+HYPERLINK("http://trademark.i-assist.jp/data/china/image_1887th/76885870.pdf","76885870")</f>
        <v>76885870</v>
      </c>
      <c r="F1128" s="7" t="s">
        <v>3089</v>
      </c>
      <c r="G1128" s="7" t="s">
        <v>3090</v>
      </c>
      <c r="H1128" s="7" t="s">
        <v>3091</v>
      </c>
      <c r="I1128" s="9">
        <v>45343</v>
      </c>
    </row>
    <row r="1129" spans="1:9" x14ac:dyDescent="0.15">
      <c r="A1129" s="6">
        <v>1128</v>
      </c>
      <c r="B1129" s="7" t="s">
        <v>8</v>
      </c>
      <c r="C1129" s="8">
        <v>1887</v>
      </c>
      <c r="D1129" s="9">
        <v>45425</v>
      </c>
      <c r="E1129" s="13" t="str">
        <f>+HYPERLINK("http://trademark.i-assist.jp/data/china/image_1887th/76885919.pdf","76885919")</f>
        <v>76885919</v>
      </c>
      <c r="F1129" s="7" t="s">
        <v>3092</v>
      </c>
      <c r="G1129" s="7" t="s">
        <v>3093</v>
      </c>
      <c r="H1129" s="7" t="s">
        <v>3094</v>
      </c>
      <c r="I1129" s="9">
        <v>45343</v>
      </c>
    </row>
    <row r="1130" spans="1:9" x14ac:dyDescent="0.15">
      <c r="A1130" s="6">
        <v>1129</v>
      </c>
      <c r="B1130" s="7" t="s">
        <v>8</v>
      </c>
      <c r="C1130" s="8">
        <v>1887</v>
      </c>
      <c r="D1130" s="9">
        <v>45425</v>
      </c>
      <c r="E1130" s="13" t="str">
        <f>+HYPERLINK("http://trademark.i-assist.jp/data/china/image_1887th/76885924.pdf","76885924")</f>
        <v>76885924</v>
      </c>
      <c r="F1130" s="7" t="s">
        <v>3095</v>
      </c>
      <c r="G1130" s="7" t="s">
        <v>3096</v>
      </c>
      <c r="H1130" s="7" t="s">
        <v>3097</v>
      </c>
      <c r="I1130" s="9">
        <v>45343</v>
      </c>
    </row>
    <row r="1131" spans="1:9" x14ac:dyDescent="0.15">
      <c r="A1131" s="6">
        <v>1130</v>
      </c>
      <c r="B1131" s="7" t="s">
        <v>8</v>
      </c>
      <c r="C1131" s="8">
        <v>1887</v>
      </c>
      <c r="D1131" s="9">
        <v>45425</v>
      </c>
      <c r="E1131" s="13" t="str">
        <f>+HYPERLINK("http://trademark.i-assist.jp/data/china/image_1887th/76886413.pdf","76886413")</f>
        <v>76886413</v>
      </c>
      <c r="F1131" s="7" t="s">
        <v>3098</v>
      </c>
      <c r="G1131" s="7" t="s">
        <v>3099</v>
      </c>
      <c r="H1131" s="7" t="s">
        <v>3100</v>
      </c>
      <c r="I1131" s="9">
        <v>45343</v>
      </c>
    </row>
    <row r="1132" spans="1:9" x14ac:dyDescent="0.15">
      <c r="A1132" s="6">
        <v>1131</v>
      </c>
      <c r="B1132" s="7" t="s">
        <v>8</v>
      </c>
      <c r="C1132" s="8">
        <v>1887</v>
      </c>
      <c r="D1132" s="9">
        <v>45425</v>
      </c>
      <c r="E1132" s="13" t="str">
        <f>+HYPERLINK("http://trademark.i-assist.jp/data/china/image_1887th/76886432.pdf","76886432")</f>
        <v>76886432</v>
      </c>
      <c r="F1132" s="7" t="s">
        <v>3101</v>
      </c>
      <c r="G1132" s="7" t="s">
        <v>3102</v>
      </c>
      <c r="H1132" s="7" t="s">
        <v>3103</v>
      </c>
      <c r="I1132" s="9">
        <v>45343</v>
      </c>
    </row>
    <row r="1133" spans="1:9" x14ac:dyDescent="0.15">
      <c r="A1133" s="6">
        <v>1132</v>
      </c>
      <c r="B1133" s="7" t="s">
        <v>8</v>
      </c>
      <c r="C1133" s="8">
        <v>1887</v>
      </c>
      <c r="D1133" s="9">
        <v>45425</v>
      </c>
      <c r="E1133" s="13" t="str">
        <f>+HYPERLINK("http://trademark.i-assist.jp/data/china/image_1887th/76886537.pdf","76886537")</f>
        <v>76886537</v>
      </c>
      <c r="F1133" s="7" t="s">
        <v>3104</v>
      </c>
      <c r="G1133" s="7" t="s">
        <v>3047</v>
      </c>
      <c r="H1133" s="7" t="s">
        <v>3105</v>
      </c>
      <c r="I1133" s="9">
        <v>45343</v>
      </c>
    </row>
    <row r="1134" spans="1:9" x14ac:dyDescent="0.15">
      <c r="A1134" s="6">
        <v>1133</v>
      </c>
      <c r="B1134" s="7" t="s">
        <v>8</v>
      </c>
      <c r="C1134" s="8">
        <v>1887</v>
      </c>
      <c r="D1134" s="9">
        <v>45425</v>
      </c>
      <c r="E1134" s="13" t="str">
        <f>+HYPERLINK("http://trademark.i-assist.jp/data/china/image_1887th/76886619.pdf","76886619")</f>
        <v>76886619</v>
      </c>
      <c r="F1134" s="7" t="s">
        <v>3106</v>
      </c>
      <c r="G1134" s="7" t="s">
        <v>3041</v>
      </c>
      <c r="H1134" s="7" t="s">
        <v>3107</v>
      </c>
      <c r="I1134" s="9">
        <v>45343</v>
      </c>
    </row>
    <row r="1135" spans="1:9" x14ac:dyDescent="0.15">
      <c r="A1135" s="6">
        <v>1134</v>
      </c>
      <c r="B1135" s="7" t="s">
        <v>8</v>
      </c>
      <c r="C1135" s="8">
        <v>1887</v>
      </c>
      <c r="D1135" s="9">
        <v>45425</v>
      </c>
      <c r="E1135" s="13" t="str">
        <f>+HYPERLINK("http://trademark.i-assist.jp/data/china/image_1887th/76886859.pdf","76886859")</f>
        <v>76886859</v>
      </c>
      <c r="F1135" s="7" t="s">
        <v>54</v>
      </c>
      <c r="G1135" s="7" t="s">
        <v>2498</v>
      </c>
      <c r="H1135" s="7" t="s">
        <v>3108</v>
      </c>
      <c r="I1135" s="9">
        <v>45343</v>
      </c>
    </row>
    <row r="1136" spans="1:9" ht="27" x14ac:dyDescent="0.15">
      <c r="A1136" s="6">
        <v>1135</v>
      </c>
      <c r="B1136" s="7" t="s">
        <v>8</v>
      </c>
      <c r="C1136" s="8">
        <v>1887</v>
      </c>
      <c r="D1136" s="9">
        <v>45425</v>
      </c>
      <c r="E1136" s="13" t="str">
        <f>+HYPERLINK("http://trademark.i-assist.jp/data/china/image_1887th/76886912.pdf","76886912")</f>
        <v>76886912</v>
      </c>
      <c r="F1136" s="7" t="s">
        <v>3109</v>
      </c>
      <c r="G1136" s="7" t="s">
        <v>3110</v>
      </c>
      <c r="H1136" s="7" t="s">
        <v>3111</v>
      </c>
      <c r="I1136" s="9">
        <v>45343</v>
      </c>
    </row>
    <row r="1137" spans="1:9" x14ac:dyDescent="0.15">
      <c r="A1137" s="6">
        <v>1136</v>
      </c>
      <c r="B1137" s="7" t="s">
        <v>8</v>
      </c>
      <c r="C1137" s="8">
        <v>1887</v>
      </c>
      <c r="D1137" s="9">
        <v>45425</v>
      </c>
      <c r="E1137" s="13" t="str">
        <f>+HYPERLINK("http://trademark.i-assist.jp/data/china/image_1887th/76887047.pdf","76887047")</f>
        <v>76887047</v>
      </c>
      <c r="F1137" s="7" t="s">
        <v>3112</v>
      </c>
      <c r="G1137" s="7" t="s">
        <v>3113</v>
      </c>
      <c r="H1137" s="7" t="s">
        <v>3114</v>
      </c>
      <c r="I1137" s="9">
        <v>45343</v>
      </c>
    </row>
    <row r="1138" spans="1:9" x14ac:dyDescent="0.15">
      <c r="A1138" s="6">
        <v>1137</v>
      </c>
      <c r="B1138" s="7" t="s">
        <v>8</v>
      </c>
      <c r="C1138" s="8">
        <v>1887</v>
      </c>
      <c r="D1138" s="9">
        <v>45425</v>
      </c>
      <c r="E1138" s="13" t="str">
        <f>+HYPERLINK("http://trademark.i-assist.jp/data/china/image_1887th/76887190.pdf","76887190")</f>
        <v>76887190</v>
      </c>
      <c r="F1138" s="7" t="s">
        <v>3115</v>
      </c>
      <c r="G1138" s="7" t="s">
        <v>3116</v>
      </c>
      <c r="H1138" s="7" t="s">
        <v>3117</v>
      </c>
      <c r="I1138" s="9">
        <v>45343</v>
      </c>
    </row>
    <row r="1139" spans="1:9" x14ac:dyDescent="0.15">
      <c r="A1139" s="6">
        <v>1138</v>
      </c>
      <c r="B1139" s="7" t="s">
        <v>8</v>
      </c>
      <c r="C1139" s="8">
        <v>1887</v>
      </c>
      <c r="D1139" s="9">
        <v>45425</v>
      </c>
      <c r="E1139" s="13" t="str">
        <f>+HYPERLINK("http://trademark.i-assist.jp/data/china/image_1887th/76887344.pdf","76887344")</f>
        <v>76887344</v>
      </c>
      <c r="F1139" s="7" t="s">
        <v>3118</v>
      </c>
      <c r="G1139" s="7" t="s">
        <v>3119</v>
      </c>
      <c r="H1139" s="7" t="s">
        <v>3120</v>
      </c>
      <c r="I1139" s="9">
        <v>45343</v>
      </c>
    </row>
    <row r="1140" spans="1:9" x14ac:dyDescent="0.15">
      <c r="A1140" s="6">
        <v>1139</v>
      </c>
      <c r="B1140" s="7" t="s">
        <v>8</v>
      </c>
      <c r="C1140" s="8">
        <v>1887</v>
      </c>
      <c r="D1140" s="9">
        <v>45425</v>
      </c>
      <c r="E1140" s="13" t="str">
        <f>+HYPERLINK("http://trademark.i-assist.jp/data/china/image_1887th/76887432.pdf","76887432")</f>
        <v>76887432</v>
      </c>
      <c r="F1140" s="7" t="s">
        <v>3121</v>
      </c>
      <c r="G1140" s="7" t="s">
        <v>3084</v>
      </c>
      <c r="H1140" s="7" t="s">
        <v>3122</v>
      </c>
      <c r="I1140" s="9">
        <v>45343</v>
      </c>
    </row>
    <row r="1141" spans="1:9" x14ac:dyDescent="0.15">
      <c r="A1141" s="6">
        <v>1140</v>
      </c>
      <c r="B1141" s="7" t="s">
        <v>8</v>
      </c>
      <c r="C1141" s="8">
        <v>1887</v>
      </c>
      <c r="D1141" s="9">
        <v>45425</v>
      </c>
      <c r="E1141" s="13" t="str">
        <f>+HYPERLINK("http://trademark.i-assist.jp/data/china/image_1887th/76887622.pdf","76887622")</f>
        <v>76887622</v>
      </c>
      <c r="F1141" s="7" t="s">
        <v>3123</v>
      </c>
      <c r="G1141" s="7" t="s">
        <v>3124</v>
      </c>
      <c r="H1141" s="7" t="s">
        <v>3125</v>
      </c>
      <c r="I1141" s="9">
        <v>45343</v>
      </c>
    </row>
    <row r="1142" spans="1:9" ht="27" x14ac:dyDescent="0.15">
      <c r="A1142" s="6">
        <v>1141</v>
      </c>
      <c r="B1142" s="7" t="s">
        <v>8</v>
      </c>
      <c r="C1142" s="8">
        <v>1887</v>
      </c>
      <c r="D1142" s="9">
        <v>45425</v>
      </c>
      <c r="E1142" s="13" t="str">
        <f>+HYPERLINK("http://trademark.i-assist.jp/data/china/image_1887th/76887755.pdf","76887755")</f>
        <v>76887755</v>
      </c>
      <c r="F1142" s="7" t="s">
        <v>3126</v>
      </c>
      <c r="G1142" s="7" t="s">
        <v>3127</v>
      </c>
      <c r="H1142" s="7" t="s">
        <v>3128</v>
      </c>
      <c r="I1142" s="9">
        <v>45343</v>
      </c>
    </row>
    <row r="1143" spans="1:9" ht="27" x14ac:dyDescent="0.15">
      <c r="A1143" s="6">
        <v>1142</v>
      </c>
      <c r="B1143" s="7" t="s">
        <v>8</v>
      </c>
      <c r="C1143" s="8">
        <v>1887</v>
      </c>
      <c r="D1143" s="9">
        <v>45425</v>
      </c>
      <c r="E1143" s="13" t="str">
        <f>+HYPERLINK("http://trademark.i-assist.jp/data/china/image_1887th/76887973.pdf","76887973")</f>
        <v>76887973</v>
      </c>
      <c r="F1143" s="7" t="s">
        <v>3129</v>
      </c>
      <c r="G1143" s="7" t="s">
        <v>3044</v>
      </c>
      <c r="H1143" s="7" t="s">
        <v>3130</v>
      </c>
      <c r="I1143" s="9">
        <v>45343</v>
      </c>
    </row>
    <row r="1144" spans="1:9" x14ac:dyDescent="0.15">
      <c r="A1144" s="6">
        <v>1143</v>
      </c>
      <c r="B1144" s="7" t="s">
        <v>8</v>
      </c>
      <c r="C1144" s="8">
        <v>1887</v>
      </c>
      <c r="D1144" s="9">
        <v>45425</v>
      </c>
      <c r="E1144" s="13" t="str">
        <f>+HYPERLINK("http://trademark.i-assist.jp/data/china/image_1887th/76888136.pdf","76888136")</f>
        <v>76888136</v>
      </c>
      <c r="F1144" s="7" t="s">
        <v>3131</v>
      </c>
      <c r="G1144" s="7" t="s">
        <v>3132</v>
      </c>
      <c r="H1144" s="7" t="s">
        <v>3133</v>
      </c>
      <c r="I1144" s="9">
        <v>45343</v>
      </c>
    </row>
    <row r="1145" spans="1:9" x14ac:dyDescent="0.15">
      <c r="A1145" s="6">
        <v>1144</v>
      </c>
      <c r="B1145" s="7" t="s">
        <v>8</v>
      </c>
      <c r="C1145" s="8">
        <v>1887</v>
      </c>
      <c r="D1145" s="9">
        <v>45425</v>
      </c>
      <c r="E1145" s="13" t="str">
        <f>+HYPERLINK("http://trademark.i-assist.jp/data/china/image_1887th/76888366.pdf","76888366")</f>
        <v>76888366</v>
      </c>
      <c r="F1145" s="7" t="s">
        <v>3134</v>
      </c>
      <c r="G1145" s="7" t="s">
        <v>3135</v>
      </c>
      <c r="H1145" s="7" t="s">
        <v>3136</v>
      </c>
      <c r="I1145" s="9">
        <v>45343</v>
      </c>
    </row>
    <row r="1146" spans="1:9" ht="27" x14ac:dyDescent="0.15">
      <c r="A1146" s="6">
        <v>1145</v>
      </c>
      <c r="B1146" s="7" t="s">
        <v>8</v>
      </c>
      <c r="C1146" s="8">
        <v>1887</v>
      </c>
      <c r="D1146" s="9">
        <v>45425</v>
      </c>
      <c r="E1146" s="13" t="str">
        <f>+HYPERLINK("http://trademark.i-assist.jp/data/china/image_1887th/76888425.pdf","76888425")</f>
        <v>76888425</v>
      </c>
      <c r="F1146" s="7" t="s">
        <v>3137</v>
      </c>
      <c r="G1146" s="7" t="s">
        <v>3110</v>
      </c>
      <c r="H1146" s="7" t="s">
        <v>3138</v>
      </c>
      <c r="I1146" s="9">
        <v>45343</v>
      </c>
    </row>
    <row r="1147" spans="1:9" ht="27" x14ac:dyDescent="0.15">
      <c r="A1147" s="6">
        <v>1146</v>
      </c>
      <c r="B1147" s="7" t="s">
        <v>8</v>
      </c>
      <c r="C1147" s="8">
        <v>1887</v>
      </c>
      <c r="D1147" s="9">
        <v>45425</v>
      </c>
      <c r="E1147" s="13" t="str">
        <f>+HYPERLINK("http://trademark.i-assist.jp/data/china/image_1887th/76889141.pdf","76889141")</f>
        <v>76889141</v>
      </c>
      <c r="F1147" s="7" t="s">
        <v>3139</v>
      </c>
      <c r="G1147" s="7" t="s">
        <v>3044</v>
      </c>
      <c r="H1147" s="7" t="s">
        <v>3140</v>
      </c>
      <c r="I1147" s="9">
        <v>45343</v>
      </c>
    </row>
    <row r="1148" spans="1:9" ht="27" x14ac:dyDescent="0.15">
      <c r="A1148" s="6">
        <v>1147</v>
      </c>
      <c r="B1148" s="7" t="s">
        <v>8</v>
      </c>
      <c r="C1148" s="8">
        <v>1887</v>
      </c>
      <c r="D1148" s="9">
        <v>45425</v>
      </c>
      <c r="E1148" s="13" t="str">
        <f>+HYPERLINK("http://trademark.i-assist.jp/data/china/image_1887th/76889165.pdf","76889165")</f>
        <v>76889165</v>
      </c>
      <c r="F1148" s="7" t="s">
        <v>3141</v>
      </c>
      <c r="G1148" s="7" t="s">
        <v>3044</v>
      </c>
      <c r="H1148" s="7" t="s">
        <v>3142</v>
      </c>
      <c r="I1148" s="9">
        <v>45343</v>
      </c>
    </row>
    <row r="1149" spans="1:9" x14ac:dyDescent="0.15">
      <c r="A1149" s="6">
        <v>1148</v>
      </c>
      <c r="B1149" s="7" t="s">
        <v>8</v>
      </c>
      <c r="C1149" s="8">
        <v>1887</v>
      </c>
      <c r="D1149" s="9">
        <v>45425</v>
      </c>
      <c r="E1149" s="13" t="str">
        <f>+HYPERLINK("http://trademark.i-assist.jp/data/china/image_1887th/76889197.pdf","76889197")</f>
        <v>76889197</v>
      </c>
      <c r="F1149" s="7" t="s">
        <v>3143</v>
      </c>
      <c r="G1149" s="7" t="s">
        <v>3144</v>
      </c>
      <c r="H1149" s="7" t="s">
        <v>3145</v>
      </c>
      <c r="I1149" s="9">
        <v>45343</v>
      </c>
    </row>
    <row r="1150" spans="1:9" x14ac:dyDescent="0.15">
      <c r="A1150" s="6">
        <v>1149</v>
      </c>
      <c r="B1150" s="7" t="s">
        <v>8</v>
      </c>
      <c r="C1150" s="8">
        <v>1887</v>
      </c>
      <c r="D1150" s="9">
        <v>45425</v>
      </c>
      <c r="E1150" s="13" t="str">
        <f>+HYPERLINK("http://trademark.i-assist.jp/data/china/image_1887th/76889395.pdf","76889395")</f>
        <v>76889395</v>
      </c>
      <c r="F1150" s="7" t="s">
        <v>3146</v>
      </c>
      <c r="G1150" s="7" t="s">
        <v>3041</v>
      </c>
      <c r="H1150" s="7" t="s">
        <v>3147</v>
      </c>
      <c r="I1150" s="9">
        <v>45343</v>
      </c>
    </row>
    <row r="1151" spans="1:9" x14ac:dyDescent="0.15">
      <c r="A1151" s="6">
        <v>1150</v>
      </c>
      <c r="B1151" s="7" t="s">
        <v>8</v>
      </c>
      <c r="C1151" s="8">
        <v>1887</v>
      </c>
      <c r="D1151" s="9">
        <v>45425</v>
      </c>
      <c r="E1151" s="13" t="str">
        <f>+HYPERLINK("http://trademark.i-assist.jp/data/china/image_1887th/76890141.pdf","76890141")</f>
        <v>76890141</v>
      </c>
      <c r="F1151" s="7" t="s">
        <v>3148</v>
      </c>
      <c r="G1151" s="7" t="s">
        <v>3149</v>
      </c>
      <c r="H1151" s="7" t="s">
        <v>3150</v>
      </c>
      <c r="I1151" s="9">
        <v>45343</v>
      </c>
    </row>
    <row r="1152" spans="1:9" x14ac:dyDescent="0.15">
      <c r="A1152" s="6">
        <v>1151</v>
      </c>
      <c r="B1152" s="7" t="s">
        <v>8</v>
      </c>
      <c r="C1152" s="8">
        <v>1887</v>
      </c>
      <c r="D1152" s="9">
        <v>45425</v>
      </c>
      <c r="E1152" s="13" t="str">
        <f>+HYPERLINK("http://trademark.i-assist.jp/data/china/image_1887th/76890354.pdf","76890354")</f>
        <v>76890354</v>
      </c>
      <c r="F1152" s="7" t="s">
        <v>3151</v>
      </c>
      <c r="G1152" s="7" t="s">
        <v>3152</v>
      </c>
      <c r="H1152" s="7" t="s">
        <v>349</v>
      </c>
      <c r="I1152" s="9">
        <v>45343</v>
      </c>
    </row>
    <row r="1153" spans="1:9" x14ac:dyDescent="0.15">
      <c r="A1153" s="6">
        <v>1152</v>
      </c>
      <c r="B1153" s="7" t="s">
        <v>8</v>
      </c>
      <c r="C1153" s="8">
        <v>1887</v>
      </c>
      <c r="D1153" s="9">
        <v>45425</v>
      </c>
      <c r="E1153" s="13" t="str">
        <f>+HYPERLINK("http://trademark.i-assist.jp/data/china/image_1887th/76890548.pdf","76890548")</f>
        <v>76890548</v>
      </c>
      <c r="F1153" s="7" t="s">
        <v>3153</v>
      </c>
      <c r="G1153" s="7" t="s">
        <v>3154</v>
      </c>
      <c r="H1153" s="7" t="s">
        <v>3155</v>
      </c>
      <c r="I1153" s="9">
        <v>45343</v>
      </c>
    </row>
    <row r="1154" spans="1:9" x14ac:dyDescent="0.15">
      <c r="A1154" s="6">
        <v>1153</v>
      </c>
      <c r="B1154" s="7" t="s">
        <v>8</v>
      </c>
      <c r="C1154" s="8">
        <v>1887</v>
      </c>
      <c r="D1154" s="9">
        <v>45425</v>
      </c>
      <c r="E1154" s="13" t="str">
        <f>+HYPERLINK("http://trademark.i-assist.jp/data/china/image_1887th/76890551.pdf","76890551")</f>
        <v>76890551</v>
      </c>
      <c r="F1154" s="7" t="s">
        <v>3156</v>
      </c>
      <c r="G1154" s="7" t="s">
        <v>3157</v>
      </c>
      <c r="H1154" s="7" t="s">
        <v>3158</v>
      </c>
      <c r="I1154" s="9">
        <v>45343</v>
      </c>
    </row>
    <row r="1155" spans="1:9" x14ac:dyDescent="0.15">
      <c r="A1155" s="6">
        <v>1154</v>
      </c>
      <c r="B1155" s="7" t="s">
        <v>8</v>
      </c>
      <c r="C1155" s="8">
        <v>1887</v>
      </c>
      <c r="D1155" s="9">
        <v>45425</v>
      </c>
      <c r="E1155" s="13" t="str">
        <f>+HYPERLINK("http://trademark.i-assist.jp/data/china/image_1887th/76890660.pdf","76890660")</f>
        <v>76890660</v>
      </c>
      <c r="F1155" s="7" t="s">
        <v>3159</v>
      </c>
      <c r="G1155" s="7" t="s">
        <v>3041</v>
      </c>
      <c r="H1155" s="7" t="s">
        <v>3160</v>
      </c>
      <c r="I1155" s="9">
        <v>45343</v>
      </c>
    </row>
    <row r="1156" spans="1:9" x14ac:dyDescent="0.15">
      <c r="A1156" s="6">
        <v>1155</v>
      </c>
      <c r="B1156" s="7" t="s">
        <v>8</v>
      </c>
      <c r="C1156" s="8">
        <v>1887</v>
      </c>
      <c r="D1156" s="9">
        <v>45425</v>
      </c>
      <c r="E1156" s="13" t="str">
        <f>+HYPERLINK("http://trademark.i-assist.jp/data/china/image_1887th/76890714.pdf","76890714")</f>
        <v>76890714</v>
      </c>
      <c r="F1156" s="7" t="s">
        <v>3161</v>
      </c>
      <c r="G1156" s="7" t="s">
        <v>3162</v>
      </c>
      <c r="H1156" s="7" t="s">
        <v>3163</v>
      </c>
      <c r="I1156" s="9">
        <v>45343</v>
      </c>
    </row>
    <row r="1157" spans="1:9" ht="27" x14ac:dyDescent="0.15">
      <c r="A1157" s="6">
        <v>1156</v>
      </c>
      <c r="B1157" s="7" t="s">
        <v>8</v>
      </c>
      <c r="C1157" s="8">
        <v>1887</v>
      </c>
      <c r="D1157" s="9">
        <v>45425</v>
      </c>
      <c r="E1157" s="13" t="str">
        <f>+HYPERLINK("http://trademark.i-assist.jp/data/china/image_1887th/76890844.pdf","76890844")</f>
        <v>76890844</v>
      </c>
      <c r="F1157" s="7" t="s">
        <v>3164</v>
      </c>
      <c r="G1157" s="7" t="s">
        <v>3165</v>
      </c>
      <c r="H1157" s="7" t="s">
        <v>3166</v>
      </c>
      <c r="I1157" s="9">
        <v>45343</v>
      </c>
    </row>
    <row r="1158" spans="1:9" x14ac:dyDescent="0.15">
      <c r="A1158" s="6">
        <v>1157</v>
      </c>
      <c r="B1158" s="7" t="s">
        <v>8</v>
      </c>
      <c r="C1158" s="8">
        <v>1887</v>
      </c>
      <c r="D1158" s="9">
        <v>45425</v>
      </c>
      <c r="E1158" s="13" t="str">
        <f>+HYPERLINK("http://trademark.i-assist.jp/data/china/image_1887th/76890901.pdf","76890901")</f>
        <v>76890901</v>
      </c>
      <c r="F1158" s="7" t="s">
        <v>3167</v>
      </c>
      <c r="G1158" s="7" t="s">
        <v>3168</v>
      </c>
      <c r="H1158" s="7" t="s">
        <v>3169</v>
      </c>
      <c r="I1158" s="9">
        <v>45343</v>
      </c>
    </row>
    <row r="1159" spans="1:9" ht="27" x14ac:dyDescent="0.15">
      <c r="A1159" s="6">
        <v>1158</v>
      </c>
      <c r="B1159" s="7" t="s">
        <v>8</v>
      </c>
      <c r="C1159" s="8">
        <v>1887</v>
      </c>
      <c r="D1159" s="9">
        <v>45425</v>
      </c>
      <c r="E1159" s="13" t="str">
        <f>+HYPERLINK("http://trademark.i-assist.jp/data/china/image_1887th/76890906.pdf","76890906")</f>
        <v>76890906</v>
      </c>
      <c r="F1159" s="7" t="s">
        <v>3170</v>
      </c>
      <c r="G1159" s="7" t="s">
        <v>3044</v>
      </c>
      <c r="H1159" s="7" t="s">
        <v>3171</v>
      </c>
      <c r="I1159" s="9">
        <v>45343</v>
      </c>
    </row>
    <row r="1160" spans="1:9" x14ac:dyDescent="0.15">
      <c r="A1160" s="6">
        <v>1159</v>
      </c>
      <c r="B1160" s="7" t="s">
        <v>8</v>
      </c>
      <c r="C1160" s="8">
        <v>1887</v>
      </c>
      <c r="D1160" s="9">
        <v>45425</v>
      </c>
      <c r="E1160" s="13" t="str">
        <f>+HYPERLINK("http://trademark.i-assist.jp/data/china/image_1887th/76891224.pdf","76891224")</f>
        <v>76891224</v>
      </c>
      <c r="F1160" s="7" t="s">
        <v>3172</v>
      </c>
      <c r="G1160" s="7" t="s">
        <v>3173</v>
      </c>
      <c r="H1160" s="7" t="s">
        <v>3174</v>
      </c>
      <c r="I1160" s="9">
        <v>45343</v>
      </c>
    </row>
    <row r="1161" spans="1:9" x14ac:dyDescent="0.15">
      <c r="A1161" s="6">
        <v>1160</v>
      </c>
      <c r="B1161" s="7" t="s">
        <v>8</v>
      </c>
      <c r="C1161" s="8">
        <v>1887</v>
      </c>
      <c r="D1161" s="9">
        <v>45425</v>
      </c>
      <c r="E1161" s="13" t="str">
        <f>+HYPERLINK("http://trademark.i-assist.jp/data/china/image_1887th/76891742.pdf","76891742")</f>
        <v>76891742</v>
      </c>
      <c r="F1161" s="7" t="s">
        <v>3175</v>
      </c>
      <c r="G1161" s="7" t="s">
        <v>3041</v>
      </c>
      <c r="H1161" s="7" t="s">
        <v>3176</v>
      </c>
      <c r="I1161" s="9">
        <v>45343</v>
      </c>
    </row>
    <row r="1162" spans="1:9" ht="27" x14ac:dyDescent="0.15">
      <c r="A1162" s="6">
        <v>1161</v>
      </c>
      <c r="B1162" s="7" t="s">
        <v>8</v>
      </c>
      <c r="C1162" s="8">
        <v>1887</v>
      </c>
      <c r="D1162" s="9">
        <v>45425</v>
      </c>
      <c r="E1162" s="13" t="str">
        <f>+HYPERLINK("http://trademark.i-assist.jp/data/china/image_1887th/76891871.pdf","76891871")</f>
        <v>76891871</v>
      </c>
      <c r="F1162" s="7" t="s">
        <v>3177</v>
      </c>
      <c r="G1162" s="7" t="s">
        <v>3065</v>
      </c>
      <c r="H1162" s="7" t="s">
        <v>3178</v>
      </c>
      <c r="I1162" s="9">
        <v>45343</v>
      </c>
    </row>
    <row r="1163" spans="1:9" x14ac:dyDescent="0.15">
      <c r="A1163" s="6">
        <v>1162</v>
      </c>
      <c r="B1163" s="7" t="s">
        <v>8</v>
      </c>
      <c r="C1163" s="8">
        <v>1887</v>
      </c>
      <c r="D1163" s="9">
        <v>45425</v>
      </c>
      <c r="E1163" s="13" t="str">
        <f>+HYPERLINK("http://trademark.i-assist.jp/data/china/image_1887th/76891919.pdf","76891919")</f>
        <v>76891919</v>
      </c>
      <c r="F1163" s="7" t="s">
        <v>3179</v>
      </c>
      <c r="G1163" s="7" t="s">
        <v>1753</v>
      </c>
      <c r="H1163" s="7" t="s">
        <v>3180</v>
      </c>
      <c r="I1163" s="9">
        <v>45343</v>
      </c>
    </row>
    <row r="1164" spans="1:9" ht="27" x14ac:dyDescent="0.15">
      <c r="A1164" s="6">
        <v>1163</v>
      </c>
      <c r="B1164" s="7" t="s">
        <v>8</v>
      </c>
      <c r="C1164" s="8">
        <v>1887</v>
      </c>
      <c r="D1164" s="9">
        <v>45425</v>
      </c>
      <c r="E1164" s="13" t="str">
        <f>+HYPERLINK("http://trademark.i-assist.jp/data/china/image_1887th/76892046.pdf","76892046")</f>
        <v>76892046</v>
      </c>
      <c r="F1164" s="7" t="s">
        <v>3181</v>
      </c>
      <c r="G1164" s="7" t="s">
        <v>3182</v>
      </c>
      <c r="H1164" s="7" t="s">
        <v>3183</v>
      </c>
      <c r="I1164" s="9">
        <v>45343</v>
      </c>
    </row>
    <row r="1165" spans="1:9" x14ac:dyDescent="0.15">
      <c r="A1165" s="6">
        <v>1164</v>
      </c>
      <c r="B1165" s="7" t="s">
        <v>8</v>
      </c>
      <c r="C1165" s="8">
        <v>1887</v>
      </c>
      <c r="D1165" s="9">
        <v>45425</v>
      </c>
      <c r="E1165" s="13" t="str">
        <f>+HYPERLINK("http://trademark.i-assist.jp/data/china/image_1887th/76892260.pdf","76892260")</f>
        <v>76892260</v>
      </c>
      <c r="F1165" s="7" t="s">
        <v>3184</v>
      </c>
      <c r="G1165" s="7" t="s">
        <v>3144</v>
      </c>
      <c r="H1165" s="7" t="s">
        <v>3185</v>
      </c>
      <c r="I1165" s="9">
        <v>45343</v>
      </c>
    </row>
    <row r="1166" spans="1:9" x14ac:dyDescent="0.15">
      <c r="A1166" s="6">
        <v>1165</v>
      </c>
      <c r="B1166" s="7" t="s">
        <v>8</v>
      </c>
      <c r="C1166" s="8">
        <v>1887</v>
      </c>
      <c r="D1166" s="9">
        <v>45425</v>
      </c>
      <c r="E1166" s="13" t="str">
        <f>+HYPERLINK("http://trademark.i-assist.jp/data/china/image_1887th/76892538.pdf","76892538")</f>
        <v>76892538</v>
      </c>
      <c r="F1166" s="7" t="s">
        <v>3186</v>
      </c>
      <c r="G1166" s="7" t="s">
        <v>625</v>
      </c>
      <c r="H1166" s="7" t="s">
        <v>3187</v>
      </c>
      <c r="I1166" s="9">
        <v>45343</v>
      </c>
    </row>
    <row r="1167" spans="1:9" x14ac:dyDescent="0.15">
      <c r="A1167" s="6">
        <v>1166</v>
      </c>
      <c r="B1167" s="7" t="s">
        <v>8</v>
      </c>
      <c r="C1167" s="8">
        <v>1887</v>
      </c>
      <c r="D1167" s="9">
        <v>45425</v>
      </c>
      <c r="E1167" s="13" t="str">
        <f>+HYPERLINK("http://trademark.i-assist.jp/data/china/image_1887th/76892626.pdf","76892626")</f>
        <v>76892626</v>
      </c>
      <c r="F1167" s="7" t="s">
        <v>3188</v>
      </c>
      <c r="G1167" s="7" t="s">
        <v>3113</v>
      </c>
      <c r="H1167" s="7" t="s">
        <v>3189</v>
      </c>
      <c r="I1167" s="9">
        <v>45343</v>
      </c>
    </row>
    <row r="1168" spans="1:9" x14ac:dyDescent="0.15">
      <c r="A1168" s="6">
        <v>1167</v>
      </c>
      <c r="B1168" s="7" t="s">
        <v>8</v>
      </c>
      <c r="C1168" s="8">
        <v>1887</v>
      </c>
      <c r="D1168" s="9">
        <v>45425</v>
      </c>
      <c r="E1168" s="13" t="str">
        <f>+HYPERLINK("http://trademark.i-assist.jp/data/china/image_1887th/76893239.pdf","76893239")</f>
        <v>76893239</v>
      </c>
      <c r="F1168" s="7" t="s">
        <v>3190</v>
      </c>
      <c r="G1168" s="7" t="s">
        <v>3191</v>
      </c>
      <c r="H1168" s="7" t="s">
        <v>3192</v>
      </c>
      <c r="I1168" s="9">
        <v>45343</v>
      </c>
    </row>
    <row r="1169" spans="1:9" x14ac:dyDescent="0.15">
      <c r="A1169" s="6">
        <v>1168</v>
      </c>
      <c r="B1169" s="7" t="s">
        <v>8</v>
      </c>
      <c r="C1169" s="8">
        <v>1887</v>
      </c>
      <c r="D1169" s="9">
        <v>45425</v>
      </c>
      <c r="E1169" s="13" t="str">
        <f>+HYPERLINK("http://trademark.i-assist.jp/data/china/image_1887th/76893491.pdf","76893491")</f>
        <v>76893491</v>
      </c>
      <c r="F1169" s="7" t="s">
        <v>3193</v>
      </c>
      <c r="G1169" s="7" t="s">
        <v>3194</v>
      </c>
      <c r="H1169" s="7" t="s">
        <v>3195</v>
      </c>
      <c r="I1169" s="9">
        <v>45343</v>
      </c>
    </row>
    <row r="1170" spans="1:9" x14ac:dyDescent="0.15">
      <c r="A1170" s="6">
        <v>1169</v>
      </c>
      <c r="B1170" s="7" t="s">
        <v>8</v>
      </c>
      <c r="C1170" s="8">
        <v>1887</v>
      </c>
      <c r="D1170" s="9">
        <v>45425</v>
      </c>
      <c r="E1170" s="13" t="str">
        <f>+HYPERLINK("http://trademark.i-assist.jp/data/china/image_1887th/76893939.pdf","76893939")</f>
        <v>76893939</v>
      </c>
      <c r="F1170" s="7" t="s">
        <v>54</v>
      </c>
      <c r="G1170" s="7" t="s">
        <v>3196</v>
      </c>
      <c r="H1170" s="7" t="s">
        <v>3197</v>
      </c>
      <c r="I1170" s="9">
        <v>45343</v>
      </c>
    </row>
    <row r="1171" spans="1:9" x14ac:dyDescent="0.15">
      <c r="A1171" s="6">
        <v>1170</v>
      </c>
      <c r="B1171" s="7" t="s">
        <v>8</v>
      </c>
      <c r="C1171" s="8">
        <v>1887</v>
      </c>
      <c r="D1171" s="9">
        <v>45425</v>
      </c>
      <c r="E1171" s="13" t="str">
        <f>+HYPERLINK("http://trademark.i-assist.jp/data/china/image_1887th/76893975.pdf","76893975")</f>
        <v>76893975</v>
      </c>
      <c r="F1171" s="7" t="s">
        <v>3198</v>
      </c>
      <c r="G1171" s="7" t="s">
        <v>3199</v>
      </c>
      <c r="H1171" s="7" t="s">
        <v>3200</v>
      </c>
      <c r="I1171" s="9">
        <v>45343</v>
      </c>
    </row>
    <row r="1172" spans="1:9" x14ac:dyDescent="0.15">
      <c r="A1172" s="6">
        <v>1171</v>
      </c>
      <c r="B1172" s="7" t="s">
        <v>8</v>
      </c>
      <c r="C1172" s="8">
        <v>1887</v>
      </c>
      <c r="D1172" s="9">
        <v>45425</v>
      </c>
      <c r="E1172" s="13" t="str">
        <f>+HYPERLINK("http://trademark.i-assist.jp/data/china/image_1887th/76894864.pdf","76894864")</f>
        <v>76894864</v>
      </c>
      <c r="F1172" s="7" t="s">
        <v>3201</v>
      </c>
      <c r="G1172" s="7" t="s">
        <v>3202</v>
      </c>
      <c r="H1172" s="7" t="s">
        <v>3203</v>
      </c>
      <c r="I1172" s="9">
        <v>45343</v>
      </c>
    </row>
    <row r="1173" spans="1:9" x14ac:dyDescent="0.15">
      <c r="A1173" s="6">
        <v>1172</v>
      </c>
      <c r="B1173" s="7" t="s">
        <v>8</v>
      </c>
      <c r="C1173" s="8">
        <v>1887</v>
      </c>
      <c r="D1173" s="9">
        <v>45425</v>
      </c>
      <c r="E1173" s="13" t="str">
        <f>+HYPERLINK("http://trademark.i-assist.jp/data/china/image_1887th/76895028.pdf","76895028")</f>
        <v>76895028</v>
      </c>
      <c r="F1173" s="7" t="s">
        <v>3204</v>
      </c>
      <c r="G1173" s="7" t="s">
        <v>3173</v>
      </c>
      <c r="H1173" s="7" t="s">
        <v>3205</v>
      </c>
      <c r="I1173" s="9">
        <v>45343</v>
      </c>
    </row>
    <row r="1174" spans="1:9" x14ac:dyDescent="0.15">
      <c r="A1174" s="6">
        <v>1173</v>
      </c>
      <c r="B1174" s="7" t="s">
        <v>8</v>
      </c>
      <c r="C1174" s="8">
        <v>1887</v>
      </c>
      <c r="D1174" s="9">
        <v>45425</v>
      </c>
      <c r="E1174" s="13" t="str">
        <f>+HYPERLINK("http://trademark.i-assist.jp/data/china/image_1887th/76895351.pdf","76895351")</f>
        <v>76895351</v>
      </c>
      <c r="F1174" s="7" t="s">
        <v>3206</v>
      </c>
      <c r="G1174" s="7" t="s">
        <v>3207</v>
      </c>
      <c r="H1174" s="7" t="s">
        <v>3208</v>
      </c>
      <c r="I1174" s="9">
        <v>45343</v>
      </c>
    </row>
    <row r="1175" spans="1:9" ht="27" x14ac:dyDescent="0.15">
      <c r="A1175" s="6">
        <v>1174</v>
      </c>
      <c r="B1175" s="7" t="s">
        <v>8</v>
      </c>
      <c r="C1175" s="8">
        <v>1887</v>
      </c>
      <c r="D1175" s="9">
        <v>45425</v>
      </c>
      <c r="E1175" s="13" t="str">
        <f>+HYPERLINK("http://trademark.i-assist.jp/data/china/image_1887th/76896038.pdf","76896038")</f>
        <v>76896038</v>
      </c>
      <c r="F1175" s="7" t="s">
        <v>3209</v>
      </c>
      <c r="G1175" s="7" t="s">
        <v>3210</v>
      </c>
      <c r="H1175" s="7" t="s">
        <v>3211</v>
      </c>
      <c r="I1175" s="9">
        <v>45343</v>
      </c>
    </row>
    <row r="1176" spans="1:9" x14ac:dyDescent="0.15">
      <c r="A1176" s="6">
        <v>1175</v>
      </c>
      <c r="B1176" s="7" t="s">
        <v>8</v>
      </c>
      <c r="C1176" s="8">
        <v>1887</v>
      </c>
      <c r="D1176" s="9">
        <v>45425</v>
      </c>
      <c r="E1176" s="13" t="str">
        <f>+HYPERLINK("http://trademark.i-assist.jp/data/china/image_1887th/76896599.pdf","76896599")</f>
        <v>76896599</v>
      </c>
      <c r="F1176" s="7" t="s">
        <v>3212</v>
      </c>
      <c r="G1176" s="7" t="s">
        <v>3144</v>
      </c>
      <c r="H1176" s="7" t="s">
        <v>3213</v>
      </c>
      <c r="I1176" s="9">
        <v>45343</v>
      </c>
    </row>
    <row r="1177" spans="1:9" x14ac:dyDescent="0.15">
      <c r="A1177" s="6">
        <v>1176</v>
      </c>
      <c r="B1177" s="7" t="s">
        <v>8</v>
      </c>
      <c r="C1177" s="8">
        <v>1887</v>
      </c>
      <c r="D1177" s="9">
        <v>45425</v>
      </c>
      <c r="E1177" s="13" t="str">
        <f>+HYPERLINK("http://trademark.i-assist.jp/data/china/image_1887th/76896699.pdf","76896699")</f>
        <v>76896699</v>
      </c>
      <c r="F1177" s="7" t="s">
        <v>3214</v>
      </c>
      <c r="G1177" s="7" t="s">
        <v>3215</v>
      </c>
      <c r="H1177" s="7" t="s">
        <v>3216</v>
      </c>
      <c r="I1177" s="9">
        <v>45343</v>
      </c>
    </row>
    <row r="1178" spans="1:9" x14ac:dyDescent="0.15">
      <c r="A1178" s="6">
        <v>1177</v>
      </c>
      <c r="B1178" s="7" t="s">
        <v>8</v>
      </c>
      <c r="C1178" s="8">
        <v>1887</v>
      </c>
      <c r="D1178" s="9">
        <v>45425</v>
      </c>
      <c r="E1178" s="13" t="str">
        <f>+HYPERLINK("http://trademark.i-assist.jp/data/china/image_1887th/76896779.pdf","76896779")</f>
        <v>76896779</v>
      </c>
      <c r="F1178" s="7" t="s">
        <v>3217</v>
      </c>
      <c r="G1178" s="7" t="s">
        <v>3218</v>
      </c>
      <c r="H1178" s="7" t="s">
        <v>3219</v>
      </c>
      <c r="I1178" s="9">
        <v>45343</v>
      </c>
    </row>
    <row r="1179" spans="1:9" x14ac:dyDescent="0.15">
      <c r="A1179" s="6">
        <v>1178</v>
      </c>
      <c r="B1179" s="7" t="s">
        <v>8</v>
      </c>
      <c r="C1179" s="8">
        <v>1887</v>
      </c>
      <c r="D1179" s="9">
        <v>45425</v>
      </c>
      <c r="E1179" s="13" t="str">
        <f>+HYPERLINK("http://trademark.i-assist.jp/data/china/image_1887th/76896804.pdf","76896804")</f>
        <v>76896804</v>
      </c>
      <c r="F1179" s="7" t="s">
        <v>3220</v>
      </c>
      <c r="G1179" s="7" t="s">
        <v>3221</v>
      </c>
      <c r="H1179" s="7" t="s">
        <v>3222</v>
      </c>
      <c r="I1179" s="9">
        <v>45343</v>
      </c>
    </row>
    <row r="1180" spans="1:9" x14ac:dyDescent="0.15">
      <c r="A1180" s="6">
        <v>1179</v>
      </c>
      <c r="B1180" s="7" t="s">
        <v>8</v>
      </c>
      <c r="C1180" s="8">
        <v>1887</v>
      </c>
      <c r="D1180" s="9">
        <v>45425</v>
      </c>
      <c r="E1180" s="13" t="str">
        <f>+HYPERLINK("http://trademark.i-assist.jp/data/china/image_1887th/76896831.pdf","76896831")</f>
        <v>76896831</v>
      </c>
      <c r="F1180" s="7" t="s">
        <v>3223</v>
      </c>
      <c r="G1180" s="7" t="s">
        <v>3041</v>
      </c>
      <c r="H1180" s="7" t="s">
        <v>3224</v>
      </c>
      <c r="I1180" s="9">
        <v>45343</v>
      </c>
    </row>
    <row r="1181" spans="1:9" x14ac:dyDescent="0.15">
      <c r="A1181" s="6">
        <v>1180</v>
      </c>
      <c r="B1181" s="7" t="s">
        <v>8</v>
      </c>
      <c r="C1181" s="8">
        <v>1887</v>
      </c>
      <c r="D1181" s="9">
        <v>45425</v>
      </c>
      <c r="E1181" s="13" t="str">
        <f>+HYPERLINK("http://trademark.i-assist.jp/data/china/image_1887th/76896863.pdf","76896863")</f>
        <v>76896863</v>
      </c>
      <c r="F1181" s="7" t="s">
        <v>3225</v>
      </c>
      <c r="G1181" s="7" t="s">
        <v>3226</v>
      </c>
      <c r="H1181" s="7" t="s">
        <v>3227</v>
      </c>
      <c r="I1181" s="9">
        <v>45343</v>
      </c>
    </row>
    <row r="1182" spans="1:9" ht="27" x14ac:dyDescent="0.15">
      <c r="A1182" s="6">
        <v>1181</v>
      </c>
      <c r="B1182" s="7" t="s">
        <v>8</v>
      </c>
      <c r="C1182" s="8">
        <v>1887</v>
      </c>
      <c r="D1182" s="9">
        <v>45425</v>
      </c>
      <c r="E1182" s="13" t="str">
        <f>+HYPERLINK("http://trademark.i-assist.jp/data/china/image_1887th/76897032.pdf","76897032")</f>
        <v>76897032</v>
      </c>
      <c r="F1182" s="7" t="s">
        <v>3228</v>
      </c>
      <c r="G1182" s="7" t="s">
        <v>3044</v>
      </c>
      <c r="H1182" s="7" t="s">
        <v>3229</v>
      </c>
      <c r="I1182" s="9">
        <v>45343</v>
      </c>
    </row>
    <row r="1183" spans="1:9" x14ac:dyDescent="0.15">
      <c r="A1183" s="6">
        <v>1182</v>
      </c>
      <c r="B1183" s="7" t="s">
        <v>8</v>
      </c>
      <c r="C1183" s="8">
        <v>1887</v>
      </c>
      <c r="D1183" s="9">
        <v>45425</v>
      </c>
      <c r="E1183" s="13" t="str">
        <f>+HYPERLINK("http://trademark.i-assist.jp/data/china/image_1887th/76897293.pdf","76897293")</f>
        <v>76897293</v>
      </c>
      <c r="F1183" s="7" t="s">
        <v>3230</v>
      </c>
      <c r="G1183" s="7" t="s">
        <v>3231</v>
      </c>
      <c r="H1183" s="7" t="s">
        <v>3232</v>
      </c>
      <c r="I1183" s="9">
        <v>45343</v>
      </c>
    </row>
    <row r="1184" spans="1:9" x14ac:dyDescent="0.15">
      <c r="A1184" s="6">
        <v>1183</v>
      </c>
      <c r="B1184" s="7" t="s">
        <v>8</v>
      </c>
      <c r="C1184" s="8">
        <v>1887</v>
      </c>
      <c r="D1184" s="9">
        <v>45425</v>
      </c>
      <c r="E1184" s="13" t="str">
        <f>+HYPERLINK("http://trademark.i-assist.jp/data/china/image_1887th/76897472.pdf","76897472")</f>
        <v>76897472</v>
      </c>
      <c r="F1184" s="7" t="s">
        <v>3233</v>
      </c>
      <c r="G1184" s="7" t="s">
        <v>3234</v>
      </c>
      <c r="H1184" s="7" t="s">
        <v>3235</v>
      </c>
      <c r="I1184" s="9">
        <v>45343</v>
      </c>
    </row>
    <row r="1185" spans="1:9" x14ac:dyDescent="0.15">
      <c r="A1185" s="6">
        <v>1184</v>
      </c>
      <c r="B1185" s="7" t="s">
        <v>8</v>
      </c>
      <c r="C1185" s="8">
        <v>1887</v>
      </c>
      <c r="D1185" s="9">
        <v>45425</v>
      </c>
      <c r="E1185" s="13" t="str">
        <f>+HYPERLINK("http://trademark.i-assist.jp/data/china/image_1887th/76898280.pdf","76898280")</f>
        <v>76898280</v>
      </c>
      <c r="F1185" s="7" t="s">
        <v>3236</v>
      </c>
      <c r="G1185" s="7" t="s">
        <v>3237</v>
      </c>
      <c r="H1185" s="7" t="s">
        <v>3238</v>
      </c>
      <c r="I1185" s="9">
        <v>45343</v>
      </c>
    </row>
    <row r="1186" spans="1:9" x14ac:dyDescent="0.15">
      <c r="A1186" s="6">
        <v>1185</v>
      </c>
      <c r="B1186" s="7" t="s">
        <v>8</v>
      </c>
      <c r="C1186" s="8">
        <v>1887</v>
      </c>
      <c r="D1186" s="9">
        <v>45425</v>
      </c>
      <c r="E1186" s="13" t="str">
        <f>+HYPERLINK("http://trademark.i-assist.jp/data/china/image_1887th/76898361.pdf","76898361")</f>
        <v>76898361</v>
      </c>
      <c r="F1186" s="7" t="s">
        <v>3239</v>
      </c>
      <c r="G1186" s="7" t="s">
        <v>3041</v>
      </c>
      <c r="H1186" s="7" t="s">
        <v>3240</v>
      </c>
      <c r="I1186" s="9">
        <v>45343</v>
      </c>
    </row>
    <row r="1187" spans="1:9" x14ac:dyDescent="0.15">
      <c r="A1187" s="6">
        <v>1186</v>
      </c>
      <c r="B1187" s="7" t="s">
        <v>8</v>
      </c>
      <c r="C1187" s="8">
        <v>1887</v>
      </c>
      <c r="D1187" s="9">
        <v>45425</v>
      </c>
      <c r="E1187" s="13" t="str">
        <f>+HYPERLINK("http://trademark.i-assist.jp/data/china/image_1887th/76898375.pdf","76898375")</f>
        <v>76898375</v>
      </c>
      <c r="F1187" s="7" t="s">
        <v>3241</v>
      </c>
      <c r="G1187" s="7" t="s">
        <v>3041</v>
      </c>
      <c r="H1187" s="7" t="s">
        <v>3242</v>
      </c>
      <c r="I1187" s="9">
        <v>45343</v>
      </c>
    </row>
    <row r="1188" spans="1:9" x14ac:dyDescent="0.15">
      <c r="A1188" s="6">
        <v>1187</v>
      </c>
      <c r="B1188" s="7" t="s">
        <v>8</v>
      </c>
      <c r="C1188" s="8">
        <v>1887</v>
      </c>
      <c r="D1188" s="9">
        <v>45425</v>
      </c>
      <c r="E1188" s="13" t="str">
        <f>+HYPERLINK("http://trademark.i-assist.jp/data/china/image_1887th/76898613.pdf","76898613")</f>
        <v>76898613</v>
      </c>
      <c r="F1188" s="7" t="s">
        <v>3243</v>
      </c>
      <c r="G1188" s="7" t="s">
        <v>3244</v>
      </c>
      <c r="H1188" s="7" t="s">
        <v>3245</v>
      </c>
      <c r="I1188" s="9">
        <v>45343</v>
      </c>
    </row>
    <row r="1189" spans="1:9" x14ac:dyDescent="0.15">
      <c r="A1189" s="6">
        <v>1188</v>
      </c>
      <c r="B1189" s="7" t="s">
        <v>8</v>
      </c>
      <c r="C1189" s="8">
        <v>1887</v>
      </c>
      <c r="D1189" s="9">
        <v>45425</v>
      </c>
      <c r="E1189" s="13" t="str">
        <f>+HYPERLINK("http://trademark.i-assist.jp/data/china/image_1887th/76898755.pdf","76898755")</f>
        <v>76898755</v>
      </c>
      <c r="F1189" s="7" t="s">
        <v>3246</v>
      </c>
      <c r="G1189" s="7" t="s">
        <v>3149</v>
      </c>
      <c r="H1189" s="7" t="s">
        <v>3247</v>
      </c>
      <c r="I1189" s="9">
        <v>45343</v>
      </c>
    </row>
    <row r="1190" spans="1:9" x14ac:dyDescent="0.15">
      <c r="A1190" s="6">
        <v>1189</v>
      </c>
      <c r="B1190" s="7" t="s">
        <v>8</v>
      </c>
      <c r="C1190" s="8">
        <v>1887</v>
      </c>
      <c r="D1190" s="9">
        <v>45425</v>
      </c>
      <c r="E1190" s="13" t="str">
        <f>+HYPERLINK("http://trademark.i-assist.jp/data/china/image_1887th/76899460.pdf","76899460")</f>
        <v>76899460</v>
      </c>
      <c r="F1190" s="7" t="s">
        <v>3248</v>
      </c>
      <c r="G1190" s="7" t="s">
        <v>3144</v>
      </c>
      <c r="H1190" s="7" t="s">
        <v>3249</v>
      </c>
      <c r="I1190" s="9">
        <v>45343</v>
      </c>
    </row>
    <row r="1191" spans="1:9" ht="27" x14ac:dyDescent="0.15">
      <c r="A1191" s="6">
        <v>1190</v>
      </c>
      <c r="B1191" s="7" t="s">
        <v>8</v>
      </c>
      <c r="C1191" s="8">
        <v>1887</v>
      </c>
      <c r="D1191" s="9">
        <v>45425</v>
      </c>
      <c r="E1191" s="13" t="str">
        <f>+HYPERLINK("http://trademark.i-assist.jp/data/china/image_1887th/76899554.pdf","76899554")</f>
        <v>76899554</v>
      </c>
      <c r="F1191" s="7" t="s">
        <v>3250</v>
      </c>
      <c r="G1191" s="7" t="s">
        <v>3044</v>
      </c>
      <c r="H1191" s="7" t="s">
        <v>3251</v>
      </c>
      <c r="I1191" s="9">
        <v>45343</v>
      </c>
    </row>
    <row r="1192" spans="1:9" x14ac:dyDescent="0.15">
      <c r="A1192" s="6">
        <v>1191</v>
      </c>
      <c r="B1192" s="7" t="s">
        <v>8</v>
      </c>
      <c r="C1192" s="8">
        <v>1887</v>
      </c>
      <c r="D1192" s="9">
        <v>45425</v>
      </c>
      <c r="E1192" s="13" t="str">
        <f>+HYPERLINK("http://trademark.i-assist.jp/data/china/image_1887th/76899652.pdf","76899652")</f>
        <v>76899652</v>
      </c>
      <c r="F1192" s="7" t="s">
        <v>3252</v>
      </c>
      <c r="G1192" s="7" t="s">
        <v>3253</v>
      </c>
      <c r="H1192" s="7" t="s">
        <v>3254</v>
      </c>
      <c r="I1192" s="9">
        <v>45343</v>
      </c>
    </row>
    <row r="1193" spans="1:9" x14ac:dyDescent="0.15">
      <c r="A1193" s="6">
        <v>1192</v>
      </c>
      <c r="B1193" s="7" t="s">
        <v>8</v>
      </c>
      <c r="C1193" s="8">
        <v>1887</v>
      </c>
      <c r="D1193" s="9">
        <v>45425</v>
      </c>
      <c r="E1193" s="13" t="str">
        <f>+HYPERLINK("http://trademark.i-assist.jp/data/china/image_1887th/76899717.pdf","76899717")</f>
        <v>76899717</v>
      </c>
      <c r="F1193" s="7" t="s">
        <v>3255</v>
      </c>
      <c r="G1193" s="7" t="s">
        <v>3256</v>
      </c>
      <c r="H1193" s="7" t="s">
        <v>3257</v>
      </c>
      <c r="I1193" s="9">
        <v>45343</v>
      </c>
    </row>
    <row r="1194" spans="1:9" x14ac:dyDescent="0.15">
      <c r="A1194" s="6">
        <v>1193</v>
      </c>
      <c r="B1194" s="7" t="s">
        <v>8</v>
      </c>
      <c r="C1194" s="8">
        <v>1887</v>
      </c>
      <c r="D1194" s="9">
        <v>45425</v>
      </c>
      <c r="E1194" s="13" t="str">
        <f>+HYPERLINK("http://trademark.i-assist.jp/data/china/image_1887th/76899878.pdf","76899878")</f>
        <v>76899878</v>
      </c>
      <c r="F1194" s="7" t="s">
        <v>3258</v>
      </c>
      <c r="G1194" s="7" t="s">
        <v>3259</v>
      </c>
      <c r="H1194" s="7" t="s">
        <v>3260</v>
      </c>
      <c r="I1194" s="9">
        <v>45343</v>
      </c>
    </row>
    <row r="1195" spans="1:9" x14ac:dyDescent="0.15">
      <c r="A1195" s="6">
        <v>1194</v>
      </c>
      <c r="B1195" s="7" t="s">
        <v>8</v>
      </c>
      <c r="C1195" s="8">
        <v>1887</v>
      </c>
      <c r="D1195" s="9">
        <v>45425</v>
      </c>
      <c r="E1195" s="13" t="str">
        <f>+HYPERLINK("http://trademark.i-assist.jp/data/china/image_1887th/76900259.pdf","76900259")</f>
        <v>76900259</v>
      </c>
      <c r="F1195" s="7" t="s">
        <v>3261</v>
      </c>
      <c r="G1195" s="7" t="s">
        <v>3262</v>
      </c>
      <c r="H1195" s="7" t="s">
        <v>3263</v>
      </c>
      <c r="I1195" s="9">
        <v>45344</v>
      </c>
    </row>
    <row r="1196" spans="1:9" x14ac:dyDescent="0.15">
      <c r="A1196" s="6">
        <v>1195</v>
      </c>
      <c r="B1196" s="7" t="s">
        <v>8</v>
      </c>
      <c r="C1196" s="8">
        <v>1887</v>
      </c>
      <c r="D1196" s="9">
        <v>45425</v>
      </c>
      <c r="E1196" s="13" t="str">
        <f>+HYPERLINK("http://trademark.i-assist.jp/data/china/image_1887th/76900408.pdf","76900408")</f>
        <v>76900408</v>
      </c>
      <c r="F1196" s="7" t="s">
        <v>3264</v>
      </c>
      <c r="G1196" s="7" t="s">
        <v>3265</v>
      </c>
      <c r="H1196" s="7" t="s">
        <v>3266</v>
      </c>
      <c r="I1196" s="9">
        <v>45344</v>
      </c>
    </row>
    <row r="1197" spans="1:9" x14ac:dyDescent="0.15">
      <c r="A1197" s="6">
        <v>1196</v>
      </c>
      <c r="B1197" s="7" t="s">
        <v>8</v>
      </c>
      <c r="C1197" s="8">
        <v>1887</v>
      </c>
      <c r="D1197" s="9">
        <v>45425</v>
      </c>
      <c r="E1197" s="13" t="str">
        <f>+HYPERLINK("http://trademark.i-assist.jp/data/china/image_1887th/76900760.pdf","76900760")</f>
        <v>76900760</v>
      </c>
      <c r="F1197" s="7" t="s">
        <v>3267</v>
      </c>
      <c r="G1197" s="7" t="s">
        <v>3268</v>
      </c>
      <c r="H1197" s="7" t="s">
        <v>3269</v>
      </c>
      <c r="I1197" s="9">
        <v>45344</v>
      </c>
    </row>
    <row r="1198" spans="1:9" x14ac:dyDescent="0.15">
      <c r="A1198" s="6">
        <v>1197</v>
      </c>
      <c r="B1198" s="7" t="s">
        <v>8</v>
      </c>
      <c r="C1198" s="8">
        <v>1887</v>
      </c>
      <c r="D1198" s="9">
        <v>45425</v>
      </c>
      <c r="E1198" s="13" t="str">
        <f>+HYPERLINK("http://trademark.i-assist.jp/data/china/image_1887th/76900875.pdf","76900875")</f>
        <v>76900875</v>
      </c>
      <c r="F1198" s="7" t="s">
        <v>3270</v>
      </c>
      <c r="G1198" s="7" t="s">
        <v>3271</v>
      </c>
      <c r="H1198" s="7" t="s">
        <v>3272</v>
      </c>
      <c r="I1198" s="9">
        <v>45344</v>
      </c>
    </row>
    <row r="1199" spans="1:9" x14ac:dyDescent="0.15">
      <c r="A1199" s="6">
        <v>1198</v>
      </c>
      <c r="B1199" s="7" t="s">
        <v>8</v>
      </c>
      <c r="C1199" s="8">
        <v>1887</v>
      </c>
      <c r="D1199" s="9">
        <v>45425</v>
      </c>
      <c r="E1199" s="13" t="str">
        <f>+HYPERLINK("http://trademark.i-assist.jp/data/china/image_1887th/76901210.pdf","76901210")</f>
        <v>76901210</v>
      </c>
      <c r="F1199" s="7" t="s">
        <v>54</v>
      </c>
      <c r="G1199" s="7" t="s">
        <v>3273</v>
      </c>
      <c r="H1199" s="7" t="s">
        <v>3274</v>
      </c>
      <c r="I1199" s="9">
        <v>45344</v>
      </c>
    </row>
    <row r="1200" spans="1:9" x14ac:dyDescent="0.15">
      <c r="A1200" s="6">
        <v>1199</v>
      </c>
      <c r="B1200" s="7" t="s">
        <v>8</v>
      </c>
      <c r="C1200" s="8">
        <v>1887</v>
      </c>
      <c r="D1200" s="9">
        <v>45425</v>
      </c>
      <c r="E1200" s="13" t="str">
        <f>+HYPERLINK("http://trademark.i-assist.jp/data/china/image_1887th/76901383.pdf","76901383")</f>
        <v>76901383</v>
      </c>
      <c r="F1200" s="7" t="s">
        <v>3275</v>
      </c>
      <c r="G1200" s="7" t="s">
        <v>1245</v>
      </c>
      <c r="H1200" s="7" t="s">
        <v>3276</v>
      </c>
      <c r="I1200" s="9">
        <v>45344</v>
      </c>
    </row>
    <row r="1201" spans="1:9" x14ac:dyDescent="0.15">
      <c r="A1201" s="6">
        <v>1200</v>
      </c>
      <c r="B1201" s="7" t="s">
        <v>8</v>
      </c>
      <c r="C1201" s="8">
        <v>1887</v>
      </c>
      <c r="D1201" s="9">
        <v>45425</v>
      </c>
      <c r="E1201" s="13" t="str">
        <f>+HYPERLINK("http://trademark.i-assist.jp/data/china/image_1887th/76901891.pdf","76901891")</f>
        <v>76901891</v>
      </c>
      <c r="F1201" s="7" t="s">
        <v>3277</v>
      </c>
      <c r="G1201" s="7" t="s">
        <v>3262</v>
      </c>
      <c r="H1201" s="7" t="s">
        <v>3278</v>
      </c>
      <c r="I1201" s="9">
        <v>45344</v>
      </c>
    </row>
    <row r="1202" spans="1:9" x14ac:dyDescent="0.15">
      <c r="A1202" s="6">
        <v>1201</v>
      </c>
      <c r="B1202" s="7" t="s">
        <v>8</v>
      </c>
      <c r="C1202" s="8">
        <v>1887</v>
      </c>
      <c r="D1202" s="9">
        <v>45425</v>
      </c>
      <c r="E1202" s="13" t="str">
        <f>+HYPERLINK("http://trademark.i-assist.jp/data/china/image_1887th/76901916.pdf","76901916")</f>
        <v>76901916</v>
      </c>
      <c r="F1202" s="7" t="s">
        <v>3279</v>
      </c>
      <c r="G1202" s="7" t="s">
        <v>3280</v>
      </c>
      <c r="H1202" s="7" t="s">
        <v>3281</v>
      </c>
      <c r="I1202" s="9">
        <v>45344</v>
      </c>
    </row>
    <row r="1203" spans="1:9" x14ac:dyDescent="0.15">
      <c r="A1203" s="6">
        <v>1202</v>
      </c>
      <c r="B1203" s="7" t="s">
        <v>8</v>
      </c>
      <c r="C1203" s="8">
        <v>1887</v>
      </c>
      <c r="D1203" s="9">
        <v>45425</v>
      </c>
      <c r="E1203" s="13" t="str">
        <f>+HYPERLINK("http://trademark.i-assist.jp/data/china/image_1887th/76902088.pdf","76902088")</f>
        <v>76902088</v>
      </c>
      <c r="F1203" s="7" t="s">
        <v>3282</v>
      </c>
      <c r="G1203" s="7" t="s">
        <v>3283</v>
      </c>
      <c r="H1203" s="7" t="s">
        <v>3284</v>
      </c>
      <c r="I1203" s="9">
        <v>45344</v>
      </c>
    </row>
    <row r="1204" spans="1:9" x14ac:dyDescent="0.15">
      <c r="A1204" s="6">
        <v>1203</v>
      </c>
      <c r="B1204" s="7" t="s">
        <v>8</v>
      </c>
      <c r="C1204" s="8">
        <v>1887</v>
      </c>
      <c r="D1204" s="9">
        <v>45425</v>
      </c>
      <c r="E1204" s="13" t="str">
        <f>+HYPERLINK("http://trademark.i-assist.jp/data/china/image_1887th/76902251.pdf","76902251")</f>
        <v>76902251</v>
      </c>
      <c r="F1204" s="7" t="s">
        <v>3285</v>
      </c>
      <c r="G1204" s="7" t="s">
        <v>3286</v>
      </c>
      <c r="H1204" s="7" t="s">
        <v>3287</v>
      </c>
      <c r="I1204" s="9">
        <v>45344</v>
      </c>
    </row>
    <row r="1205" spans="1:9" x14ac:dyDescent="0.15">
      <c r="A1205" s="6">
        <v>1204</v>
      </c>
      <c r="B1205" s="7" t="s">
        <v>8</v>
      </c>
      <c r="C1205" s="8">
        <v>1887</v>
      </c>
      <c r="D1205" s="9">
        <v>45425</v>
      </c>
      <c r="E1205" s="13" t="str">
        <f>+HYPERLINK("http://trademark.i-assist.jp/data/china/image_1887th/76902256.pdf","76902256")</f>
        <v>76902256</v>
      </c>
      <c r="F1205" s="7" t="s">
        <v>3288</v>
      </c>
      <c r="G1205" s="7" t="s">
        <v>3289</v>
      </c>
      <c r="H1205" s="7" t="s">
        <v>3290</v>
      </c>
      <c r="I1205" s="9">
        <v>45344</v>
      </c>
    </row>
    <row r="1206" spans="1:9" ht="27" x14ac:dyDescent="0.15">
      <c r="A1206" s="6">
        <v>1205</v>
      </c>
      <c r="B1206" s="7" t="s">
        <v>8</v>
      </c>
      <c r="C1206" s="8">
        <v>1887</v>
      </c>
      <c r="D1206" s="9">
        <v>45425</v>
      </c>
      <c r="E1206" s="13" t="str">
        <f>+HYPERLINK("http://trademark.i-assist.jp/data/china/image_1887th/76902574.pdf","76902574")</f>
        <v>76902574</v>
      </c>
      <c r="F1206" s="7" t="s">
        <v>3291</v>
      </c>
      <c r="G1206" s="7" t="s">
        <v>3292</v>
      </c>
      <c r="H1206" s="7" t="s">
        <v>3293</v>
      </c>
      <c r="I1206" s="9">
        <v>45344</v>
      </c>
    </row>
    <row r="1207" spans="1:9" x14ac:dyDescent="0.15">
      <c r="A1207" s="6">
        <v>1206</v>
      </c>
      <c r="B1207" s="7" t="s">
        <v>8</v>
      </c>
      <c r="C1207" s="8">
        <v>1887</v>
      </c>
      <c r="D1207" s="9">
        <v>45425</v>
      </c>
      <c r="E1207" s="13" t="str">
        <f>+HYPERLINK("http://trademark.i-assist.jp/data/china/image_1887th/76902895.pdf","76902895")</f>
        <v>76902895</v>
      </c>
      <c r="F1207" s="7" t="s">
        <v>3294</v>
      </c>
      <c r="G1207" s="7" t="s">
        <v>3295</v>
      </c>
      <c r="H1207" s="7" t="s">
        <v>3296</v>
      </c>
      <c r="I1207" s="9">
        <v>45344</v>
      </c>
    </row>
    <row r="1208" spans="1:9" ht="27" x14ac:dyDescent="0.15">
      <c r="A1208" s="6">
        <v>1207</v>
      </c>
      <c r="B1208" s="7" t="s">
        <v>8</v>
      </c>
      <c r="C1208" s="8">
        <v>1887</v>
      </c>
      <c r="D1208" s="9">
        <v>45425</v>
      </c>
      <c r="E1208" s="13" t="str">
        <f>+HYPERLINK("http://trademark.i-assist.jp/data/china/image_1887th/76903227.pdf","76903227")</f>
        <v>76903227</v>
      </c>
      <c r="F1208" s="7" t="s">
        <v>3297</v>
      </c>
      <c r="G1208" s="7" t="s">
        <v>3298</v>
      </c>
      <c r="H1208" s="7" t="s">
        <v>3299</v>
      </c>
      <c r="I1208" s="9">
        <v>45344</v>
      </c>
    </row>
    <row r="1209" spans="1:9" x14ac:dyDescent="0.15">
      <c r="A1209" s="6">
        <v>1208</v>
      </c>
      <c r="B1209" s="7" t="s">
        <v>8</v>
      </c>
      <c r="C1209" s="8">
        <v>1887</v>
      </c>
      <c r="D1209" s="9">
        <v>45425</v>
      </c>
      <c r="E1209" s="13" t="str">
        <f>+HYPERLINK("http://trademark.i-assist.jp/data/china/image_1887th/76903281.pdf","76903281")</f>
        <v>76903281</v>
      </c>
      <c r="F1209" s="7" t="s">
        <v>3300</v>
      </c>
      <c r="G1209" s="7" t="s">
        <v>3301</v>
      </c>
      <c r="H1209" s="7" t="s">
        <v>3302</v>
      </c>
      <c r="I1209" s="9">
        <v>45344</v>
      </c>
    </row>
    <row r="1210" spans="1:9" x14ac:dyDescent="0.15">
      <c r="A1210" s="6">
        <v>1209</v>
      </c>
      <c r="B1210" s="7" t="s">
        <v>8</v>
      </c>
      <c r="C1210" s="8">
        <v>1887</v>
      </c>
      <c r="D1210" s="9">
        <v>45425</v>
      </c>
      <c r="E1210" s="13" t="str">
        <f>+HYPERLINK("http://trademark.i-assist.jp/data/china/image_1887th/76903420.pdf","76903420")</f>
        <v>76903420</v>
      </c>
      <c r="F1210" s="7" t="s">
        <v>3303</v>
      </c>
      <c r="G1210" s="7" t="s">
        <v>3304</v>
      </c>
      <c r="H1210" s="7" t="s">
        <v>3305</v>
      </c>
      <c r="I1210" s="9">
        <v>45344</v>
      </c>
    </row>
    <row r="1211" spans="1:9" x14ac:dyDescent="0.15">
      <c r="A1211" s="6">
        <v>1210</v>
      </c>
      <c r="B1211" s="7" t="s">
        <v>8</v>
      </c>
      <c r="C1211" s="8">
        <v>1887</v>
      </c>
      <c r="D1211" s="9">
        <v>45425</v>
      </c>
      <c r="E1211" s="13" t="str">
        <f>+HYPERLINK("http://trademark.i-assist.jp/data/china/image_1887th/76903430.pdf","76903430")</f>
        <v>76903430</v>
      </c>
      <c r="F1211" s="7" t="s">
        <v>3306</v>
      </c>
      <c r="G1211" s="7" t="s">
        <v>3304</v>
      </c>
      <c r="H1211" s="7" t="s">
        <v>3307</v>
      </c>
      <c r="I1211" s="9">
        <v>45344</v>
      </c>
    </row>
    <row r="1212" spans="1:9" x14ac:dyDescent="0.15">
      <c r="A1212" s="6">
        <v>1211</v>
      </c>
      <c r="B1212" s="7" t="s">
        <v>8</v>
      </c>
      <c r="C1212" s="8">
        <v>1887</v>
      </c>
      <c r="D1212" s="9">
        <v>45425</v>
      </c>
      <c r="E1212" s="13" t="str">
        <f>+HYPERLINK("http://trademark.i-assist.jp/data/china/image_1887th/76903607.pdf","76903607")</f>
        <v>76903607</v>
      </c>
      <c r="F1212" s="7" t="s">
        <v>3308</v>
      </c>
      <c r="G1212" s="7" t="s">
        <v>3286</v>
      </c>
      <c r="H1212" s="7" t="s">
        <v>3309</v>
      </c>
      <c r="I1212" s="9">
        <v>45344</v>
      </c>
    </row>
    <row r="1213" spans="1:9" x14ac:dyDescent="0.15">
      <c r="A1213" s="6">
        <v>1212</v>
      </c>
      <c r="B1213" s="7" t="s">
        <v>8</v>
      </c>
      <c r="C1213" s="8">
        <v>1887</v>
      </c>
      <c r="D1213" s="9">
        <v>45425</v>
      </c>
      <c r="E1213" s="13" t="str">
        <f>+HYPERLINK("http://trademark.i-assist.jp/data/china/image_1887th/76903815.pdf","76903815")</f>
        <v>76903815</v>
      </c>
      <c r="F1213" s="7" t="s">
        <v>3310</v>
      </c>
      <c r="G1213" s="7" t="s">
        <v>3304</v>
      </c>
      <c r="H1213" s="7" t="s">
        <v>3311</v>
      </c>
      <c r="I1213" s="9">
        <v>45344</v>
      </c>
    </row>
    <row r="1214" spans="1:9" x14ac:dyDescent="0.15">
      <c r="A1214" s="6">
        <v>1213</v>
      </c>
      <c r="B1214" s="7" t="s">
        <v>8</v>
      </c>
      <c r="C1214" s="8">
        <v>1887</v>
      </c>
      <c r="D1214" s="9">
        <v>45425</v>
      </c>
      <c r="E1214" s="13" t="str">
        <f>+HYPERLINK("http://trademark.i-assist.jp/data/china/image_1887th/76903883.pdf","76903883")</f>
        <v>76903883</v>
      </c>
      <c r="F1214" s="7" t="s">
        <v>3312</v>
      </c>
      <c r="G1214" s="7" t="s">
        <v>3313</v>
      </c>
      <c r="H1214" s="7" t="s">
        <v>3314</v>
      </c>
      <c r="I1214" s="9">
        <v>45344</v>
      </c>
    </row>
    <row r="1215" spans="1:9" ht="27" x14ac:dyDescent="0.15">
      <c r="A1215" s="6">
        <v>1214</v>
      </c>
      <c r="B1215" s="7" t="s">
        <v>8</v>
      </c>
      <c r="C1215" s="8">
        <v>1887</v>
      </c>
      <c r="D1215" s="9">
        <v>45425</v>
      </c>
      <c r="E1215" s="13" t="str">
        <f>+HYPERLINK("http://trademark.i-assist.jp/data/china/image_1887th/76904228.pdf","76904228")</f>
        <v>76904228</v>
      </c>
      <c r="F1215" s="7" t="s">
        <v>3315</v>
      </c>
      <c r="G1215" s="7" t="s">
        <v>3292</v>
      </c>
      <c r="H1215" s="7" t="s">
        <v>3316</v>
      </c>
      <c r="I1215" s="9">
        <v>45344</v>
      </c>
    </row>
    <row r="1216" spans="1:9" x14ac:dyDescent="0.15">
      <c r="A1216" s="6">
        <v>1215</v>
      </c>
      <c r="B1216" s="7" t="s">
        <v>8</v>
      </c>
      <c r="C1216" s="8">
        <v>1887</v>
      </c>
      <c r="D1216" s="9">
        <v>45425</v>
      </c>
      <c r="E1216" s="13" t="str">
        <f>+HYPERLINK("http://trademark.i-assist.jp/data/china/image_1887th/76904438.pdf","76904438")</f>
        <v>76904438</v>
      </c>
      <c r="F1216" s="7" t="s">
        <v>3317</v>
      </c>
      <c r="G1216" s="7" t="s">
        <v>3318</v>
      </c>
      <c r="H1216" s="7" t="s">
        <v>3319</v>
      </c>
      <c r="I1216" s="9">
        <v>45344</v>
      </c>
    </row>
    <row r="1217" spans="1:9" x14ac:dyDescent="0.15">
      <c r="A1217" s="6">
        <v>1216</v>
      </c>
      <c r="B1217" s="7" t="s">
        <v>8</v>
      </c>
      <c r="C1217" s="8">
        <v>1887</v>
      </c>
      <c r="D1217" s="9">
        <v>45425</v>
      </c>
      <c r="E1217" s="13" t="str">
        <f>+HYPERLINK("http://trademark.i-assist.jp/data/china/image_1887th/76904755.pdf","76904755")</f>
        <v>76904755</v>
      </c>
      <c r="F1217" s="7" t="s">
        <v>3320</v>
      </c>
      <c r="G1217" s="7" t="s">
        <v>3321</v>
      </c>
      <c r="H1217" s="7" t="s">
        <v>3322</v>
      </c>
      <c r="I1217" s="9">
        <v>45344</v>
      </c>
    </row>
    <row r="1218" spans="1:9" x14ac:dyDescent="0.15">
      <c r="A1218" s="6">
        <v>1217</v>
      </c>
      <c r="B1218" s="7" t="s">
        <v>8</v>
      </c>
      <c r="C1218" s="8">
        <v>1887</v>
      </c>
      <c r="D1218" s="9">
        <v>45425</v>
      </c>
      <c r="E1218" s="13" t="str">
        <f>+HYPERLINK("http://trademark.i-assist.jp/data/china/image_1887th/76905171.pdf","76905171")</f>
        <v>76905171</v>
      </c>
      <c r="F1218" s="7" t="s">
        <v>3323</v>
      </c>
      <c r="G1218" s="7" t="s">
        <v>3324</v>
      </c>
      <c r="H1218" s="7" t="s">
        <v>3325</v>
      </c>
      <c r="I1218" s="9">
        <v>45344</v>
      </c>
    </row>
    <row r="1219" spans="1:9" x14ac:dyDescent="0.15">
      <c r="A1219" s="6">
        <v>1218</v>
      </c>
      <c r="B1219" s="7" t="s">
        <v>8</v>
      </c>
      <c r="C1219" s="8">
        <v>1887</v>
      </c>
      <c r="D1219" s="9">
        <v>45425</v>
      </c>
      <c r="E1219" s="13" t="str">
        <f>+HYPERLINK("http://trademark.i-assist.jp/data/china/image_1887th/76905454.pdf","76905454")</f>
        <v>76905454</v>
      </c>
      <c r="F1219" s="7" t="s">
        <v>3326</v>
      </c>
      <c r="G1219" s="7" t="s">
        <v>3286</v>
      </c>
      <c r="H1219" s="7" t="s">
        <v>3327</v>
      </c>
      <c r="I1219" s="9">
        <v>45344</v>
      </c>
    </row>
    <row r="1220" spans="1:9" x14ac:dyDescent="0.15">
      <c r="A1220" s="6">
        <v>1219</v>
      </c>
      <c r="B1220" s="7" t="s">
        <v>8</v>
      </c>
      <c r="C1220" s="8">
        <v>1887</v>
      </c>
      <c r="D1220" s="9">
        <v>45425</v>
      </c>
      <c r="E1220" s="13" t="str">
        <f>+HYPERLINK("http://trademark.i-assist.jp/data/china/image_1887th/76905458.pdf","76905458")</f>
        <v>76905458</v>
      </c>
      <c r="F1220" s="7" t="s">
        <v>3328</v>
      </c>
      <c r="G1220" s="7" t="s">
        <v>3329</v>
      </c>
      <c r="H1220" s="7" t="s">
        <v>3330</v>
      </c>
      <c r="I1220" s="9">
        <v>45344</v>
      </c>
    </row>
    <row r="1221" spans="1:9" x14ac:dyDescent="0.15">
      <c r="A1221" s="6">
        <v>1220</v>
      </c>
      <c r="B1221" s="7" t="s">
        <v>8</v>
      </c>
      <c r="C1221" s="8">
        <v>1887</v>
      </c>
      <c r="D1221" s="9">
        <v>45425</v>
      </c>
      <c r="E1221" s="13" t="str">
        <f>+HYPERLINK("http://trademark.i-assist.jp/data/china/image_1887th/76905473.pdf","76905473")</f>
        <v>76905473</v>
      </c>
      <c r="F1221" s="7" t="s">
        <v>3331</v>
      </c>
      <c r="G1221" s="7" t="s">
        <v>3332</v>
      </c>
      <c r="H1221" s="7" t="s">
        <v>3333</v>
      </c>
      <c r="I1221" s="9">
        <v>45344</v>
      </c>
    </row>
    <row r="1222" spans="1:9" x14ac:dyDescent="0.15">
      <c r="A1222" s="6">
        <v>1221</v>
      </c>
      <c r="B1222" s="7" t="s">
        <v>8</v>
      </c>
      <c r="C1222" s="8">
        <v>1887</v>
      </c>
      <c r="D1222" s="9">
        <v>45425</v>
      </c>
      <c r="E1222" s="13" t="str">
        <f>+HYPERLINK("http://trademark.i-assist.jp/data/china/image_1887th/76905550.pdf","76905550")</f>
        <v>76905550</v>
      </c>
      <c r="F1222" s="7" t="s">
        <v>3334</v>
      </c>
      <c r="G1222" s="7" t="s">
        <v>3335</v>
      </c>
      <c r="H1222" s="7" t="s">
        <v>3336</v>
      </c>
      <c r="I1222" s="9">
        <v>45344</v>
      </c>
    </row>
    <row r="1223" spans="1:9" x14ac:dyDescent="0.15">
      <c r="A1223" s="6">
        <v>1222</v>
      </c>
      <c r="B1223" s="7" t="s">
        <v>8</v>
      </c>
      <c r="C1223" s="8">
        <v>1887</v>
      </c>
      <c r="D1223" s="9">
        <v>45425</v>
      </c>
      <c r="E1223" s="13" t="str">
        <f>+HYPERLINK("http://trademark.i-assist.jp/data/china/image_1887th/76905745.pdf","76905745")</f>
        <v>76905745</v>
      </c>
      <c r="F1223" s="7" t="s">
        <v>54</v>
      </c>
      <c r="G1223" s="7" t="s">
        <v>3337</v>
      </c>
      <c r="H1223" s="7" t="s">
        <v>3338</v>
      </c>
      <c r="I1223" s="9">
        <v>45344</v>
      </c>
    </row>
    <row r="1224" spans="1:9" ht="27" x14ac:dyDescent="0.15">
      <c r="A1224" s="6">
        <v>1223</v>
      </c>
      <c r="B1224" s="7" t="s">
        <v>8</v>
      </c>
      <c r="C1224" s="8">
        <v>1887</v>
      </c>
      <c r="D1224" s="9">
        <v>45425</v>
      </c>
      <c r="E1224" s="13" t="str">
        <f>+HYPERLINK("http://trademark.i-assist.jp/data/china/image_1887th/76905986.pdf","76905986")</f>
        <v>76905986</v>
      </c>
      <c r="F1224" s="7" t="s">
        <v>3339</v>
      </c>
      <c r="G1224" s="7" t="s">
        <v>3340</v>
      </c>
      <c r="H1224" s="7" t="s">
        <v>3341</v>
      </c>
      <c r="I1224" s="9">
        <v>45344</v>
      </c>
    </row>
    <row r="1225" spans="1:9" x14ac:dyDescent="0.15">
      <c r="A1225" s="6">
        <v>1224</v>
      </c>
      <c r="B1225" s="7" t="s">
        <v>8</v>
      </c>
      <c r="C1225" s="8">
        <v>1887</v>
      </c>
      <c r="D1225" s="9">
        <v>45425</v>
      </c>
      <c r="E1225" s="13" t="str">
        <f>+HYPERLINK("http://trademark.i-assist.jp/data/china/image_1887th/76906082.pdf","76906082")</f>
        <v>76906082</v>
      </c>
      <c r="F1225" s="7" t="s">
        <v>3342</v>
      </c>
      <c r="G1225" s="7" t="s">
        <v>3343</v>
      </c>
      <c r="H1225" s="7" t="s">
        <v>3344</v>
      </c>
      <c r="I1225" s="9">
        <v>45344</v>
      </c>
    </row>
    <row r="1226" spans="1:9" ht="27" x14ac:dyDescent="0.15">
      <c r="A1226" s="6">
        <v>1225</v>
      </c>
      <c r="B1226" s="7" t="s">
        <v>8</v>
      </c>
      <c r="C1226" s="8">
        <v>1887</v>
      </c>
      <c r="D1226" s="9">
        <v>45425</v>
      </c>
      <c r="E1226" s="13" t="str">
        <f>+HYPERLINK("http://trademark.i-assist.jp/data/china/image_1887th/76906643.pdf","76906643")</f>
        <v>76906643</v>
      </c>
      <c r="F1226" s="7" t="s">
        <v>3345</v>
      </c>
      <c r="G1226" s="7" t="s">
        <v>3346</v>
      </c>
      <c r="H1226" s="7" t="s">
        <v>3347</v>
      </c>
      <c r="I1226" s="9">
        <v>45344</v>
      </c>
    </row>
    <row r="1227" spans="1:9" x14ac:dyDescent="0.15">
      <c r="A1227" s="6">
        <v>1226</v>
      </c>
      <c r="B1227" s="7" t="s">
        <v>8</v>
      </c>
      <c r="C1227" s="8">
        <v>1887</v>
      </c>
      <c r="D1227" s="9">
        <v>45425</v>
      </c>
      <c r="E1227" s="13" t="str">
        <f>+HYPERLINK("http://trademark.i-assist.jp/data/china/image_1887th/76906691.pdf","76906691")</f>
        <v>76906691</v>
      </c>
      <c r="F1227" s="7" t="s">
        <v>3348</v>
      </c>
      <c r="G1227" s="7" t="s">
        <v>3349</v>
      </c>
      <c r="H1227" s="7" t="s">
        <v>3350</v>
      </c>
      <c r="I1227" s="9">
        <v>45344</v>
      </c>
    </row>
    <row r="1228" spans="1:9" x14ac:dyDescent="0.15">
      <c r="A1228" s="6">
        <v>1227</v>
      </c>
      <c r="B1228" s="7" t="s">
        <v>8</v>
      </c>
      <c r="C1228" s="8">
        <v>1887</v>
      </c>
      <c r="D1228" s="9">
        <v>45425</v>
      </c>
      <c r="E1228" s="13" t="str">
        <f>+HYPERLINK("http://trademark.i-assist.jp/data/china/image_1887th/76906794.pdf","76906794")</f>
        <v>76906794</v>
      </c>
      <c r="F1228" s="7" t="s">
        <v>3351</v>
      </c>
      <c r="G1228" s="7" t="s">
        <v>2860</v>
      </c>
      <c r="H1228" s="7" t="s">
        <v>3352</v>
      </c>
      <c r="I1228" s="9">
        <v>45344</v>
      </c>
    </row>
    <row r="1229" spans="1:9" x14ac:dyDescent="0.15">
      <c r="A1229" s="6">
        <v>1228</v>
      </c>
      <c r="B1229" s="7" t="s">
        <v>8</v>
      </c>
      <c r="C1229" s="8">
        <v>1887</v>
      </c>
      <c r="D1229" s="9">
        <v>45425</v>
      </c>
      <c r="E1229" s="13" t="str">
        <f>+HYPERLINK("http://trademark.i-assist.jp/data/china/image_1887th/76906808.pdf","76906808")</f>
        <v>76906808</v>
      </c>
      <c r="F1229" s="7" t="s">
        <v>3353</v>
      </c>
      <c r="G1229" s="7" t="s">
        <v>2860</v>
      </c>
      <c r="H1229" s="7" t="s">
        <v>3354</v>
      </c>
      <c r="I1229" s="9">
        <v>45344</v>
      </c>
    </row>
    <row r="1230" spans="1:9" x14ac:dyDescent="0.15">
      <c r="A1230" s="6">
        <v>1229</v>
      </c>
      <c r="B1230" s="7" t="s">
        <v>8</v>
      </c>
      <c r="C1230" s="8">
        <v>1887</v>
      </c>
      <c r="D1230" s="9">
        <v>45425</v>
      </c>
      <c r="E1230" s="13" t="str">
        <f>+HYPERLINK("http://trademark.i-assist.jp/data/china/image_1887th/76906883.pdf","76906883")</f>
        <v>76906883</v>
      </c>
      <c r="F1230" s="7" t="s">
        <v>3355</v>
      </c>
      <c r="G1230" s="7" t="s">
        <v>3356</v>
      </c>
      <c r="H1230" s="7" t="s">
        <v>3357</v>
      </c>
      <c r="I1230" s="9">
        <v>45344</v>
      </c>
    </row>
    <row r="1231" spans="1:9" x14ac:dyDescent="0.15">
      <c r="A1231" s="6">
        <v>1230</v>
      </c>
      <c r="B1231" s="7" t="s">
        <v>8</v>
      </c>
      <c r="C1231" s="8">
        <v>1887</v>
      </c>
      <c r="D1231" s="9">
        <v>45425</v>
      </c>
      <c r="E1231" s="13" t="str">
        <f>+HYPERLINK("http://trademark.i-assist.jp/data/china/image_1887th/76907006.pdf","76907006")</f>
        <v>76907006</v>
      </c>
      <c r="F1231" s="7" t="s">
        <v>3358</v>
      </c>
      <c r="G1231" s="7" t="s">
        <v>3359</v>
      </c>
      <c r="H1231" s="7" t="s">
        <v>3360</v>
      </c>
      <c r="I1231" s="9">
        <v>45344</v>
      </c>
    </row>
    <row r="1232" spans="1:9" x14ac:dyDescent="0.15">
      <c r="A1232" s="6">
        <v>1231</v>
      </c>
      <c r="B1232" s="7" t="s">
        <v>8</v>
      </c>
      <c r="C1232" s="8">
        <v>1887</v>
      </c>
      <c r="D1232" s="9">
        <v>45425</v>
      </c>
      <c r="E1232" s="13" t="str">
        <f>+HYPERLINK("http://trademark.i-assist.jp/data/china/image_1887th/76907416.pdf","76907416")</f>
        <v>76907416</v>
      </c>
      <c r="F1232" s="7" t="s">
        <v>3361</v>
      </c>
      <c r="G1232" s="7" t="s">
        <v>3362</v>
      </c>
      <c r="H1232" s="7" t="s">
        <v>3363</v>
      </c>
      <c r="I1232" s="9">
        <v>45344</v>
      </c>
    </row>
    <row r="1233" spans="1:9" x14ac:dyDescent="0.15">
      <c r="A1233" s="6">
        <v>1232</v>
      </c>
      <c r="B1233" s="7" t="s">
        <v>8</v>
      </c>
      <c r="C1233" s="8">
        <v>1887</v>
      </c>
      <c r="D1233" s="9">
        <v>45425</v>
      </c>
      <c r="E1233" s="13" t="str">
        <f>+HYPERLINK("http://trademark.i-assist.jp/data/china/image_1887th/76907436.pdf","76907436")</f>
        <v>76907436</v>
      </c>
      <c r="F1233" s="7" t="s">
        <v>3364</v>
      </c>
      <c r="G1233" s="7" t="s">
        <v>3365</v>
      </c>
      <c r="H1233" s="7" t="s">
        <v>3366</v>
      </c>
      <c r="I1233" s="9">
        <v>45344</v>
      </c>
    </row>
    <row r="1234" spans="1:9" x14ac:dyDescent="0.15">
      <c r="A1234" s="6">
        <v>1233</v>
      </c>
      <c r="B1234" s="7" t="s">
        <v>8</v>
      </c>
      <c r="C1234" s="8">
        <v>1887</v>
      </c>
      <c r="D1234" s="9">
        <v>45425</v>
      </c>
      <c r="E1234" s="13" t="str">
        <f>+HYPERLINK("http://trademark.i-assist.jp/data/china/image_1887th/76907683.pdf","76907683")</f>
        <v>76907683</v>
      </c>
      <c r="F1234" s="7" t="s">
        <v>3367</v>
      </c>
      <c r="G1234" s="7" t="s">
        <v>3368</v>
      </c>
      <c r="H1234" s="7" t="s">
        <v>3369</v>
      </c>
      <c r="I1234" s="9">
        <v>45344</v>
      </c>
    </row>
    <row r="1235" spans="1:9" x14ac:dyDescent="0.15">
      <c r="A1235" s="6">
        <v>1234</v>
      </c>
      <c r="B1235" s="7" t="s">
        <v>8</v>
      </c>
      <c r="C1235" s="8">
        <v>1887</v>
      </c>
      <c r="D1235" s="9">
        <v>45425</v>
      </c>
      <c r="E1235" s="13" t="str">
        <f>+HYPERLINK("http://trademark.i-assist.jp/data/china/image_1887th/76907842.pdf","76907842")</f>
        <v>76907842</v>
      </c>
      <c r="F1235" s="7" t="s">
        <v>3370</v>
      </c>
      <c r="G1235" s="7" t="s">
        <v>3371</v>
      </c>
      <c r="H1235" s="7" t="s">
        <v>3372</v>
      </c>
      <c r="I1235" s="9">
        <v>45344</v>
      </c>
    </row>
    <row r="1236" spans="1:9" x14ac:dyDescent="0.15">
      <c r="A1236" s="6">
        <v>1235</v>
      </c>
      <c r="B1236" s="7" t="s">
        <v>8</v>
      </c>
      <c r="C1236" s="8">
        <v>1887</v>
      </c>
      <c r="D1236" s="9">
        <v>45425</v>
      </c>
      <c r="E1236" s="13" t="str">
        <f>+HYPERLINK("http://trademark.i-assist.jp/data/china/image_1887th/76908299.pdf","76908299")</f>
        <v>76908299</v>
      </c>
      <c r="F1236" s="7" t="s">
        <v>3373</v>
      </c>
      <c r="G1236" s="7" t="s">
        <v>3374</v>
      </c>
      <c r="H1236" s="7" t="s">
        <v>3375</v>
      </c>
      <c r="I1236" s="9">
        <v>45344</v>
      </c>
    </row>
    <row r="1237" spans="1:9" x14ac:dyDescent="0.15">
      <c r="A1237" s="6">
        <v>1236</v>
      </c>
      <c r="B1237" s="7" t="s">
        <v>8</v>
      </c>
      <c r="C1237" s="8">
        <v>1887</v>
      </c>
      <c r="D1237" s="9">
        <v>45425</v>
      </c>
      <c r="E1237" s="13" t="str">
        <f>+HYPERLINK("http://trademark.i-assist.jp/data/china/image_1887th/76908408.pdf","76908408")</f>
        <v>76908408</v>
      </c>
      <c r="F1237" s="7" t="s">
        <v>3376</v>
      </c>
      <c r="G1237" s="7" t="s">
        <v>3377</v>
      </c>
      <c r="H1237" s="7" t="s">
        <v>3378</v>
      </c>
      <c r="I1237" s="9">
        <v>45344</v>
      </c>
    </row>
    <row r="1238" spans="1:9" x14ac:dyDescent="0.15">
      <c r="A1238" s="6">
        <v>1237</v>
      </c>
      <c r="B1238" s="7" t="s">
        <v>8</v>
      </c>
      <c r="C1238" s="8">
        <v>1887</v>
      </c>
      <c r="D1238" s="9">
        <v>45425</v>
      </c>
      <c r="E1238" s="13" t="str">
        <f>+HYPERLINK("http://trademark.i-assist.jp/data/china/image_1887th/76908480.pdf","76908480")</f>
        <v>76908480</v>
      </c>
      <c r="F1238" s="7" t="s">
        <v>3379</v>
      </c>
      <c r="G1238" s="7" t="s">
        <v>3380</v>
      </c>
      <c r="H1238" s="7" t="s">
        <v>3381</v>
      </c>
      <c r="I1238" s="9">
        <v>45344</v>
      </c>
    </row>
    <row r="1239" spans="1:9" x14ac:dyDescent="0.15">
      <c r="A1239" s="6">
        <v>1238</v>
      </c>
      <c r="B1239" s="7" t="s">
        <v>8</v>
      </c>
      <c r="C1239" s="8">
        <v>1887</v>
      </c>
      <c r="D1239" s="9">
        <v>45425</v>
      </c>
      <c r="E1239" s="13" t="str">
        <f>+HYPERLINK("http://trademark.i-assist.jp/data/china/image_1887th/76908883.pdf","76908883")</f>
        <v>76908883</v>
      </c>
      <c r="F1239" s="7" t="s">
        <v>3382</v>
      </c>
      <c r="G1239" s="7" t="s">
        <v>3383</v>
      </c>
      <c r="H1239" s="7" t="s">
        <v>3384</v>
      </c>
      <c r="I1239" s="9">
        <v>45344</v>
      </c>
    </row>
    <row r="1240" spans="1:9" x14ac:dyDescent="0.15">
      <c r="A1240" s="6">
        <v>1239</v>
      </c>
      <c r="B1240" s="7" t="s">
        <v>8</v>
      </c>
      <c r="C1240" s="8">
        <v>1887</v>
      </c>
      <c r="D1240" s="9">
        <v>45425</v>
      </c>
      <c r="E1240" s="13" t="str">
        <f>+HYPERLINK("http://trademark.i-assist.jp/data/china/image_1887th/76908921.pdf","76908921")</f>
        <v>76908921</v>
      </c>
      <c r="F1240" s="7" t="s">
        <v>3385</v>
      </c>
      <c r="G1240" s="7" t="s">
        <v>3386</v>
      </c>
      <c r="H1240" s="7" t="s">
        <v>3387</v>
      </c>
      <c r="I1240" s="9">
        <v>45344</v>
      </c>
    </row>
    <row r="1241" spans="1:9" x14ac:dyDescent="0.15">
      <c r="A1241" s="6">
        <v>1240</v>
      </c>
      <c r="B1241" s="7" t="s">
        <v>8</v>
      </c>
      <c r="C1241" s="8">
        <v>1887</v>
      </c>
      <c r="D1241" s="9">
        <v>45425</v>
      </c>
      <c r="E1241" s="13" t="str">
        <f>+HYPERLINK("http://trademark.i-assist.jp/data/china/image_1887th/76909175.pdf","76909175")</f>
        <v>76909175</v>
      </c>
      <c r="F1241" s="7" t="s">
        <v>3388</v>
      </c>
      <c r="G1241" s="7" t="s">
        <v>3389</v>
      </c>
      <c r="H1241" s="7" t="s">
        <v>3390</v>
      </c>
      <c r="I1241" s="9">
        <v>45344</v>
      </c>
    </row>
    <row r="1242" spans="1:9" x14ac:dyDescent="0.15">
      <c r="A1242" s="6">
        <v>1241</v>
      </c>
      <c r="B1242" s="7" t="s">
        <v>8</v>
      </c>
      <c r="C1242" s="8">
        <v>1887</v>
      </c>
      <c r="D1242" s="9">
        <v>45425</v>
      </c>
      <c r="E1242" s="13" t="str">
        <f>+HYPERLINK("http://trademark.i-assist.jp/data/china/image_1887th/76909367.pdf","76909367")</f>
        <v>76909367</v>
      </c>
      <c r="F1242" s="7" t="s">
        <v>3391</v>
      </c>
      <c r="G1242" s="7" t="s">
        <v>3343</v>
      </c>
      <c r="H1242" s="7" t="s">
        <v>3392</v>
      </c>
      <c r="I1242" s="9">
        <v>45344</v>
      </c>
    </row>
    <row r="1243" spans="1:9" ht="27" x14ac:dyDescent="0.15">
      <c r="A1243" s="6">
        <v>1242</v>
      </c>
      <c r="B1243" s="7" t="s">
        <v>8</v>
      </c>
      <c r="C1243" s="8">
        <v>1887</v>
      </c>
      <c r="D1243" s="9">
        <v>45425</v>
      </c>
      <c r="E1243" s="13" t="str">
        <f>+HYPERLINK("http://trademark.i-assist.jp/data/china/image_1887th/76909631.pdf","76909631")</f>
        <v>76909631</v>
      </c>
      <c r="F1243" s="7" t="s">
        <v>3393</v>
      </c>
      <c r="G1243" s="7" t="s">
        <v>3394</v>
      </c>
      <c r="H1243" s="7" t="s">
        <v>3395</v>
      </c>
      <c r="I1243" s="9">
        <v>45344</v>
      </c>
    </row>
    <row r="1244" spans="1:9" ht="27" x14ac:dyDescent="0.15">
      <c r="A1244" s="6">
        <v>1243</v>
      </c>
      <c r="B1244" s="7" t="s">
        <v>8</v>
      </c>
      <c r="C1244" s="8">
        <v>1887</v>
      </c>
      <c r="D1244" s="9">
        <v>45425</v>
      </c>
      <c r="E1244" s="13" t="str">
        <f>+HYPERLINK("http://trademark.i-assist.jp/data/china/image_1887th/76909851.pdf","76909851")</f>
        <v>76909851</v>
      </c>
      <c r="F1244" s="7" t="s">
        <v>3396</v>
      </c>
      <c r="G1244" s="7" t="s">
        <v>3397</v>
      </c>
      <c r="H1244" s="7" t="s">
        <v>3398</v>
      </c>
      <c r="I1244" s="9">
        <v>45344</v>
      </c>
    </row>
    <row r="1245" spans="1:9" x14ac:dyDescent="0.15">
      <c r="A1245" s="6">
        <v>1244</v>
      </c>
      <c r="B1245" s="7" t="s">
        <v>8</v>
      </c>
      <c r="C1245" s="8">
        <v>1887</v>
      </c>
      <c r="D1245" s="9">
        <v>45425</v>
      </c>
      <c r="E1245" s="13" t="str">
        <f>+HYPERLINK("http://trademark.i-assist.jp/data/china/image_1887th/76910101.pdf","76910101")</f>
        <v>76910101</v>
      </c>
      <c r="F1245" s="7" t="s">
        <v>3399</v>
      </c>
      <c r="G1245" s="7" t="s">
        <v>3400</v>
      </c>
      <c r="H1245" s="7" t="s">
        <v>3401</v>
      </c>
      <c r="I1245" s="9">
        <v>45344</v>
      </c>
    </row>
    <row r="1246" spans="1:9" x14ac:dyDescent="0.15">
      <c r="A1246" s="6">
        <v>1245</v>
      </c>
      <c r="B1246" s="7" t="s">
        <v>8</v>
      </c>
      <c r="C1246" s="8">
        <v>1887</v>
      </c>
      <c r="D1246" s="9">
        <v>45425</v>
      </c>
      <c r="E1246" s="13" t="str">
        <f>+HYPERLINK("http://trademark.i-assist.jp/data/china/image_1887th/76910157.pdf","76910157")</f>
        <v>76910157</v>
      </c>
      <c r="F1246" s="7" t="s">
        <v>3402</v>
      </c>
      <c r="G1246" s="7" t="s">
        <v>3286</v>
      </c>
      <c r="H1246" s="7" t="s">
        <v>3403</v>
      </c>
      <c r="I1246" s="9">
        <v>45344</v>
      </c>
    </row>
    <row r="1247" spans="1:9" x14ac:dyDescent="0.15">
      <c r="A1247" s="6">
        <v>1246</v>
      </c>
      <c r="B1247" s="7" t="s">
        <v>8</v>
      </c>
      <c r="C1247" s="8">
        <v>1887</v>
      </c>
      <c r="D1247" s="9">
        <v>45425</v>
      </c>
      <c r="E1247" s="13" t="str">
        <f>+HYPERLINK("http://trademark.i-assist.jp/data/china/image_1887th/76910246.pdf","76910246")</f>
        <v>76910246</v>
      </c>
      <c r="F1247" s="7" t="s">
        <v>3404</v>
      </c>
      <c r="G1247" s="7" t="s">
        <v>3405</v>
      </c>
      <c r="H1247" s="7" t="s">
        <v>3406</v>
      </c>
      <c r="I1247" s="9">
        <v>45344</v>
      </c>
    </row>
    <row r="1248" spans="1:9" x14ac:dyDescent="0.15">
      <c r="A1248" s="6">
        <v>1247</v>
      </c>
      <c r="B1248" s="7" t="s">
        <v>8</v>
      </c>
      <c r="C1248" s="8">
        <v>1887</v>
      </c>
      <c r="D1248" s="9">
        <v>45425</v>
      </c>
      <c r="E1248" s="13" t="str">
        <f>+HYPERLINK("http://trademark.i-assist.jp/data/china/image_1887th/76910335.pdf","76910335")</f>
        <v>76910335</v>
      </c>
      <c r="F1248" s="7" t="s">
        <v>3407</v>
      </c>
      <c r="G1248" s="7" t="s">
        <v>3304</v>
      </c>
      <c r="H1248" s="7" t="s">
        <v>3408</v>
      </c>
      <c r="I1248" s="9">
        <v>45344</v>
      </c>
    </row>
    <row r="1249" spans="1:9" x14ac:dyDescent="0.15">
      <c r="A1249" s="6">
        <v>1248</v>
      </c>
      <c r="B1249" s="7" t="s">
        <v>8</v>
      </c>
      <c r="C1249" s="8">
        <v>1887</v>
      </c>
      <c r="D1249" s="9">
        <v>45425</v>
      </c>
      <c r="E1249" s="13" t="str">
        <f>+HYPERLINK("http://trademark.i-assist.jp/data/china/image_1887th/76910379.pdf","76910379")</f>
        <v>76910379</v>
      </c>
      <c r="F1249" s="7" t="s">
        <v>3409</v>
      </c>
      <c r="G1249" s="7" t="s">
        <v>3410</v>
      </c>
      <c r="H1249" s="7" t="s">
        <v>3411</v>
      </c>
      <c r="I1249" s="9">
        <v>45344</v>
      </c>
    </row>
    <row r="1250" spans="1:9" x14ac:dyDescent="0.15">
      <c r="A1250" s="6">
        <v>1249</v>
      </c>
      <c r="B1250" s="7" t="s">
        <v>8</v>
      </c>
      <c r="C1250" s="8">
        <v>1887</v>
      </c>
      <c r="D1250" s="9">
        <v>45425</v>
      </c>
      <c r="E1250" s="13" t="str">
        <f>+HYPERLINK("http://trademark.i-assist.jp/data/china/image_1887th/76910452.pdf","76910452")</f>
        <v>76910452</v>
      </c>
      <c r="F1250" s="7" t="s">
        <v>3412</v>
      </c>
      <c r="G1250" s="7" t="s">
        <v>3413</v>
      </c>
      <c r="H1250" s="7" t="s">
        <v>3414</v>
      </c>
      <c r="I1250" s="9">
        <v>45344</v>
      </c>
    </row>
    <row r="1251" spans="1:9" x14ac:dyDescent="0.15">
      <c r="A1251" s="6">
        <v>1250</v>
      </c>
      <c r="B1251" s="7" t="s">
        <v>8</v>
      </c>
      <c r="C1251" s="8">
        <v>1887</v>
      </c>
      <c r="D1251" s="9">
        <v>45425</v>
      </c>
      <c r="E1251" s="13" t="str">
        <f>+HYPERLINK("http://trademark.i-assist.jp/data/china/image_1887th/76910574.pdf","76910574")</f>
        <v>76910574</v>
      </c>
      <c r="F1251" s="7" t="s">
        <v>3415</v>
      </c>
      <c r="G1251" s="7" t="s">
        <v>3416</v>
      </c>
      <c r="H1251" s="7" t="s">
        <v>3417</v>
      </c>
      <c r="I1251" s="9">
        <v>45344</v>
      </c>
    </row>
    <row r="1252" spans="1:9" x14ac:dyDescent="0.15">
      <c r="A1252" s="6">
        <v>1251</v>
      </c>
      <c r="B1252" s="7" t="s">
        <v>8</v>
      </c>
      <c r="C1252" s="8">
        <v>1887</v>
      </c>
      <c r="D1252" s="9">
        <v>45425</v>
      </c>
      <c r="E1252" s="13" t="str">
        <f>+HYPERLINK("http://trademark.i-assist.jp/data/china/image_1887th/76910590.pdf","76910590")</f>
        <v>76910590</v>
      </c>
      <c r="F1252" s="7" t="s">
        <v>3418</v>
      </c>
      <c r="G1252" s="7" t="s">
        <v>3262</v>
      </c>
      <c r="H1252" s="7" t="s">
        <v>3419</v>
      </c>
      <c r="I1252" s="9">
        <v>45344</v>
      </c>
    </row>
    <row r="1253" spans="1:9" ht="27" x14ac:dyDescent="0.15">
      <c r="A1253" s="6">
        <v>1252</v>
      </c>
      <c r="B1253" s="7" t="s">
        <v>8</v>
      </c>
      <c r="C1253" s="8">
        <v>1887</v>
      </c>
      <c r="D1253" s="9">
        <v>45425</v>
      </c>
      <c r="E1253" s="13" t="str">
        <f>+HYPERLINK("http://trademark.i-assist.jp/data/china/image_1887th/76910791.pdf","76910791")</f>
        <v>76910791</v>
      </c>
      <c r="F1253" s="7" t="s">
        <v>3420</v>
      </c>
      <c r="G1253" s="7" t="s">
        <v>3421</v>
      </c>
      <c r="H1253" s="7" t="s">
        <v>3422</v>
      </c>
      <c r="I1253" s="9">
        <v>45344</v>
      </c>
    </row>
    <row r="1254" spans="1:9" x14ac:dyDescent="0.15">
      <c r="A1254" s="6">
        <v>1253</v>
      </c>
      <c r="B1254" s="7" t="s">
        <v>8</v>
      </c>
      <c r="C1254" s="8">
        <v>1887</v>
      </c>
      <c r="D1254" s="9">
        <v>45425</v>
      </c>
      <c r="E1254" s="13" t="str">
        <f>+HYPERLINK("http://trademark.i-assist.jp/data/china/image_1887th/76911456.pdf","76911456")</f>
        <v>76911456</v>
      </c>
      <c r="F1254" s="7" t="s">
        <v>3423</v>
      </c>
      <c r="G1254" s="7" t="s">
        <v>3424</v>
      </c>
      <c r="H1254" s="7" t="s">
        <v>3425</v>
      </c>
      <c r="I1254" s="9">
        <v>45344</v>
      </c>
    </row>
    <row r="1255" spans="1:9" x14ac:dyDescent="0.15">
      <c r="A1255" s="6">
        <v>1254</v>
      </c>
      <c r="B1255" s="7" t="s">
        <v>8</v>
      </c>
      <c r="C1255" s="8">
        <v>1887</v>
      </c>
      <c r="D1255" s="9">
        <v>45425</v>
      </c>
      <c r="E1255" s="13" t="str">
        <f>+HYPERLINK("http://trademark.i-assist.jp/data/china/image_1887th/76911488.pdf","76911488")</f>
        <v>76911488</v>
      </c>
      <c r="F1255" s="7" t="s">
        <v>3426</v>
      </c>
      <c r="G1255" s="7" t="s">
        <v>3427</v>
      </c>
      <c r="H1255" s="7" t="s">
        <v>3428</v>
      </c>
      <c r="I1255" s="9">
        <v>45344</v>
      </c>
    </row>
    <row r="1256" spans="1:9" x14ac:dyDescent="0.15">
      <c r="A1256" s="6">
        <v>1255</v>
      </c>
      <c r="B1256" s="7" t="s">
        <v>8</v>
      </c>
      <c r="C1256" s="8">
        <v>1887</v>
      </c>
      <c r="D1256" s="9">
        <v>45425</v>
      </c>
      <c r="E1256" s="13" t="str">
        <f>+HYPERLINK("http://trademark.i-assist.jp/data/china/image_1887th/76911648.pdf","76911648")</f>
        <v>76911648</v>
      </c>
      <c r="F1256" s="7" t="s">
        <v>3429</v>
      </c>
      <c r="G1256" s="7" t="s">
        <v>3286</v>
      </c>
      <c r="H1256" s="7" t="s">
        <v>3430</v>
      </c>
      <c r="I1256" s="9">
        <v>45344</v>
      </c>
    </row>
    <row r="1257" spans="1:9" x14ac:dyDescent="0.15">
      <c r="A1257" s="6">
        <v>1256</v>
      </c>
      <c r="B1257" s="7" t="s">
        <v>8</v>
      </c>
      <c r="C1257" s="8">
        <v>1887</v>
      </c>
      <c r="D1257" s="9">
        <v>45425</v>
      </c>
      <c r="E1257" s="13" t="str">
        <f>+HYPERLINK("http://trademark.i-assist.jp/data/china/image_1887th/76911691.pdf","76911691")</f>
        <v>76911691</v>
      </c>
      <c r="F1257" s="7" t="s">
        <v>3431</v>
      </c>
      <c r="G1257" s="7" t="s">
        <v>3432</v>
      </c>
      <c r="H1257" s="7" t="s">
        <v>3433</v>
      </c>
      <c r="I1257" s="9">
        <v>45344</v>
      </c>
    </row>
    <row r="1258" spans="1:9" x14ac:dyDescent="0.15">
      <c r="A1258" s="6">
        <v>1257</v>
      </c>
      <c r="B1258" s="7" t="s">
        <v>8</v>
      </c>
      <c r="C1258" s="8">
        <v>1887</v>
      </c>
      <c r="D1258" s="9">
        <v>45425</v>
      </c>
      <c r="E1258" s="13" t="str">
        <f>+HYPERLINK("http://trademark.i-assist.jp/data/china/image_1887th/76912609.pdf","76912609")</f>
        <v>76912609</v>
      </c>
      <c r="F1258" s="7" t="s">
        <v>3434</v>
      </c>
      <c r="G1258" s="7" t="s">
        <v>3435</v>
      </c>
      <c r="H1258" s="7" t="s">
        <v>3436</v>
      </c>
      <c r="I1258" s="9">
        <v>45344</v>
      </c>
    </row>
    <row r="1259" spans="1:9" x14ac:dyDescent="0.15">
      <c r="A1259" s="6">
        <v>1258</v>
      </c>
      <c r="B1259" s="7" t="s">
        <v>8</v>
      </c>
      <c r="C1259" s="8">
        <v>1887</v>
      </c>
      <c r="D1259" s="9">
        <v>45425</v>
      </c>
      <c r="E1259" s="13" t="str">
        <f>+HYPERLINK("http://trademark.i-assist.jp/data/china/image_1887th/76912919.pdf","76912919")</f>
        <v>76912919</v>
      </c>
      <c r="F1259" s="7" t="s">
        <v>3437</v>
      </c>
      <c r="G1259" s="7" t="s">
        <v>3438</v>
      </c>
      <c r="H1259" s="7" t="s">
        <v>3439</v>
      </c>
      <c r="I1259" s="9">
        <v>45344</v>
      </c>
    </row>
    <row r="1260" spans="1:9" x14ac:dyDescent="0.15">
      <c r="A1260" s="6">
        <v>1259</v>
      </c>
      <c r="B1260" s="7" t="s">
        <v>8</v>
      </c>
      <c r="C1260" s="8">
        <v>1887</v>
      </c>
      <c r="D1260" s="9">
        <v>45425</v>
      </c>
      <c r="E1260" s="13" t="str">
        <f>+HYPERLINK("http://trademark.i-assist.jp/data/china/image_1887th/76913089.pdf","76913089")</f>
        <v>76913089</v>
      </c>
      <c r="F1260" s="7" t="s">
        <v>3440</v>
      </c>
      <c r="G1260" s="7" t="s">
        <v>743</v>
      </c>
      <c r="H1260" s="7" t="s">
        <v>3441</v>
      </c>
      <c r="I1260" s="9">
        <v>45344</v>
      </c>
    </row>
    <row r="1261" spans="1:9" x14ac:dyDescent="0.15">
      <c r="A1261" s="6">
        <v>1260</v>
      </c>
      <c r="B1261" s="7" t="s">
        <v>8</v>
      </c>
      <c r="C1261" s="8">
        <v>1887</v>
      </c>
      <c r="D1261" s="9">
        <v>45425</v>
      </c>
      <c r="E1261" s="13" t="str">
        <f>+HYPERLINK("http://trademark.i-assist.jp/data/china/image_1887th/76913633.pdf","76913633")</f>
        <v>76913633</v>
      </c>
      <c r="F1261" s="7" t="s">
        <v>3442</v>
      </c>
      <c r="G1261" s="7" t="s">
        <v>2860</v>
      </c>
      <c r="H1261" s="7" t="s">
        <v>3443</v>
      </c>
      <c r="I1261" s="9">
        <v>45344</v>
      </c>
    </row>
    <row r="1262" spans="1:9" x14ac:dyDescent="0.15">
      <c r="A1262" s="6">
        <v>1261</v>
      </c>
      <c r="B1262" s="7" t="s">
        <v>8</v>
      </c>
      <c r="C1262" s="8">
        <v>1887</v>
      </c>
      <c r="D1262" s="9">
        <v>45425</v>
      </c>
      <c r="E1262" s="13" t="str">
        <f>+HYPERLINK("http://trademark.i-assist.jp/data/china/image_1887th/76914401.pdf","76914401")</f>
        <v>76914401</v>
      </c>
      <c r="F1262" s="7" t="s">
        <v>3444</v>
      </c>
      <c r="G1262" s="7" t="s">
        <v>3286</v>
      </c>
      <c r="H1262" s="7" t="s">
        <v>3445</v>
      </c>
      <c r="I1262" s="9">
        <v>45344</v>
      </c>
    </row>
    <row r="1263" spans="1:9" x14ac:dyDescent="0.15">
      <c r="A1263" s="6">
        <v>1262</v>
      </c>
      <c r="B1263" s="7" t="s">
        <v>8</v>
      </c>
      <c r="C1263" s="8">
        <v>1887</v>
      </c>
      <c r="D1263" s="9">
        <v>45425</v>
      </c>
      <c r="E1263" s="13" t="str">
        <f>+HYPERLINK("http://trademark.i-assist.jp/data/china/image_1887th/76914416.pdf","76914416")</f>
        <v>76914416</v>
      </c>
      <c r="F1263" s="7" t="s">
        <v>3446</v>
      </c>
      <c r="G1263" s="7" t="s">
        <v>3447</v>
      </c>
      <c r="H1263" s="7" t="s">
        <v>3448</v>
      </c>
      <c r="I1263" s="9">
        <v>45344</v>
      </c>
    </row>
    <row r="1264" spans="1:9" x14ac:dyDescent="0.15">
      <c r="A1264" s="6">
        <v>1263</v>
      </c>
      <c r="B1264" s="7" t="s">
        <v>8</v>
      </c>
      <c r="C1264" s="8">
        <v>1887</v>
      </c>
      <c r="D1264" s="9">
        <v>45425</v>
      </c>
      <c r="E1264" s="13" t="str">
        <f>+HYPERLINK("http://trademark.i-assist.jp/data/china/image_1887th/76914572.pdf","76914572")</f>
        <v>76914572</v>
      </c>
      <c r="F1264" s="7" t="s">
        <v>3449</v>
      </c>
      <c r="G1264" s="7" t="s">
        <v>3304</v>
      </c>
      <c r="H1264" s="7" t="s">
        <v>3450</v>
      </c>
      <c r="I1264" s="9">
        <v>45344</v>
      </c>
    </row>
    <row r="1265" spans="1:9" ht="27" x14ac:dyDescent="0.15">
      <c r="A1265" s="6">
        <v>1264</v>
      </c>
      <c r="B1265" s="7" t="s">
        <v>8</v>
      </c>
      <c r="C1265" s="8">
        <v>1887</v>
      </c>
      <c r="D1265" s="9">
        <v>45425</v>
      </c>
      <c r="E1265" s="13" t="str">
        <f>+HYPERLINK("http://trademark.i-assist.jp/data/china/image_1887th/76914589.pdf","76914589")</f>
        <v>76914589</v>
      </c>
      <c r="F1265" s="7" t="s">
        <v>3451</v>
      </c>
      <c r="G1265" s="7" t="s">
        <v>3452</v>
      </c>
      <c r="H1265" s="7" t="s">
        <v>3453</v>
      </c>
      <c r="I1265" s="9">
        <v>45344</v>
      </c>
    </row>
    <row r="1266" spans="1:9" x14ac:dyDescent="0.15">
      <c r="A1266" s="6">
        <v>1265</v>
      </c>
      <c r="B1266" s="7" t="s">
        <v>8</v>
      </c>
      <c r="C1266" s="8">
        <v>1887</v>
      </c>
      <c r="D1266" s="9">
        <v>45425</v>
      </c>
      <c r="E1266" s="13" t="str">
        <f>+HYPERLINK("http://trademark.i-assist.jp/data/china/image_1887th/76914724.pdf","76914724")</f>
        <v>76914724</v>
      </c>
      <c r="F1266" s="7" t="s">
        <v>3454</v>
      </c>
      <c r="G1266" s="7" t="s">
        <v>3286</v>
      </c>
      <c r="H1266" s="7" t="s">
        <v>3455</v>
      </c>
      <c r="I1266" s="9">
        <v>45344</v>
      </c>
    </row>
    <row r="1267" spans="1:9" x14ac:dyDescent="0.15">
      <c r="A1267" s="6">
        <v>1266</v>
      </c>
      <c r="B1267" s="7" t="s">
        <v>8</v>
      </c>
      <c r="C1267" s="8">
        <v>1887</v>
      </c>
      <c r="D1267" s="9">
        <v>45425</v>
      </c>
      <c r="E1267" s="13" t="str">
        <f>+HYPERLINK("http://trademark.i-assist.jp/data/china/image_1887th/76914730.pdf","76914730")</f>
        <v>76914730</v>
      </c>
      <c r="F1267" s="7" t="s">
        <v>3456</v>
      </c>
      <c r="G1267" s="7" t="s">
        <v>3286</v>
      </c>
      <c r="H1267" s="7" t="s">
        <v>3457</v>
      </c>
      <c r="I1267" s="9">
        <v>45344</v>
      </c>
    </row>
    <row r="1268" spans="1:9" x14ac:dyDescent="0.15">
      <c r="A1268" s="6">
        <v>1267</v>
      </c>
      <c r="B1268" s="7" t="s">
        <v>8</v>
      </c>
      <c r="C1268" s="8">
        <v>1887</v>
      </c>
      <c r="D1268" s="9">
        <v>45425</v>
      </c>
      <c r="E1268" s="13" t="str">
        <f>+HYPERLINK("http://trademark.i-assist.jp/data/china/image_1887th/76914774.pdf","76914774")</f>
        <v>76914774</v>
      </c>
      <c r="F1268" s="7" t="s">
        <v>3458</v>
      </c>
      <c r="G1268" s="7" t="s">
        <v>3459</v>
      </c>
      <c r="H1268" s="7" t="s">
        <v>3460</v>
      </c>
      <c r="I1268" s="9">
        <v>45344</v>
      </c>
    </row>
    <row r="1269" spans="1:9" x14ac:dyDescent="0.15">
      <c r="A1269" s="6">
        <v>1268</v>
      </c>
      <c r="B1269" s="7" t="s">
        <v>8</v>
      </c>
      <c r="C1269" s="8">
        <v>1887</v>
      </c>
      <c r="D1269" s="9">
        <v>45425</v>
      </c>
      <c r="E1269" s="13" t="str">
        <f>+HYPERLINK("http://trademark.i-assist.jp/data/china/image_1887th/76914792.pdf","76914792")</f>
        <v>76914792</v>
      </c>
      <c r="F1269" s="7" t="s">
        <v>3461</v>
      </c>
      <c r="G1269" s="7" t="s">
        <v>3462</v>
      </c>
      <c r="H1269" s="7" t="s">
        <v>3463</v>
      </c>
      <c r="I1269" s="9">
        <v>45344</v>
      </c>
    </row>
    <row r="1270" spans="1:9" ht="27" x14ac:dyDescent="0.15">
      <c r="A1270" s="6">
        <v>1269</v>
      </c>
      <c r="B1270" s="7" t="s">
        <v>8</v>
      </c>
      <c r="C1270" s="8">
        <v>1887</v>
      </c>
      <c r="D1270" s="9">
        <v>45425</v>
      </c>
      <c r="E1270" s="13" t="str">
        <f>+HYPERLINK("http://trademark.i-assist.jp/data/china/image_1887th/76915089.pdf","76915089")</f>
        <v>76915089</v>
      </c>
      <c r="F1270" s="7" t="s">
        <v>3464</v>
      </c>
      <c r="G1270" s="7" t="s">
        <v>3465</v>
      </c>
      <c r="H1270" s="7" t="s">
        <v>3466</v>
      </c>
      <c r="I1270" s="9">
        <v>45344</v>
      </c>
    </row>
    <row r="1271" spans="1:9" ht="27" x14ac:dyDescent="0.15">
      <c r="A1271" s="6">
        <v>1270</v>
      </c>
      <c r="B1271" s="7" t="s">
        <v>8</v>
      </c>
      <c r="C1271" s="8">
        <v>1887</v>
      </c>
      <c r="D1271" s="9">
        <v>45425</v>
      </c>
      <c r="E1271" s="13" t="str">
        <f>+HYPERLINK("http://trademark.i-assist.jp/data/china/image_1887th/76915091.pdf","76915091")</f>
        <v>76915091</v>
      </c>
      <c r="F1271" s="7" t="s">
        <v>3467</v>
      </c>
      <c r="G1271" s="7" t="s">
        <v>3465</v>
      </c>
      <c r="H1271" s="7" t="s">
        <v>3468</v>
      </c>
      <c r="I1271" s="9">
        <v>45344</v>
      </c>
    </row>
    <row r="1272" spans="1:9" ht="27" x14ac:dyDescent="0.15">
      <c r="A1272" s="6">
        <v>1271</v>
      </c>
      <c r="B1272" s="7" t="s">
        <v>8</v>
      </c>
      <c r="C1272" s="8">
        <v>1887</v>
      </c>
      <c r="D1272" s="9">
        <v>45425</v>
      </c>
      <c r="E1272" s="13" t="str">
        <f>+HYPERLINK("http://trademark.i-assist.jp/data/china/image_1887th/76915144.pdf","76915144")</f>
        <v>76915144</v>
      </c>
      <c r="F1272" s="7" t="s">
        <v>3469</v>
      </c>
      <c r="G1272" s="7" t="s">
        <v>3470</v>
      </c>
      <c r="H1272" s="7" t="s">
        <v>3471</v>
      </c>
      <c r="I1272" s="9">
        <v>45344</v>
      </c>
    </row>
    <row r="1273" spans="1:9" x14ac:dyDescent="0.15">
      <c r="A1273" s="6">
        <v>1272</v>
      </c>
      <c r="B1273" s="7" t="s">
        <v>8</v>
      </c>
      <c r="C1273" s="8">
        <v>1887</v>
      </c>
      <c r="D1273" s="9">
        <v>45425</v>
      </c>
      <c r="E1273" s="13" t="str">
        <f>+HYPERLINK("http://trademark.i-assist.jp/data/china/image_1887th/76915163.pdf","76915163")</f>
        <v>76915163</v>
      </c>
      <c r="F1273" s="7" t="s">
        <v>3472</v>
      </c>
      <c r="G1273" s="7" t="s">
        <v>3473</v>
      </c>
      <c r="H1273" s="7" t="s">
        <v>3474</v>
      </c>
      <c r="I1273" s="9">
        <v>45344</v>
      </c>
    </row>
    <row r="1274" spans="1:9" x14ac:dyDescent="0.15">
      <c r="A1274" s="6">
        <v>1273</v>
      </c>
      <c r="B1274" s="7" t="s">
        <v>8</v>
      </c>
      <c r="C1274" s="8">
        <v>1887</v>
      </c>
      <c r="D1274" s="9">
        <v>45425</v>
      </c>
      <c r="E1274" s="13" t="str">
        <f>+HYPERLINK("http://trademark.i-assist.jp/data/china/image_1887th/76915372.pdf","76915372")</f>
        <v>76915372</v>
      </c>
      <c r="F1274" s="7" t="s">
        <v>3475</v>
      </c>
      <c r="G1274" s="7" t="s">
        <v>3476</v>
      </c>
      <c r="H1274" s="7" t="s">
        <v>3477</v>
      </c>
      <c r="I1274" s="9">
        <v>45344</v>
      </c>
    </row>
    <row r="1275" spans="1:9" x14ac:dyDescent="0.15">
      <c r="A1275" s="6">
        <v>1274</v>
      </c>
      <c r="B1275" s="7" t="s">
        <v>8</v>
      </c>
      <c r="C1275" s="8">
        <v>1887</v>
      </c>
      <c r="D1275" s="9">
        <v>45425</v>
      </c>
      <c r="E1275" s="13" t="str">
        <f>+HYPERLINK("http://trademark.i-assist.jp/data/china/image_1887th/76915971.pdf","76915971")</f>
        <v>76915971</v>
      </c>
      <c r="F1275" s="7" t="s">
        <v>3478</v>
      </c>
      <c r="G1275" s="7" t="s">
        <v>3479</v>
      </c>
      <c r="H1275" s="7" t="s">
        <v>3480</v>
      </c>
      <c r="I1275" s="9">
        <v>45344</v>
      </c>
    </row>
    <row r="1276" spans="1:9" x14ac:dyDescent="0.15">
      <c r="A1276" s="6">
        <v>1275</v>
      </c>
      <c r="B1276" s="7" t="s">
        <v>8</v>
      </c>
      <c r="C1276" s="8">
        <v>1887</v>
      </c>
      <c r="D1276" s="9">
        <v>45425</v>
      </c>
      <c r="E1276" s="13" t="str">
        <f>+HYPERLINK("http://trademark.i-assist.jp/data/china/image_1887th/76916044.pdf","76916044")</f>
        <v>76916044</v>
      </c>
      <c r="F1276" s="7" t="s">
        <v>3481</v>
      </c>
      <c r="G1276" s="7" t="s">
        <v>3482</v>
      </c>
      <c r="H1276" s="7" t="s">
        <v>3483</v>
      </c>
      <c r="I1276" s="9">
        <v>45344</v>
      </c>
    </row>
    <row r="1277" spans="1:9" x14ac:dyDescent="0.15">
      <c r="A1277" s="6">
        <v>1276</v>
      </c>
      <c r="B1277" s="7" t="s">
        <v>8</v>
      </c>
      <c r="C1277" s="8">
        <v>1887</v>
      </c>
      <c r="D1277" s="9">
        <v>45425</v>
      </c>
      <c r="E1277" s="13" t="str">
        <f>+HYPERLINK("http://trademark.i-assist.jp/data/china/image_1887th/76916167.pdf","76916167")</f>
        <v>76916167</v>
      </c>
      <c r="F1277" s="7" t="s">
        <v>3484</v>
      </c>
      <c r="G1277" s="7" t="s">
        <v>3485</v>
      </c>
      <c r="H1277" s="7" t="s">
        <v>3486</v>
      </c>
      <c r="I1277" s="9">
        <v>45344</v>
      </c>
    </row>
    <row r="1278" spans="1:9" x14ac:dyDescent="0.15">
      <c r="A1278" s="6">
        <v>1277</v>
      </c>
      <c r="B1278" s="7" t="s">
        <v>8</v>
      </c>
      <c r="C1278" s="8">
        <v>1887</v>
      </c>
      <c r="D1278" s="9">
        <v>45425</v>
      </c>
      <c r="E1278" s="13" t="str">
        <f>+HYPERLINK("http://trademark.i-assist.jp/data/china/image_1887th/76916318.pdf","76916318")</f>
        <v>76916318</v>
      </c>
      <c r="F1278" s="7" t="s">
        <v>3487</v>
      </c>
      <c r="G1278" s="7" t="s">
        <v>3286</v>
      </c>
      <c r="H1278" s="7" t="s">
        <v>3488</v>
      </c>
      <c r="I1278" s="9">
        <v>45344</v>
      </c>
    </row>
    <row r="1279" spans="1:9" x14ac:dyDescent="0.15">
      <c r="A1279" s="6">
        <v>1278</v>
      </c>
      <c r="B1279" s="7" t="s">
        <v>8</v>
      </c>
      <c r="C1279" s="8">
        <v>1887</v>
      </c>
      <c r="D1279" s="9">
        <v>45425</v>
      </c>
      <c r="E1279" s="13" t="str">
        <f>+HYPERLINK("http://trademark.i-assist.jp/data/china/image_1887th/76916919.pdf","76916919")</f>
        <v>76916919</v>
      </c>
      <c r="F1279" s="7" t="s">
        <v>3489</v>
      </c>
      <c r="G1279" s="7" t="s">
        <v>3490</v>
      </c>
      <c r="H1279" s="7" t="s">
        <v>3491</v>
      </c>
      <c r="I1279" s="9">
        <v>45344</v>
      </c>
    </row>
    <row r="1280" spans="1:9" x14ac:dyDescent="0.15">
      <c r="A1280" s="6">
        <v>1279</v>
      </c>
      <c r="B1280" s="7" t="s">
        <v>8</v>
      </c>
      <c r="C1280" s="8">
        <v>1887</v>
      </c>
      <c r="D1280" s="9">
        <v>45425</v>
      </c>
      <c r="E1280" s="13" t="str">
        <f>+HYPERLINK("http://trademark.i-assist.jp/data/china/image_1887th/76917255.pdf","76917255")</f>
        <v>76917255</v>
      </c>
      <c r="F1280" s="7" t="s">
        <v>3492</v>
      </c>
      <c r="G1280" s="7" t="s">
        <v>3343</v>
      </c>
      <c r="H1280" s="7" t="s">
        <v>3493</v>
      </c>
      <c r="I1280" s="9">
        <v>45344</v>
      </c>
    </row>
    <row r="1281" spans="1:9" x14ac:dyDescent="0.15">
      <c r="A1281" s="6">
        <v>1280</v>
      </c>
      <c r="B1281" s="7" t="s">
        <v>8</v>
      </c>
      <c r="C1281" s="8">
        <v>1887</v>
      </c>
      <c r="D1281" s="9">
        <v>45425</v>
      </c>
      <c r="E1281" s="13" t="str">
        <f>+HYPERLINK("http://trademark.i-assist.jp/data/china/image_1887th/76917506.pdf","76917506")</f>
        <v>76917506</v>
      </c>
      <c r="F1281" s="7" t="s">
        <v>3494</v>
      </c>
      <c r="G1281" s="7" t="s">
        <v>3495</v>
      </c>
      <c r="H1281" s="7" t="s">
        <v>3496</v>
      </c>
      <c r="I1281" s="9">
        <v>45344</v>
      </c>
    </row>
    <row r="1282" spans="1:9" x14ac:dyDescent="0.15">
      <c r="A1282" s="6">
        <v>1281</v>
      </c>
      <c r="B1282" s="7" t="s">
        <v>8</v>
      </c>
      <c r="C1282" s="8">
        <v>1887</v>
      </c>
      <c r="D1282" s="9">
        <v>45425</v>
      </c>
      <c r="E1282" s="13" t="str">
        <f>+HYPERLINK("http://trademark.i-assist.jp/data/china/image_1887th/76917605.pdf","76917605")</f>
        <v>76917605</v>
      </c>
      <c r="F1282" s="7" t="s">
        <v>3497</v>
      </c>
      <c r="G1282" s="7" t="s">
        <v>3498</v>
      </c>
      <c r="H1282" s="7" t="s">
        <v>3499</v>
      </c>
      <c r="I1282" s="9">
        <v>45344</v>
      </c>
    </row>
    <row r="1283" spans="1:9" ht="27" x14ac:dyDescent="0.15">
      <c r="A1283" s="6">
        <v>1282</v>
      </c>
      <c r="B1283" s="7" t="s">
        <v>8</v>
      </c>
      <c r="C1283" s="8">
        <v>1887</v>
      </c>
      <c r="D1283" s="9">
        <v>45425</v>
      </c>
      <c r="E1283" s="13" t="str">
        <f>+HYPERLINK("http://trademark.i-assist.jp/data/china/image_1887th/76917761.pdf","76917761")</f>
        <v>76917761</v>
      </c>
      <c r="F1283" s="7" t="s">
        <v>3500</v>
      </c>
      <c r="G1283" s="7" t="s">
        <v>3501</v>
      </c>
      <c r="H1283" s="7" t="s">
        <v>3502</v>
      </c>
      <c r="I1283" s="9">
        <v>45344</v>
      </c>
    </row>
    <row r="1284" spans="1:9" x14ac:dyDescent="0.15">
      <c r="A1284" s="6">
        <v>1283</v>
      </c>
      <c r="B1284" s="7" t="s">
        <v>8</v>
      </c>
      <c r="C1284" s="8">
        <v>1887</v>
      </c>
      <c r="D1284" s="9">
        <v>45425</v>
      </c>
      <c r="E1284" s="13" t="str">
        <f>+HYPERLINK("http://trademark.i-assist.jp/data/china/image_1887th/76917767.pdf","76917767")</f>
        <v>76917767</v>
      </c>
      <c r="F1284" s="7" t="s">
        <v>3503</v>
      </c>
      <c r="G1284" s="7" t="s">
        <v>3286</v>
      </c>
      <c r="H1284" s="7" t="s">
        <v>3504</v>
      </c>
      <c r="I1284" s="9">
        <v>45344</v>
      </c>
    </row>
    <row r="1285" spans="1:9" x14ac:dyDescent="0.15">
      <c r="A1285" s="6">
        <v>1284</v>
      </c>
      <c r="B1285" s="7" t="s">
        <v>8</v>
      </c>
      <c r="C1285" s="8">
        <v>1887</v>
      </c>
      <c r="D1285" s="9">
        <v>45425</v>
      </c>
      <c r="E1285" s="13" t="str">
        <f>+HYPERLINK("http://trademark.i-assist.jp/data/china/image_1887th/76917785.pdf","76917785")</f>
        <v>76917785</v>
      </c>
      <c r="F1285" s="7" t="s">
        <v>3505</v>
      </c>
      <c r="G1285" s="7" t="s">
        <v>3286</v>
      </c>
      <c r="H1285" s="7" t="s">
        <v>3506</v>
      </c>
      <c r="I1285" s="9">
        <v>45344</v>
      </c>
    </row>
    <row r="1286" spans="1:9" x14ac:dyDescent="0.15">
      <c r="A1286" s="6">
        <v>1285</v>
      </c>
      <c r="B1286" s="7" t="s">
        <v>8</v>
      </c>
      <c r="C1286" s="8">
        <v>1887</v>
      </c>
      <c r="D1286" s="9">
        <v>45425</v>
      </c>
      <c r="E1286" s="13" t="str">
        <f>+HYPERLINK("http://trademark.i-assist.jp/data/china/image_1887th/76917864.pdf","76917864")</f>
        <v>76917864</v>
      </c>
      <c r="F1286" s="7" t="s">
        <v>3507</v>
      </c>
      <c r="G1286" s="7" t="s">
        <v>3508</v>
      </c>
      <c r="H1286" s="7" t="s">
        <v>3509</v>
      </c>
      <c r="I1286" s="9">
        <v>45344</v>
      </c>
    </row>
    <row r="1287" spans="1:9" x14ac:dyDescent="0.15">
      <c r="A1287" s="6">
        <v>1286</v>
      </c>
      <c r="B1287" s="7" t="s">
        <v>8</v>
      </c>
      <c r="C1287" s="8">
        <v>1887</v>
      </c>
      <c r="D1287" s="9">
        <v>45425</v>
      </c>
      <c r="E1287" s="13" t="str">
        <f>+HYPERLINK("http://trademark.i-assist.jp/data/china/image_1887th/76917877.pdf","76917877")</f>
        <v>76917877</v>
      </c>
      <c r="F1287" s="7" t="s">
        <v>3510</v>
      </c>
      <c r="G1287" s="7" t="s">
        <v>3304</v>
      </c>
      <c r="H1287" s="7" t="s">
        <v>3511</v>
      </c>
      <c r="I1287" s="9">
        <v>45344</v>
      </c>
    </row>
    <row r="1288" spans="1:9" ht="27" x14ac:dyDescent="0.15">
      <c r="A1288" s="6">
        <v>1287</v>
      </c>
      <c r="B1288" s="7" t="s">
        <v>8</v>
      </c>
      <c r="C1288" s="8">
        <v>1887</v>
      </c>
      <c r="D1288" s="9">
        <v>45425</v>
      </c>
      <c r="E1288" s="13" t="str">
        <f>+HYPERLINK("http://trademark.i-assist.jp/data/china/image_1887th/76917901.pdf","76917901")</f>
        <v>76917901</v>
      </c>
      <c r="F1288" s="7" t="s">
        <v>3512</v>
      </c>
      <c r="G1288" s="7" t="s">
        <v>3513</v>
      </c>
      <c r="H1288" s="7" t="s">
        <v>3514</v>
      </c>
      <c r="I1288" s="9">
        <v>45344</v>
      </c>
    </row>
    <row r="1289" spans="1:9" ht="27" x14ac:dyDescent="0.15">
      <c r="A1289" s="6">
        <v>1288</v>
      </c>
      <c r="B1289" s="7" t="s">
        <v>8</v>
      </c>
      <c r="C1289" s="8">
        <v>1887</v>
      </c>
      <c r="D1289" s="9">
        <v>45425</v>
      </c>
      <c r="E1289" s="13" t="str">
        <f>+HYPERLINK("http://trademark.i-assist.jp/data/china/image_1887th/76917970.pdf","76917970")</f>
        <v>76917970</v>
      </c>
      <c r="F1289" s="7" t="s">
        <v>3515</v>
      </c>
      <c r="G1289" s="7" t="s">
        <v>3516</v>
      </c>
      <c r="H1289" s="7" t="s">
        <v>3517</v>
      </c>
      <c r="I1289" s="9">
        <v>45344</v>
      </c>
    </row>
    <row r="1290" spans="1:9" x14ac:dyDescent="0.15">
      <c r="A1290" s="6">
        <v>1289</v>
      </c>
      <c r="B1290" s="7" t="s">
        <v>8</v>
      </c>
      <c r="C1290" s="8">
        <v>1887</v>
      </c>
      <c r="D1290" s="9">
        <v>45425</v>
      </c>
      <c r="E1290" s="13" t="str">
        <f>+HYPERLINK("http://trademark.i-assist.jp/data/china/image_1887th/76918104.pdf","76918104")</f>
        <v>76918104</v>
      </c>
      <c r="F1290" s="7" t="s">
        <v>3518</v>
      </c>
      <c r="G1290" s="7" t="s">
        <v>3519</v>
      </c>
      <c r="H1290" s="7" t="s">
        <v>3520</v>
      </c>
      <c r="I1290" s="9">
        <v>45344</v>
      </c>
    </row>
    <row r="1291" spans="1:9" x14ac:dyDescent="0.15">
      <c r="A1291" s="6">
        <v>1290</v>
      </c>
      <c r="B1291" s="7" t="s">
        <v>8</v>
      </c>
      <c r="C1291" s="8">
        <v>1887</v>
      </c>
      <c r="D1291" s="9">
        <v>45425</v>
      </c>
      <c r="E1291" s="13" t="str">
        <f>+HYPERLINK("http://trademark.i-assist.jp/data/china/image_1887th/76918160.pdf","76918160")</f>
        <v>76918160</v>
      </c>
      <c r="F1291" s="7" t="s">
        <v>3521</v>
      </c>
      <c r="G1291" s="7" t="s">
        <v>3522</v>
      </c>
      <c r="H1291" s="7" t="s">
        <v>3523</v>
      </c>
      <c r="I1291" s="9">
        <v>45344</v>
      </c>
    </row>
    <row r="1292" spans="1:9" x14ac:dyDescent="0.15">
      <c r="A1292" s="6">
        <v>1291</v>
      </c>
      <c r="B1292" s="7" t="s">
        <v>8</v>
      </c>
      <c r="C1292" s="8">
        <v>1887</v>
      </c>
      <c r="D1292" s="9">
        <v>45425</v>
      </c>
      <c r="E1292" s="13" t="str">
        <f>+HYPERLINK("http://trademark.i-assist.jp/data/china/image_1887th/76918401.pdf","76918401")</f>
        <v>76918401</v>
      </c>
      <c r="F1292" s="7" t="s">
        <v>3524</v>
      </c>
      <c r="G1292" s="7" t="s">
        <v>3383</v>
      </c>
      <c r="H1292" s="7" t="s">
        <v>3525</v>
      </c>
      <c r="I1292" s="9">
        <v>45344</v>
      </c>
    </row>
    <row r="1293" spans="1:9" x14ac:dyDescent="0.15">
      <c r="A1293" s="6">
        <v>1292</v>
      </c>
      <c r="B1293" s="7" t="s">
        <v>8</v>
      </c>
      <c r="C1293" s="8">
        <v>1887</v>
      </c>
      <c r="D1293" s="9">
        <v>45425</v>
      </c>
      <c r="E1293" s="13" t="str">
        <f>+HYPERLINK("http://trademark.i-assist.jp/data/china/image_1887th/76918724.pdf","76918724")</f>
        <v>76918724</v>
      </c>
      <c r="F1293" s="7" t="s">
        <v>3526</v>
      </c>
      <c r="G1293" s="7" t="s">
        <v>3286</v>
      </c>
      <c r="H1293" s="7" t="s">
        <v>3527</v>
      </c>
      <c r="I1293" s="9">
        <v>45344</v>
      </c>
    </row>
    <row r="1294" spans="1:9" ht="27" x14ac:dyDescent="0.15">
      <c r="A1294" s="6">
        <v>1293</v>
      </c>
      <c r="B1294" s="7" t="s">
        <v>8</v>
      </c>
      <c r="C1294" s="8">
        <v>1887</v>
      </c>
      <c r="D1294" s="9">
        <v>45425</v>
      </c>
      <c r="E1294" s="13" t="str">
        <f>+HYPERLINK("http://trademark.i-assist.jp/data/china/image_1887th/76918910.pdf","76918910")</f>
        <v>76918910</v>
      </c>
      <c r="F1294" s="7" t="s">
        <v>3528</v>
      </c>
      <c r="G1294" s="7" t="s">
        <v>3529</v>
      </c>
      <c r="H1294" s="7" t="s">
        <v>3530</v>
      </c>
      <c r="I1294" s="9">
        <v>45344</v>
      </c>
    </row>
    <row r="1295" spans="1:9" x14ac:dyDescent="0.15">
      <c r="A1295" s="6">
        <v>1294</v>
      </c>
      <c r="B1295" s="7" t="s">
        <v>8</v>
      </c>
      <c r="C1295" s="8">
        <v>1887</v>
      </c>
      <c r="D1295" s="9">
        <v>45425</v>
      </c>
      <c r="E1295" s="13" t="str">
        <f>+HYPERLINK("http://trademark.i-assist.jp/data/china/image_1887th/76919109.pdf","76919109")</f>
        <v>76919109</v>
      </c>
      <c r="F1295" s="7" t="s">
        <v>3531</v>
      </c>
      <c r="G1295" s="7" t="s">
        <v>3532</v>
      </c>
      <c r="H1295" s="7" t="s">
        <v>3533</v>
      </c>
      <c r="I1295" s="9">
        <v>45344</v>
      </c>
    </row>
    <row r="1296" spans="1:9" x14ac:dyDescent="0.15">
      <c r="A1296" s="6">
        <v>1295</v>
      </c>
      <c r="B1296" s="7" t="s">
        <v>8</v>
      </c>
      <c r="C1296" s="8">
        <v>1887</v>
      </c>
      <c r="D1296" s="9">
        <v>45425</v>
      </c>
      <c r="E1296" s="13" t="str">
        <f>+HYPERLINK("http://trademark.i-assist.jp/data/china/image_1887th/76919504.pdf","76919504")</f>
        <v>76919504</v>
      </c>
      <c r="F1296" s="7" t="s">
        <v>3534</v>
      </c>
      <c r="G1296" s="7" t="s">
        <v>3535</v>
      </c>
      <c r="H1296" s="7" t="s">
        <v>3536</v>
      </c>
      <c r="I1296" s="9">
        <v>45345</v>
      </c>
    </row>
    <row r="1297" spans="1:9" x14ac:dyDescent="0.15">
      <c r="A1297" s="6">
        <v>1296</v>
      </c>
      <c r="B1297" s="7" t="s">
        <v>8</v>
      </c>
      <c r="C1297" s="8">
        <v>1887</v>
      </c>
      <c r="D1297" s="9">
        <v>45425</v>
      </c>
      <c r="E1297" s="13" t="str">
        <f>+HYPERLINK("http://trademark.i-assist.jp/data/china/image_1887th/76919706.pdf","76919706")</f>
        <v>76919706</v>
      </c>
      <c r="F1297" s="7" t="s">
        <v>3537</v>
      </c>
      <c r="G1297" s="7" t="s">
        <v>3538</v>
      </c>
      <c r="H1297" s="7" t="s">
        <v>3539</v>
      </c>
      <c r="I1297" s="9">
        <v>45345</v>
      </c>
    </row>
    <row r="1298" spans="1:9" x14ac:dyDescent="0.15">
      <c r="A1298" s="6">
        <v>1297</v>
      </c>
      <c r="B1298" s="7" t="s">
        <v>8</v>
      </c>
      <c r="C1298" s="8">
        <v>1887</v>
      </c>
      <c r="D1298" s="9">
        <v>45425</v>
      </c>
      <c r="E1298" s="13" t="str">
        <f>+HYPERLINK("http://trademark.i-assist.jp/data/china/image_1887th/76919864.pdf","76919864")</f>
        <v>76919864</v>
      </c>
      <c r="F1298" s="7" t="s">
        <v>3540</v>
      </c>
      <c r="G1298" s="7" t="s">
        <v>3541</v>
      </c>
      <c r="H1298" s="7" t="s">
        <v>3542</v>
      </c>
      <c r="I1298" s="9">
        <v>45345</v>
      </c>
    </row>
    <row r="1299" spans="1:9" x14ac:dyDescent="0.15">
      <c r="A1299" s="6">
        <v>1298</v>
      </c>
      <c r="B1299" s="7" t="s">
        <v>8</v>
      </c>
      <c r="C1299" s="8">
        <v>1887</v>
      </c>
      <c r="D1299" s="9">
        <v>45425</v>
      </c>
      <c r="E1299" s="13" t="str">
        <f>+HYPERLINK("http://trademark.i-assist.jp/data/china/image_1887th/76920199.pdf","76920199")</f>
        <v>76920199</v>
      </c>
      <c r="F1299" s="7" t="s">
        <v>3543</v>
      </c>
      <c r="G1299" s="7" t="s">
        <v>3544</v>
      </c>
      <c r="H1299" s="7" t="s">
        <v>3545</v>
      </c>
      <c r="I1299" s="9">
        <v>45345</v>
      </c>
    </row>
    <row r="1300" spans="1:9" ht="27" x14ac:dyDescent="0.15">
      <c r="A1300" s="6">
        <v>1299</v>
      </c>
      <c r="B1300" s="7" t="s">
        <v>8</v>
      </c>
      <c r="C1300" s="8">
        <v>1887</v>
      </c>
      <c r="D1300" s="9">
        <v>45425</v>
      </c>
      <c r="E1300" s="13" t="str">
        <f>+HYPERLINK("http://trademark.i-assist.jp/data/china/image_1887th/76920419.pdf","76920419")</f>
        <v>76920419</v>
      </c>
      <c r="F1300" s="7" t="s">
        <v>3546</v>
      </c>
      <c r="G1300" s="7" t="s">
        <v>3547</v>
      </c>
      <c r="H1300" s="7" t="s">
        <v>3548</v>
      </c>
      <c r="I1300" s="9">
        <v>45345</v>
      </c>
    </row>
    <row r="1301" spans="1:9" x14ac:dyDescent="0.15">
      <c r="A1301" s="6">
        <v>1300</v>
      </c>
      <c r="B1301" s="7" t="s">
        <v>8</v>
      </c>
      <c r="C1301" s="8">
        <v>1887</v>
      </c>
      <c r="D1301" s="9">
        <v>45425</v>
      </c>
      <c r="E1301" s="13" t="str">
        <f>+HYPERLINK("http://trademark.i-assist.jp/data/china/image_1887th/76920453.pdf","76920453")</f>
        <v>76920453</v>
      </c>
      <c r="F1301" s="7" t="s">
        <v>3549</v>
      </c>
      <c r="G1301" s="7" t="s">
        <v>3550</v>
      </c>
      <c r="H1301" s="7" t="s">
        <v>3551</v>
      </c>
      <c r="I1301" s="9">
        <v>45345</v>
      </c>
    </row>
    <row r="1302" spans="1:9" x14ac:dyDescent="0.15">
      <c r="A1302" s="6">
        <v>1301</v>
      </c>
      <c r="B1302" s="7" t="s">
        <v>8</v>
      </c>
      <c r="C1302" s="8">
        <v>1887</v>
      </c>
      <c r="D1302" s="9">
        <v>45425</v>
      </c>
      <c r="E1302" s="13" t="str">
        <f>+HYPERLINK("http://trademark.i-assist.jp/data/china/image_1887th/76920782.pdf","76920782")</f>
        <v>76920782</v>
      </c>
      <c r="F1302" s="7" t="s">
        <v>3552</v>
      </c>
      <c r="G1302" s="7" t="s">
        <v>3553</v>
      </c>
      <c r="H1302" s="7" t="s">
        <v>3554</v>
      </c>
      <c r="I1302" s="9">
        <v>45345</v>
      </c>
    </row>
    <row r="1303" spans="1:9" ht="27" x14ac:dyDescent="0.15">
      <c r="A1303" s="6">
        <v>1302</v>
      </c>
      <c r="B1303" s="7" t="s">
        <v>8</v>
      </c>
      <c r="C1303" s="8">
        <v>1887</v>
      </c>
      <c r="D1303" s="9">
        <v>45425</v>
      </c>
      <c r="E1303" s="13" t="str">
        <f>+HYPERLINK("http://trademark.i-assist.jp/data/china/image_1887th/76920885.pdf","76920885")</f>
        <v>76920885</v>
      </c>
      <c r="F1303" s="7" t="s">
        <v>54</v>
      </c>
      <c r="G1303" s="7" t="s">
        <v>3555</v>
      </c>
      <c r="H1303" s="7" t="s">
        <v>3556</v>
      </c>
      <c r="I1303" s="9">
        <v>45345</v>
      </c>
    </row>
    <row r="1304" spans="1:9" x14ac:dyDescent="0.15">
      <c r="A1304" s="6">
        <v>1303</v>
      </c>
      <c r="B1304" s="7" t="s">
        <v>8</v>
      </c>
      <c r="C1304" s="8">
        <v>1887</v>
      </c>
      <c r="D1304" s="9">
        <v>45425</v>
      </c>
      <c r="E1304" s="13" t="str">
        <f>+HYPERLINK("http://trademark.i-assist.jp/data/china/image_1887th/76920968.pdf","76920968")</f>
        <v>76920968</v>
      </c>
      <c r="F1304" s="7" t="s">
        <v>3557</v>
      </c>
      <c r="G1304" s="7" t="s">
        <v>3558</v>
      </c>
      <c r="H1304" s="7" t="s">
        <v>3559</v>
      </c>
      <c r="I1304" s="9">
        <v>45345</v>
      </c>
    </row>
    <row r="1305" spans="1:9" x14ac:dyDescent="0.15">
      <c r="A1305" s="6">
        <v>1304</v>
      </c>
      <c r="B1305" s="7" t="s">
        <v>8</v>
      </c>
      <c r="C1305" s="8">
        <v>1887</v>
      </c>
      <c r="D1305" s="9">
        <v>45425</v>
      </c>
      <c r="E1305" s="13" t="str">
        <f>+HYPERLINK("http://trademark.i-assist.jp/data/china/image_1887th/76921018.pdf","76921018")</f>
        <v>76921018</v>
      </c>
      <c r="F1305" s="7" t="s">
        <v>3560</v>
      </c>
      <c r="G1305" s="7" t="s">
        <v>3561</v>
      </c>
      <c r="H1305" s="7" t="s">
        <v>3562</v>
      </c>
      <c r="I1305" s="9">
        <v>45345</v>
      </c>
    </row>
    <row r="1306" spans="1:9" x14ac:dyDescent="0.15">
      <c r="A1306" s="6">
        <v>1305</v>
      </c>
      <c r="B1306" s="7" t="s">
        <v>8</v>
      </c>
      <c r="C1306" s="8">
        <v>1887</v>
      </c>
      <c r="D1306" s="9">
        <v>45425</v>
      </c>
      <c r="E1306" s="13" t="str">
        <f>+HYPERLINK("http://trademark.i-assist.jp/data/china/image_1887th/76921073.pdf","76921073")</f>
        <v>76921073</v>
      </c>
      <c r="F1306" s="7" t="s">
        <v>3563</v>
      </c>
      <c r="G1306" s="7" t="s">
        <v>3535</v>
      </c>
      <c r="H1306" s="7" t="s">
        <v>3564</v>
      </c>
      <c r="I1306" s="9">
        <v>45345</v>
      </c>
    </row>
    <row r="1307" spans="1:9" ht="27" x14ac:dyDescent="0.15">
      <c r="A1307" s="6">
        <v>1306</v>
      </c>
      <c r="B1307" s="7" t="s">
        <v>8</v>
      </c>
      <c r="C1307" s="8">
        <v>1887</v>
      </c>
      <c r="D1307" s="9">
        <v>45425</v>
      </c>
      <c r="E1307" s="13" t="str">
        <f>+HYPERLINK("http://trademark.i-assist.jp/data/china/image_1887th/76921172.pdf","76921172")</f>
        <v>76921172</v>
      </c>
      <c r="F1307" s="7" t="s">
        <v>3565</v>
      </c>
      <c r="G1307" s="7" t="s">
        <v>3566</v>
      </c>
      <c r="H1307" s="7" t="s">
        <v>3567</v>
      </c>
      <c r="I1307" s="9">
        <v>45345</v>
      </c>
    </row>
    <row r="1308" spans="1:9" x14ac:dyDescent="0.15">
      <c r="A1308" s="6">
        <v>1307</v>
      </c>
      <c r="B1308" s="7" t="s">
        <v>8</v>
      </c>
      <c r="C1308" s="8">
        <v>1887</v>
      </c>
      <c r="D1308" s="9">
        <v>45425</v>
      </c>
      <c r="E1308" s="13" t="str">
        <f>+HYPERLINK("http://trademark.i-assist.jp/data/china/image_1887th/76921188.pdf","76921188")</f>
        <v>76921188</v>
      </c>
      <c r="F1308" s="7" t="s">
        <v>3568</v>
      </c>
      <c r="G1308" s="7" t="s">
        <v>3569</v>
      </c>
      <c r="H1308" s="7" t="s">
        <v>3570</v>
      </c>
      <c r="I1308" s="9">
        <v>45345</v>
      </c>
    </row>
    <row r="1309" spans="1:9" x14ac:dyDescent="0.15">
      <c r="A1309" s="6">
        <v>1308</v>
      </c>
      <c r="B1309" s="7" t="s">
        <v>8</v>
      </c>
      <c r="C1309" s="8">
        <v>1887</v>
      </c>
      <c r="D1309" s="9">
        <v>45425</v>
      </c>
      <c r="E1309" s="13" t="str">
        <f>+HYPERLINK("http://trademark.i-assist.jp/data/china/image_1887th/76921398.pdf","76921398")</f>
        <v>76921398</v>
      </c>
      <c r="F1309" s="7" t="s">
        <v>3571</v>
      </c>
      <c r="G1309" s="7" t="s">
        <v>3572</v>
      </c>
      <c r="H1309" s="7" t="s">
        <v>3573</v>
      </c>
      <c r="I1309" s="9">
        <v>45345</v>
      </c>
    </row>
    <row r="1310" spans="1:9" x14ac:dyDescent="0.15">
      <c r="A1310" s="6">
        <v>1309</v>
      </c>
      <c r="B1310" s="7" t="s">
        <v>8</v>
      </c>
      <c r="C1310" s="8">
        <v>1887</v>
      </c>
      <c r="D1310" s="9">
        <v>45425</v>
      </c>
      <c r="E1310" s="13" t="str">
        <f>+HYPERLINK("http://trademark.i-assist.jp/data/china/image_1887th/76921479.pdf","76921479")</f>
        <v>76921479</v>
      </c>
      <c r="F1310" s="7" t="s">
        <v>3574</v>
      </c>
      <c r="G1310" s="7" t="s">
        <v>3575</v>
      </c>
      <c r="H1310" s="7" t="s">
        <v>3576</v>
      </c>
      <c r="I1310" s="9">
        <v>45345</v>
      </c>
    </row>
    <row r="1311" spans="1:9" x14ac:dyDescent="0.15">
      <c r="A1311" s="6">
        <v>1310</v>
      </c>
      <c r="B1311" s="7" t="s">
        <v>8</v>
      </c>
      <c r="C1311" s="8">
        <v>1887</v>
      </c>
      <c r="D1311" s="9">
        <v>45425</v>
      </c>
      <c r="E1311" s="13" t="str">
        <f>+HYPERLINK("http://trademark.i-assist.jp/data/china/image_1887th/76921481.pdf","76921481")</f>
        <v>76921481</v>
      </c>
      <c r="F1311" s="7" t="s">
        <v>3577</v>
      </c>
      <c r="G1311" s="7" t="s">
        <v>3578</v>
      </c>
      <c r="H1311" s="7" t="s">
        <v>3579</v>
      </c>
      <c r="I1311" s="9">
        <v>45345</v>
      </c>
    </row>
    <row r="1312" spans="1:9" x14ac:dyDescent="0.15">
      <c r="A1312" s="6">
        <v>1311</v>
      </c>
      <c r="B1312" s="7" t="s">
        <v>8</v>
      </c>
      <c r="C1312" s="8">
        <v>1887</v>
      </c>
      <c r="D1312" s="9">
        <v>45425</v>
      </c>
      <c r="E1312" s="13" t="str">
        <f>+HYPERLINK("http://trademark.i-assist.jp/data/china/image_1887th/76921728.pdf","76921728")</f>
        <v>76921728</v>
      </c>
      <c r="F1312" s="7" t="s">
        <v>3580</v>
      </c>
      <c r="G1312" s="7" t="s">
        <v>3581</v>
      </c>
      <c r="H1312" s="7" t="s">
        <v>3582</v>
      </c>
      <c r="I1312" s="9">
        <v>45345</v>
      </c>
    </row>
    <row r="1313" spans="1:9" ht="27" x14ac:dyDescent="0.15">
      <c r="A1313" s="6">
        <v>1312</v>
      </c>
      <c r="B1313" s="7" t="s">
        <v>8</v>
      </c>
      <c r="C1313" s="8">
        <v>1887</v>
      </c>
      <c r="D1313" s="9">
        <v>45425</v>
      </c>
      <c r="E1313" s="13" t="str">
        <f>+HYPERLINK("http://trademark.i-assist.jp/data/china/image_1887th/76921825.pdf","76921825")</f>
        <v>76921825</v>
      </c>
      <c r="F1313" s="7" t="s">
        <v>3583</v>
      </c>
      <c r="G1313" s="7" t="s">
        <v>3584</v>
      </c>
      <c r="H1313" s="7" t="s">
        <v>3585</v>
      </c>
      <c r="I1313" s="9">
        <v>45345</v>
      </c>
    </row>
    <row r="1314" spans="1:9" x14ac:dyDescent="0.15">
      <c r="A1314" s="6">
        <v>1313</v>
      </c>
      <c r="B1314" s="7" t="s">
        <v>8</v>
      </c>
      <c r="C1314" s="8">
        <v>1887</v>
      </c>
      <c r="D1314" s="9">
        <v>45425</v>
      </c>
      <c r="E1314" s="13" t="str">
        <f>+HYPERLINK("http://trademark.i-assist.jp/data/china/image_1887th/76922018.pdf","76922018")</f>
        <v>76922018</v>
      </c>
      <c r="F1314" s="7" t="s">
        <v>3586</v>
      </c>
      <c r="G1314" s="7" t="s">
        <v>3587</v>
      </c>
      <c r="H1314" s="7" t="s">
        <v>3588</v>
      </c>
      <c r="I1314" s="9">
        <v>45345</v>
      </c>
    </row>
    <row r="1315" spans="1:9" x14ac:dyDescent="0.15">
      <c r="A1315" s="6">
        <v>1314</v>
      </c>
      <c r="B1315" s="7" t="s">
        <v>8</v>
      </c>
      <c r="C1315" s="8">
        <v>1887</v>
      </c>
      <c r="D1315" s="9">
        <v>45425</v>
      </c>
      <c r="E1315" s="13" t="str">
        <f>+HYPERLINK("http://trademark.i-assist.jp/data/china/image_1887th/76922109.pdf","76922109")</f>
        <v>76922109</v>
      </c>
      <c r="F1315" s="7" t="s">
        <v>3589</v>
      </c>
      <c r="G1315" s="7" t="s">
        <v>3590</v>
      </c>
      <c r="H1315" s="7" t="s">
        <v>3591</v>
      </c>
      <c r="I1315" s="9">
        <v>45345</v>
      </c>
    </row>
    <row r="1316" spans="1:9" x14ac:dyDescent="0.15">
      <c r="A1316" s="6">
        <v>1315</v>
      </c>
      <c r="B1316" s="7" t="s">
        <v>8</v>
      </c>
      <c r="C1316" s="8">
        <v>1887</v>
      </c>
      <c r="D1316" s="9">
        <v>45425</v>
      </c>
      <c r="E1316" s="13" t="str">
        <f>+HYPERLINK("http://trademark.i-assist.jp/data/china/image_1887th/76922130.pdf","76922130")</f>
        <v>76922130</v>
      </c>
      <c r="F1316" s="7" t="s">
        <v>3592</v>
      </c>
      <c r="G1316" s="7" t="s">
        <v>3593</v>
      </c>
      <c r="H1316" s="7" t="s">
        <v>3594</v>
      </c>
      <c r="I1316" s="9">
        <v>45345</v>
      </c>
    </row>
    <row r="1317" spans="1:9" x14ac:dyDescent="0.15">
      <c r="A1317" s="6">
        <v>1316</v>
      </c>
      <c r="B1317" s="7" t="s">
        <v>8</v>
      </c>
      <c r="C1317" s="8">
        <v>1887</v>
      </c>
      <c r="D1317" s="9">
        <v>45425</v>
      </c>
      <c r="E1317" s="13" t="str">
        <f>+HYPERLINK("http://trademark.i-assist.jp/data/china/image_1887th/76922142.pdf","76922142")</f>
        <v>76922142</v>
      </c>
      <c r="F1317" s="7" t="s">
        <v>3595</v>
      </c>
      <c r="G1317" s="7" t="s">
        <v>3596</v>
      </c>
      <c r="H1317" s="7" t="s">
        <v>3597</v>
      </c>
      <c r="I1317" s="9">
        <v>45345</v>
      </c>
    </row>
    <row r="1318" spans="1:9" x14ac:dyDescent="0.15">
      <c r="A1318" s="6">
        <v>1317</v>
      </c>
      <c r="B1318" s="7" t="s">
        <v>8</v>
      </c>
      <c r="C1318" s="8">
        <v>1887</v>
      </c>
      <c r="D1318" s="9">
        <v>45425</v>
      </c>
      <c r="E1318" s="13" t="str">
        <f>+HYPERLINK("http://trademark.i-assist.jp/data/china/image_1887th/76922270.pdf","76922270")</f>
        <v>76922270</v>
      </c>
      <c r="F1318" s="7" t="s">
        <v>3598</v>
      </c>
      <c r="G1318" s="7" t="s">
        <v>3599</v>
      </c>
      <c r="H1318" s="7" t="s">
        <v>3600</v>
      </c>
      <c r="I1318" s="9">
        <v>45345</v>
      </c>
    </row>
    <row r="1319" spans="1:9" x14ac:dyDescent="0.15">
      <c r="A1319" s="6">
        <v>1318</v>
      </c>
      <c r="B1319" s="7" t="s">
        <v>8</v>
      </c>
      <c r="C1319" s="8">
        <v>1887</v>
      </c>
      <c r="D1319" s="9">
        <v>45425</v>
      </c>
      <c r="E1319" s="13" t="str">
        <f>+HYPERLINK("http://trademark.i-assist.jp/data/china/image_1887th/76922299.pdf","76922299")</f>
        <v>76922299</v>
      </c>
      <c r="F1319" s="7" t="s">
        <v>3601</v>
      </c>
      <c r="G1319" s="7" t="s">
        <v>3602</v>
      </c>
      <c r="H1319" s="7" t="s">
        <v>3603</v>
      </c>
      <c r="I1319" s="9">
        <v>45345</v>
      </c>
    </row>
    <row r="1320" spans="1:9" x14ac:dyDescent="0.15">
      <c r="A1320" s="6">
        <v>1319</v>
      </c>
      <c r="B1320" s="7" t="s">
        <v>8</v>
      </c>
      <c r="C1320" s="8">
        <v>1887</v>
      </c>
      <c r="D1320" s="9">
        <v>45425</v>
      </c>
      <c r="E1320" s="13" t="str">
        <f>+HYPERLINK("http://trademark.i-assist.jp/data/china/image_1887th/76922337.pdf","76922337")</f>
        <v>76922337</v>
      </c>
      <c r="F1320" s="7" t="s">
        <v>3604</v>
      </c>
      <c r="G1320" s="7" t="s">
        <v>3535</v>
      </c>
      <c r="H1320" s="7" t="s">
        <v>3605</v>
      </c>
      <c r="I1320" s="9">
        <v>45345</v>
      </c>
    </row>
    <row r="1321" spans="1:9" x14ac:dyDescent="0.15">
      <c r="A1321" s="6">
        <v>1320</v>
      </c>
      <c r="B1321" s="7" t="s">
        <v>8</v>
      </c>
      <c r="C1321" s="8">
        <v>1887</v>
      </c>
      <c r="D1321" s="9">
        <v>45425</v>
      </c>
      <c r="E1321" s="13" t="str">
        <f>+HYPERLINK("http://trademark.i-assist.jp/data/china/image_1887th/76922551.pdf","76922551")</f>
        <v>76922551</v>
      </c>
      <c r="F1321" s="7" t="s">
        <v>3606</v>
      </c>
      <c r="G1321" s="7" t="s">
        <v>3607</v>
      </c>
      <c r="H1321" s="7" t="s">
        <v>3608</v>
      </c>
      <c r="I1321" s="9">
        <v>45345</v>
      </c>
    </row>
    <row r="1322" spans="1:9" x14ac:dyDescent="0.15">
      <c r="A1322" s="6">
        <v>1321</v>
      </c>
      <c r="B1322" s="7" t="s">
        <v>8</v>
      </c>
      <c r="C1322" s="8">
        <v>1887</v>
      </c>
      <c r="D1322" s="9">
        <v>45425</v>
      </c>
      <c r="E1322" s="13" t="str">
        <f>+HYPERLINK("http://trademark.i-assist.jp/data/china/image_1887th/76922576.pdf","76922576")</f>
        <v>76922576</v>
      </c>
      <c r="F1322" s="7" t="s">
        <v>3609</v>
      </c>
      <c r="G1322" s="7" t="s">
        <v>3610</v>
      </c>
      <c r="H1322" s="7" t="s">
        <v>3611</v>
      </c>
      <c r="I1322" s="9">
        <v>45345</v>
      </c>
    </row>
    <row r="1323" spans="1:9" x14ac:dyDescent="0.15">
      <c r="A1323" s="6">
        <v>1322</v>
      </c>
      <c r="B1323" s="7" t="s">
        <v>8</v>
      </c>
      <c r="C1323" s="8">
        <v>1887</v>
      </c>
      <c r="D1323" s="9">
        <v>45425</v>
      </c>
      <c r="E1323" s="13" t="str">
        <f>+HYPERLINK("http://trademark.i-assist.jp/data/china/image_1887th/76922604.pdf","76922604")</f>
        <v>76922604</v>
      </c>
      <c r="F1323" s="7" t="s">
        <v>3612</v>
      </c>
      <c r="G1323" s="7" t="s">
        <v>3613</v>
      </c>
      <c r="H1323" s="7" t="s">
        <v>3614</v>
      </c>
      <c r="I1323" s="9">
        <v>45345</v>
      </c>
    </row>
    <row r="1324" spans="1:9" x14ac:dyDescent="0.15">
      <c r="A1324" s="6">
        <v>1323</v>
      </c>
      <c r="B1324" s="7" t="s">
        <v>8</v>
      </c>
      <c r="C1324" s="8">
        <v>1887</v>
      </c>
      <c r="D1324" s="9">
        <v>45425</v>
      </c>
      <c r="E1324" s="13" t="str">
        <f>+HYPERLINK("http://trademark.i-assist.jp/data/china/image_1887th/76922824.pdf","76922824")</f>
        <v>76922824</v>
      </c>
      <c r="F1324" s="7" t="s">
        <v>3615</v>
      </c>
      <c r="G1324" s="7" t="s">
        <v>3616</v>
      </c>
      <c r="H1324" s="7" t="s">
        <v>3617</v>
      </c>
      <c r="I1324" s="9">
        <v>45345</v>
      </c>
    </row>
    <row r="1325" spans="1:9" ht="27" x14ac:dyDescent="0.15">
      <c r="A1325" s="6">
        <v>1324</v>
      </c>
      <c r="B1325" s="7" t="s">
        <v>8</v>
      </c>
      <c r="C1325" s="8">
        <v>1887</v>
      </c>
      <c r="D1325" s="9">
        <v>45425</v>
      </c>
      <c r="E1325" s="13" t="str">
        <f>+HYPERLINK("http://trademark.i-assist.jp/data/china/image_1887th/76923138.pdf","76923138")</f>
        <v>76923138</v>
      </c>
      <c r="F1325" s="7" t="s">
        <v>3618</v>
      </c>
      <c r="G1325" s="7" t="s">
        <v>3619</v>
      </c>
      <c r="H1325" s="7" t="s">
        <v>3620</v>
      </c>
      <c r="I1325" s="9">
        <v>45345</v>
      </c>
    </row>
    <row r="1326" spans="1:9" x14ac:dyDescent="0.15">
      <c r="A1326" s="6">
        <v>1325</v>
      </c>
      <c r="B1326" s="7" t="s">
        <v>8</v>
      </c>
      <c r="C1326" s="8">
        <v>1887</v>
      </c>
      <c r="D1326" s="9">
        <v>45425</v>
      </c>
      <c r="E1326" s="13" t="str">
        <f>+HYPERLINK("http://trademark.i-assist.jp/data/china/image_1887th/76923372.pdf","76923372")</f>
        <v>76923372</v>
      </c>
      <c r="F1326" s="7" t="s">
        <v>3621</v>
      </c>
      <c r="G1326" s="7" t="s">
        <v>3622</v>
      </c>
      <c r="H1326" s="7" t="s">
        <v>3623</v>
      </c>
      <c r="I1326" s="9">
        <v>45345</v>
      </c>
    </row>
    <row r="1327" spans="1:9" x14ac:dyDescent="0.15">
      <c r="A1327" s="6">
        <v>1326</v>
      </c>
      <c r="B1327" s="7" t="s">
        <v>8</v>
      </c>
      <c r="C1327" s="8">
        <v>1887</v>
      </c>
      <c r="D1327" s="9">
        <v>45425</v>
      </c>
      <c r="E1327" s="13" t="str">
        <f>+HYPERLINK("http://trademark.i-assist.jp/data/china/image_1887th/76923400.pdf","76923400")</f>
        <v>76923400</v>
      </c>
      <c r="F1327" s="7" t="s">
        <v>3624</v>
      </c>
      <c r="G1327" s="7" t="s">
        <v>3625</v>
      </c>
      <c r="H1327" s="7" t="s">
        <v>3626</v>
      </c>
      <c r="I1327" s="9">
        <v>45345</v>
      </c>
    </row>
    <row r="1328" spans="1:9" x14ac:dyDescent="0.15">
      <c r="A1328" s="6">
        <v>1327</v>
      </c>
      <c r="B1328" s="7" t="s">
        <v>8</v>
      </c>
      <c r="C1328" s="8">
        <v>1887</v>
      </c>
      <c r="D1328" s="9">
        <v>45425</v>
      </c>
      <c r="E1328" s="13" t="str">
        <f>+HYPERLINK("http://trademark.i-assist.jp/data/china/image_1887th/76923468.pdf","76923468")</f>
        <v>76923468</v>
      </c>
      <c r="F1328" s="7" t="s">
        <v>3627</v>
      </c>
      <c r="G1328" s="7" t="s">
        <v>3628</v>
      </c>
      <c r="H1328" s="7" t="s">
        <v>3629</v>
      </c>
      <c r="I1328" s="9">
        <v>45345</v>
      </c>
    </row>
    <row r="1329" spans="1:9" x14ac:dyDescent="0.15">
      <c r="A1329" s="6">
        <v>1328</v>
      </c>
      <c r="B1329" s="7" t="s">
        <v>8</v>
      </c>
      <c r="C1329" s="8">
        <v>1887</v>
      </c>
      <c r="D1329" s="9">
        <v>45425</v>
      </c>
      <c r="E1329" s="13" t="str">
        <f>+HYPERLINK("http://trademark.i-assist.jp/data/china/image_1887th/76923493.pdf","76923493")</f>
        <v>76923493</v>
      </c>
      <c r="F1329" s="7" t="s">
        <v>3630</v>
      </c>
      <c r="G1329" s="7" t="s">
        <v>3631</v>
      </c>
      <c r="H1329" s="7" t="s">
        <v>3632</v>
      </c>
      <c r="I1329" s="9">
        <v>45345</v>
      </c>
    </row>
    <row r="1330" spans="1:9" x14ac:dyDescent="0.15">
      <c r="A1330" s="6">
        <v>1329</v>
      </c>
      <c r="B1330" s="7" t="s">
        <v>8</v>
      </c>
      <c r="C1330" s="8">
        <v>1887</v>
      </c>
      <c r="D1330" s="9">
        <v>45425</v>
      </c>
      <c r="E1330" s="13" t="str">
        <f>+HYPERLINK("http://trademark.i-assist.jp/data/china/image_1887th/76923525.pdf","76923525")</f>
        <v>76923525</v>
      </c>
      <c r="F1330" s="7" t="s">
        <v>3633</v>
      </c>
      <c r="G1330" s="7" t="s">
        <v>3538</v>
      </c>
      <c r="H1330" s="7" t="s">
        <v>3634</v>
      </c>
      <c r="I1330" s="9">
        <v>45345</v>
      </c>
    </row>
    <row r="1331" spans="1:9" x14ac:dyDescent="0.15">
      <c r="A1331" s="6">
        <v>1330</v>
      </c>
      <c r="B1331" s="7" t="s">
        <v>8</v>
      </c>
      <c r="C1331" s="8">
        <v>1887</v>
      </c>
      <c r="D1331" s="9">
        <v>45425</v>
      </c>
      <c r="E1331" s="13" t="str">
        <f>+HYPERLINK("http://trademark.i-assist.jp/data/china/image_1887th/76923558.pdf","76923558")</f>
        <v>76923558</v>
      </c>
      <c r="F1331" s="7" t="s">
        <v>3635</v>
      </c>
      <c r="G1331" s="7" t="s">
        <v>3636</v>
      </c>
      <c r="H1331" s="7" t="s">
        <v>3637</v>
      </c>
      <c r="I1331" s="9">
        <v>45345</v>
      </c>
    </row>
    <row r="1332" spans="1:9" x14ac:dyDescent="0.15">
      <c r="A1332" s="6">
        <v>1331</v>
      </c>
      <c r="B1332" s="7" t="s">
        <v>8</v>
      </c>
      <c r="C1332" s="8">
        <v>1887</v>
      </c>
      <c r="D1332" s="9">
        <v>45425</v>
      </c>
      <c r="E1332" s="13" t="str">
        <f>+HYPERLINK("http://trademark.i-assist.jp/data/china/image_1887th/76923673.pdf","76923673")</f>
        <v>76923673</v>
      </c>
      <c r="F1332" s="7" t="s">
        <v>3638</v>
      </c>
      <c r="G1332" s="7" t="s">
        <v>1753</v>
      </c>
      <c r="H1332" s="7" t="s">
        <v>3639</v>
      </c>
      <c r="I1332" s="9">
        <v>45345</v>
      </c>
    </row>
    <row r="1333" spans="1:9" x14ac:dyDescent="0.15">
      <c r="A1333" s="6">
        <v>1332</v>
      </c>
      <c r="B1333" s="7" t="s">
        <v>8</v>
      </c>
      <c r="C1333" s="8">
        <v>1887</v>
      </c>
      <c r="D1333" s="9">
        <v>45425</v>
      </c>
      <c r="E1333" s="13" t="str">
        <f>+HYPERLINK("http://trademark.i-assist.jp/data/china/image_1887th/76923873.pdf","76923873")</f>
        <v>76923873</v>
      </c>
      <c r="F1333" s="7" t="s">
        <v>3640</v>
      </c>
      <c r="G1333" s="7" t="s">
        <v>3641</v>
      </c>
      <c r="H1333" s="7" t="s">
        <v>3642</v>
      </c>
      <c r="I1333" s="9">
        <v>45345</v>
      </c>
    </row>
    <row r="1334" spans="1:9" ht="27" x14ac:dyDescent="0.15">
      <c r="A1334" s="6">
        <v>1333</v>
      </c>
      <c r="B1334" s="7" t="s">
        <v>8</v>
      </c>
      <c r="C1334" s="8">
        <v>1887</v>
      </c>
      <c r="D1334" s="9">
        <v>45425</v>
      </c>
      <c r="E1334" s="13" t="str">
        <f>+HYPERLINK("http://trademark.i-assist.jp/data/china/image_1887th/76923936.pdf","76923936")</f>
        <v>76923936</v>
      </c>
      <c r="F1334" s="7" t="s">
        <v>3643</v>
      </c>
      <c r="G1334" s="7" t="s">
        <v>3644</v>
      </c>
      <c r="H1334" s="7" t="s">
        <v>3645</v>
      </c>
      <c r="I1334" s="9">
        <v>45345</v>
      </c>
    </row>
    <row r="1335" spans="1:9" x14ac:dyDescent="0.15">
      <c r="A1335" s="6">
        <v>1334</v>
      </c>
      <c r="B1335" s="7" t="s">
        <v>8</v>
      </c>
      <c r="C1335" s="8">
        <v>1887</v>
      </c>
      <c r="D1335" s="9">
        <v>45425</v>
      </c>
      <c r="E1335" s="13" t="str">
        <f>+HYPERLINK("http://trademark.i-assist.jp/data/china/image_1887th/76924020.pdf","76924020")</f>
        <v>76924020</v>
      </c>
      <c r="F1335" s="7" t="s">
        <v>3646</v>
      </c>
      <c r="G1335" s="7" t="s">
        <v>3647</v>
      </c>
      <c r="H1335" s="7" t="s">
        <v>3648</v>
      </c>
      <c r="I1335" s="9">
        <v>45345</v>
      </c>
    </row>
    <row r="1336" spans="1:9" x14ac:dyDescent="0.15">
      <c r="A1336" s="6">
        <v>1335</v>
      </c>
      <c r="B1336" s="7" t="s">
        <v>8</v>
      </c>
      <c r="C1336" s="8">
        <v>1887</v>
      </c>
      <c r="D1336" s="9">
        <v>45425</v>
      </c>
      <c r="E1336" s="13" t="str">
        <f>+HYPERLINK("http://trademark.i-assist.jp/data/china/image_1887th/76924036.pdf","76924036")</f>
        <v>76924036</v>
      </c>
      <c r="F1336" s="7" t="s">
        <v>3649</v>
      </c>
      <c r="G1336" s="7" t="s">
        <v>3650</v>
      </c>
      <c r="H1336" s="7" t="s">
        <v>3651</v>
      </c>
      <c r="I1336" s="9">
        <v>45345</v>
      </c>
    </row>
    <row r="1337" spans="1:9" x14ac:dyDescent="0.15">
      <c r="A1337" s="6">
        <v>1336</v>
      </c>
      <c r="B1337" s="7" t="s">
        <v>8</v>
      </c>
      <c r="C1337" s="8">
        <v>1887</v>
      </c>
      <c r="D1337" s="9">
        <v>45425</v>
      </c>
      <c r="E1337" s="13" t="str">
        <f>+HYPERLINK("http://trademark.i-assist.jp/data/china/image_1887th/76924378.pdf","76924378")</f>
        <v>76924378</v>
      </c>
      <c r="F1337" s="7" t="s">
        <v>3652</v>
      </c>
      <c r="G1337" s="7" t="s">
        <v>3653</v>
      </c>
      <c r="H1337" s="7" t="s">
        <v>3654</v>
      </c>
      <c r="I1337" s="9">
        <v>45345</v>
      </c>
    </row>
    <row r="1338" spans="1:9" x14ac:dyDescent="0.15">
      <c r="A1338" s="6">
        <v>1337</v>
      </c>
      <c r="B1338" s="7" t="s">
        <v>8</v>
      </c>
      <c r="C1338" s="8">
        <v>1887</v>
      </c>
      <c r="D1338" s="9">
        <v>45425</v>
      </c>
      <c r="E1338" s="13" t="str">
        <f>+HYPERLINK("http://trademark.i-assist.jp/data/china/image_1887th/76924406.pdf","76924406")</f>
        <v>76924406</v>
      </c>
      <c r="F1338" s="7" t="s">
        <v>3655</v>
      </c>
      <c r="G1338" s="7" t="s">
        <v>3656</v>
      </c>
      <c r="H1338" s="7" t="s">
        <v>3657</v>
      </c>
      <c r="I1338" s="9">
        <v>45345</v>
      </c>
    </row>
    <row r="1339" spans="1:9" ht="27" x14ac:dyDescent="0.15">
      <c r="A1339" s="6">
        <v>1338</v>
      </c>
      <c r="B1339" s="7" t="s">
        <v>8</v>
      </c>
      <c r="C1339" s="8">
        <v>1887</v>
      </c>
      <c r="D1339" s="9">
        <v>45425</v>
      </c>
      <c r="E1339" s="13" t="str">
        <f>+HYPERLINK("http://trademark.i-assist.jp/data/china/image_1887th/76924561.pdf","76924561")</f>
        <v>76924561</v>
      </c>
      <c r="F1339" s="7" t="s">
        <v>3658</v>
      </c>
      <c r="G1339" s="7" t="s">
        <v>3659</v>
      </c>
      <c r="H1339" s="7" t="s">
        <v>3660</v>
      </c>
      <c r="I1339" s="9">
        <v>45345</v>
      </c>
    </row>
    <row r="1340" spans="1:9" ht="27" x14ac:dyDescent="0.15">
      <c r="A1340" s="6">
        <v>1339</v>
      </c>
      <c r="B1340" s="7" t="s">
        <v>8</v>
      </c>
      <c r="C1340" s="8">
        <v>1887</v>
      </c>
      <c r="D1340" s="9">
        <v>45425</v>
      </c>
      <c r="E1340" s="13" t="str">
        <f>+HYPERLINK("http://trademark.i-assist.jp/data/china/image_1887th/76924565.pdf","76924565")</f>
        <v>76924565</v>
      </c>
      <c r="F1340" s="7" t="s">
        <v>54</v>
      </c>
      <c r="G1340" s="7" t="s">
        <v>3555</v>
      </c>
      <c r="H1340" s="7" t="s">
        <v>3661</v>
      </c>
      <c r="I1340" s="9">
        <v>45345</v>
      </c>
    </row>
    <row r="1341" spans="1:9" ht="27" x14ac:dyDescent="0.15">
      <c r="A1341" s="6">
        <v>1340</v>
      </c>
      <c r="B1341" s="7" t="s">
        <v>8</v>
      </c>
      <c r="C1341" s="8">
        <v>1887</v>
      </c>
      <c r="D1341" s="9">
        <v>45425</v>
      </c>
      <c r="E1341" s="13" t="str">
        <f>+HYPERLINK("http://trademark.i-assist.jp/data/china/image_1887th/76924584.pdf","76924584")</f>
        <v>76924584</v>
      </c>
      <c r="F1341" s="7" t="s">
        <v>3662</v>
      </c>
      <c r="G1341" s="7" t="s">
        <v>3663</v>
      </c>
      <c r="H1341" s="7" t="s">
        <v>3664</v>
      </c>
      <c r="I1341" s="9">
        <v>45345</v>
      </c>
    </row>
    <row r="1342" spans="1:9" x14ac:dyDescent="0.15">
      <c r="A1342" s="6">
        <v>1341</v>
      </c>
      <c r="B1342" s="7" t="s">
        <v>8</v>
      </c>
      <c r="C1342" s="8">
        <v>1887</v>
      </c>
      <c r="D1342" s="9">
        <v>45425</v>
      </c>
      <c r="E1342" s="13" t="str">
        <f>+HYPERLINK("http://trademark.i-assist.jp/data/china/image_1887th/76924673.pdf","76924673")</f>
        <v>76924673</v>
      </c>
      <c r="F1342" s="7" t="s">
        <v>3665</v>
      </c>
      <c r="G1342" s="7" t="s">
        <v>743</v>
      </c>
      <c r="H1342" s="7" t="s">
        <v>3666</v>
      </c>
      <c r="I1342" s="9">
        <v>45345</v>
      </c>
    </row>
    <row r="1343" spans="1:9" x14ac:dyDescent="0.15">
      <c r="A1343" s="6">
        <v>1342</v>
      </c>
      <c r="B1343" s="7" t="s">
        <v>8</v>
      </c>
      <c r="C1343" s="8">
        <v>1887</v>
      </c>
      <c r="D1343" s="9">
        <v>45425</v>
      </c>
      <c r="E1343" s="13" t="str">
        <f>+HYPERLINK("http://trademark.i-assist.jp/data/china/image_1887th/76924679.pdf","76924679")</f>
        <v>76924679</v>
      </c>
      <c r="F1343" s="7" t="s">
        <v>3667</v>
      </c>
      <c r="G1343" s="7" t="s">
        <v>743</v>
      </c>
      <c r="H1343" s="7" t="s">
        <v>3668</v>
      </c>
      <c r="I1343" s="9">
        <v>45345</v>
      </c>
    </row>
    <row r="1344" spans="1:9" x14ac:dyDescent="0.15">
      <c r="A1344" s="6">
        <v>1343</v>
      </c>
      <c r="B1344" s="7" t="s">
        <v>8</v>
      </c>
      <c r="C1344" s="8">
        <v>1887</v>
      </c>
      <c r="D1344" s="9">
        <v>45425</v>
      </c>
      <c r="E1344" s="13" t="str">
        <f>+HYPERLINK("http://trademark.i-assist.jp/data/china/image_1887th/76924895.pdf","76924895")</f>
        <v>76924895</v>
      </c>
      <c r="F1344" s="7" t="s">
        <v>3669</v>
      </c>
      <c r="G1344" s="7" t="s">
        <v>3670</v>
      </c>
      <c r="H1344" s="7" t="s">
        <v>3671</v>
      </c>
      <c r="I1344" s="9">
        <v>45345</v>
      </c>
    </row>
    <row r="1345" spans="1:9" x14ac:dyDescent="0.15">
      <c r="A1345" s="6">
        <v>1344</v>
      </c>
      <c r="B1345" s="7" t="s">
        <v>8</v>
      </c>
      <c r="C1345" s="8">
        <v>1887</v>
      </c>
      <c r="D1345" s="9">
        <v>45425</v>
      </c>
      <c r="E1345" s="13" t="str">
        <f>+HYPERLINK("http://trademark.i-assist.jp/data/china/image_1887th/76925246.pdf","76925246")</f>
        <v>76925246</v>
      </c>
      <c r="F1345" s="7" t="s">
        <v>3672</v>
      </c>
      <c r="G1345" s="7" t="s">
        <v>1618</v>
      </c>
      <c r="H1345" s="7" t="s">
        <v>3673</v>
      </c>
      <c r="I1345" s="9">
        <v>45345</v>
      </c>
    </row>
    <row r="1346" spans="1:9" x14ac:dyDescent="0.15">
      <c r="A1346" s="6">
        <v>1345</v>
      </c>
      <c r="B1346" s="7" t="s">
        <v>8</v>
      </c>
      <c r="C1346" s="8">
        <v>1887</v>
      </c>
      <c r="D1346" s="9">
        <v>45425</v>
      </c>
      <c r="E1346" s="13" t="str">
        <f>+HYPERLINK("http://trademark.i-assist.jp/data/china/image_1887th/76925317.pdf","76925317")</f>
        <v>76925317</v>
      </c>
      <c r="F1346" s="7" t="s">
        <v>3674</v>
      </c>
      <c r="G1346" s="7" t="s">
        <v>3631</v>
      </c>
      <c r="H1346" s="7" t="s">
        <v>3675</v>
      </c>
      <c r="I1346" s="9">
        <v>45345</v>
      </c>
    </row>
    <row r="1347" spans="1:9" x14ac:dyDescent="0.15">
      <c r="A1347" s="6">
        <v>1346</v>
      </c>
      <c r="B1347" s="7" t="s">
        <v>8</v>
      </c>
      <c r="C1347" s="8">
        <v>1887</v>
      </c>
      <c r="D1347" s="9">
        <v>45425</v>
      </c>
      <c r="E1347" s="13" t="str">
        <f>+HYPERLINK("http://trademark.i-assist.jp/data/china/image_1887th/76925363.pdf","76925363")</f>
        <v>76925363</v>
      </c>
      <c r="F1347" s="7" t="s">
        <v>3676</v>
      </c>
      <c r="G1347" s="7" t="s">
        <v>3677</v>
      </c>
      <c r="H1347" s="7" t="s">
        <v>3678</v>
      </c>
      <c r="I1347" s="9">
        <v>45345</v>
      </c>
    </row>
    <row r="1348" spans="1:9" ht="27" x14ac:dyDescent="0.15">
      <c r="A1348" s="6">
        <v>1347</v>
      </c>
      <c r="B1348" s="7" t="s">
        <v>8</v>
      </c>
      <c r="C1348" s="8">
        <v>1887</v>
      </c>
      <c r="D1348" s="9">
        <v>45425</v>
      </c>
      <c r="E1348" s="13" t="str">
        <f>+HYPERLINK("http://trademark.i-assist.jp/data/china/image_1887th/76925580.pdf","76925580")</f>
        <v>76925580</v>
      </c>
      <c r="F1348" s="7" t="s">
        <v>3679</v>
      </c>
      <c r="G1348" s="7" t="s">
        <v>3680</v>
      </c>
      <c r="H1348" s="7" t="s">
        <v>3681</v>
      </c>
      <c r="I1348" s="9">
        <v>45345</v>
      </c>
    </row>
    <row r="1349" spans="1:9" x14ac:dyDescent="0.15">
      <c r="A1349" s="6">
        <v>1348</v>
      </c>
      <c r="B1349" s="7" t="s">
        <v>8</v>
      </c>
      <c r="C1349" s="8">
        <v>1887</v>
      </c>
      <c r="D1349" s="9">
        <v>45425</v>
      </c>
      <c r="E1349" s="13" t="str">
        <f>+HYPERLINK("http://trademark.i-assist.jp/data/china/image_1887th/76925627.pdf","76925627")</f>
        <v>76925627</v>
      </c>
      <c r="F1349" s="7" t="s">
        <v>3682</v>
      </c>
      <c r="G1349" s="7" t="s">
        <v>3683</v>
      </c>
      <c r="H1349" s="7" t="s">
        <v>3684</v>
      </c>
      <c r="I1349" s="9">
        <v>45345</v>
      </c>
    </row>
    <row r="1350" spans="1:9" ht="27" x14ac:dyDescent="0.15">
      <c r="A1350" s="6">
        <v>1349</v>
      </c>
      <c r="B1350" s="7" t="s">
        <v>8</v>
      </c>
      <c r="C1350" s="8">
        <v>1887</v>
      </c>
      <c r="D1350" s="9">
        <v>45425</v>
      </c>
      <c r="E1350" s="13" t="str">
        <f>+HYPERLINK("http://trademark.i-assist.jp/data/china/image_1887th/76925766.pdf","76925766")</f>
        <v>76925766</v>
      </c>
      <c r="F1350" s="7" t="s">
        <v>3685</v>
      </c>
      <c r="G1350" s="7" t="s">
        <v>3686</v>
      </c>
      <c r="H1350" s="7" t="s">
        <v>3687</v>
      </c>
      <c r="I1350" s="9">
        <v>45345</v>
      </c>
    </row>
    <row r="1351" spans="1:9" x14ac:dyDescent="0.15">
      <c r="A1351" s="6">
        <v>1350</v>
      </c>
      <c r="B1351" s="7" t="s">
        <v>8</v>
      </c>
      <c r="C1351" s="8">
        <v>1887</v>
      </c>
      <c r="D1351" s="9">
        <v>45425</v>
      </c>
      <c r="E1351" s="13" t="str">
        <f>+HYPERLINK("http://trademark.i-assist.jp/data/china/image_1887th/76925825.pdf","76925825")</f>
        <v>76925825</v>
      </c>
      <c r="F1351" s="7" t="s">
        <v>3688</v>
      </c>
      <c r="G1351" s="7" t="s">
        <v>3689</v>
      </c>
      <c r="H1351" s="7" t="s">
        <v>3690</v>
      </c>
      <c r="I1351" s="9">
        <v>45345</v>
      </c>
    </row>
    <row r="1352" spans="1:9" x14ac:dyDescent="0.15">
      <c r="A1352" s="6">
        <v>1351</v>
      </c>
      <c r="B1352" s="7" t="s">
        <v>8</v>
      </c>
      <c r="C1352" s="8">
        <v>1887</v>
      </c>
      <c r="D1352" s="9">
        <v>45425</v>
      </c>
      <c r="E1352" s="13" t="str">
        <f>+HYPERLINK("http://trademark.i-assist.jp/data/china/image_1887th/76925863.pdf","76925863")</f>
        <v>76925863</v>
      </c>
      <c r="F1352" s="7" t="s">
        <v>3691</v>
      </c>
      <c r="G1352" s="7" t="s">
        <v>3692</v>
      </c>
      <c r="H1352" s="7" t="s">
        <v>3693</v>
      </c>
      <c r="I1352" s="9">
        <v>45345</v>
      </c>
    </row>
    <row r="1353" spans="1:9" x14ac:dyDescent="0.15">
      <c r="A1353" s="6">
        <v>1352</v>
      </c>
      <c r="B1353" s="7" t="s">
        <v>8</v>
      </c>
      <c r="C1353" s="8">
        <v>1887</v>
      </c>
      <c r="D1353" s="9">
        <v>45425</v>
      </c>
      <c r="E1353" s="13" t="str">
        <f>+HYPERLINK("http://trademark.i-assist.jp/data/china/image_1887th/76925871.pdf","76925871")</f>
        <v>76925871</v>
      </c>
      <c r="F1353" s="7" t="s">
        <v>3694</v>
      </c>
      <c r="G1353" s="7" t="s">
        <v>3695</v>
      </c>
      <c r="H1353" s="7" t="s">
        <v>3696</v>
      </c>
      <c r="I1353" s="9">
        <v>45345</v>
      </c>
    </row>
    <row r="1354" spans="1:9" x14ac:dyDescent="0.15">
      <c r="A1354" s="6">
        <v>1353</v>
      </c>
      <c r="B1354" s="7" t="s">
        <v>8</v>
      </c>
      <c r="C1354" s="8">
        <v>1887</v>
      </c>
      <c r="D1354" s="9">
        <v>45425</v>
      </c>
      <c r="E1354" s="13" t="str">
        <f>+HYPERLINK("http://trademark.i-assist.jp/data/china/image_1887th/76925918.pdf","76925918")</f>
        <v>76925918</v>
      </c>
      <c r="F1354" s="7" t="s">
        <v>3697</v>
      </c>
      <c r="G1354" s="7" t="s">
        <v>3692</v>
      </c>
      <c r="H1354" s="7" t="s">
        <v>3698</v>
      </c>
      <c r="I1354" s="9">
        <v>45345</v>
      </c>
    </row>
    <row r="1355" spans="1:9" x14ac:dyDescent="0.15">
      <c r="A1355" s="6">
        <v>1354</v>
      </c>
      <c r="B1355" s="7" t="s">
        <v>8</v>
      </c>
      <c r="C1355" s="8">
        <v>1887</v>
      </c>
      <c r="D1355" s="9">
        <v>45425</v>
      </c>
      <c r="E1355" s="13" t="str">
        <f>+HYPERLINK("http://trademark.i-assist.jp/data/china/image_1887th/76925941.pdf","76925941")</f>
        <v>76925941</v>
      </c>
      <c r="F1355" s="7" t="s">
        <v>3699</v>
      </c>
      <c r="G1355" s="7" t="s">
        <v>3700</v>
      </c>
      <c r="H1355" s="7" t="s">
        <v>3701</v>
      </c>
      <c r="I1355" s="9">
        <v>45345</v>
      </c>
    </row>
    <row r="1356" spans="1:9" x14ac:dyDescent="0.15">
      <c r="A1356" s="6">
        <v>1355</v>
      </c>
      <c r="B1356" s="7" t="s">
        <v>8</v>
      </c>
      <c r="C1356" s="8">
        <v>1887</v>
      </c>
      <c r="D1356" s="9">
        <v>45425</v>
      </c>
      <c r="E1356" s="13" t="str">
        <f>+HYPERLINK("http://trademark.i-assist.jp/data/china/image_1887th/76925954.pdf","76925954")</f>
        <v>76925954</v>
      </c>
      <c r="F1356" s="7" t="s">
        <v>3702</v>
      </c>
      <c r="G1356" s="7" t="s">
        <v>3703</v>
      </c>
      <c r="H1356" s="7" t="s">
        <v>3704</v>
      </c>
      <c r="I1356" s="9">
        <v>45345</v>
      </c>
    </row>
    <row r="1357" spans="1:9" ht="27" x14ac:dyDescent="0.15">
      <c r="A1357" s="6">
        <v>1356</v>
      </c>
      <c r="B1357" s="7" t="s">
        <v>8</v>
      </c>
      <c r="C1357" s="8">
        <v>1887</v>
      </c>
      <c r="D1357" s="9">
        <v>45425</v>
      </c>
      <c r="E1357" s="13" t="str">
        <f>+HYPERLINK("http://trademark.i-assist.jp/data/china/image_1887th/76926136.pdf","76926136")</f>
        <v>76926136</v>
      </c>
      <c r="F1357" s="7" t="s">
        <v>3705</v>
      </c>
      <c r="G1357" s="7" t="s">
        <v>3706</v>
      </c>
      <c r="H1357" s="7" t="s">
        <v>3707</v>
      </c>
      <c r="I1357" s="9">
        <v>45345</v>
      </c>
    </row>
    <row r="1358" spans="1:9" x14ac:dyDescent="0.15">
      <c r="A1358" s="6">
        <v>1357</v>
      </c>
      <c r="B1358" s="7" t="s">
        <v>8</v>
      </c>
      <c r="C1358" s="8">
        <v>1887</v>
      </c>
      <c r="D1358" s="9">
        <v>45425</v>
      </c>
      <c r="E1358" s="13" t="str">
        <f>+HYPERLINK("http://trademark.i-assist.jp/data/china/image_1887th/76926144.pdf","76926144")</f>
        <v>76926144</v>
      </c>
      <c r="F1358" s="7" t="s">
        <v>3708</v>
      </c>
      <c r="G1358" s="7" t="s">
        <v>1047</v>
      </c>
      <c r="H1358" s="7" t="s">
        <v>3709</v>
      </c>
      <c r="I1358" s="9">
        <v>45345</v>
      </c>
    </row>
    <row r="1359" spans="1:9" x14ac:dyDescent="0.15">
      <c r="A1359" s="6">
        <v>1358</v>
      </c>
      <c r="B1359" s="7" t="s">
        <v>8</v>
      </c>
      <c r="C1359" s="8">
        <v>1887</v>
      </c>
      <c r="D1359" s="9">
        <v>45425</v>
      </c>
      <c r="E1359" s="13" t="str">
        <f>+HYPERLINK("http://trademark.i-assist.jp/data/china/image_1887th/76926286.pdf","76926286")</f>
        <v>76926286</v>
      </c>
      <c r="F1359" s="7" t="s">
        <v>3710</v>
      </c>
      <c r="G1359" s="7" t="s">
        <v>3711</v>
      </c>
      <c r="H1359" s="7" t="s">
        <v>3712</v>
      </c>
      <c r="I1359" s="9">
        <v>45345</v>
      </c>
    </row>
    <row r="1360" spans="1:9" x14ac:dyDescent="0.15">
      <c r="A1360" s="6">
        <v>1359</v>
      </c>
      <c r="B1360" s="7" t="s">
        <v>8</v>
      </c>
      <c r="C1360" s="8">
        <v>1887</v>
      </c>
      <c r="D1360" s="9">
        <v>45425</v>
      </c>
      <c r="E1360" s="13" t="str">
        <f>+HYPERLINK("http://trademark.i-assist.jp/data/china/image_1887th/76926385.pdf","76926385")</f>
        <v>76926385</v>
      </c>
      <c r="F1360" s="7" t="s">
        <v>3713</v>
      </c>
      <c r="G1360" s="7" t="s">
        <v>3714</v>
      </c>
      <c r="H1360" s="7" t="s">
        <v>3715</v>
      </c>
      <c r="I1360" s="9">
        <v>45345</v>
      </c>
    </row>
    <row r="1361" spans="1:9" x14ac:dyDescent="0.15">
      <c r="A1361" s="6">
        <v>1360</v>
      </c>
      <c r="B1361" s="7" t="s">
        <v>8</v>
      </c>
      <c r="C1361" s="8">
        <v>1887</v>
      </c>
      <c r="D1361" s="9">
        <v>45425</v>
      </c>
      <c r="E1361" s="13" t="str">
        <f>+HYPERLINK("http://trademark.i-assist.jp/data/china/image_1887th/76926408.pdf","76926408")</f>
        <v>76926408</v>
      </c>
      <c r="F1361" s="7" t="s">
        <v>3716</v>
      </c>
      <c r="G1361" s="7" t="s">
        <v>3631</v>
      </c>
      <c r="H1361" s="7" t="s">
        <v>3717</v>
      </c>
      <c r="I1361" s="9">
        <v>45345</v>
      </c>
    </row>
    <row r="1362" spans="1:9" x14ac:dyDescent="0.15">
      <c r="A1362" s="6">
        <v>1361</v>
      </c>
      <c r="B1362" s="7" t="s">
        <v>8</v>
      </c>
      <c r="C1362" s="8">
        <v>1887</v>
      </c>
      <c r="D1362" s="9">
        <v>45425</v>
      </c>
      <c r="E1362" s="13" t="str">
        <f>+HYPERLINK("http://trademark.i-assist.jp/data/china/image_1887th/76926412.pdf","76926412")</f>
        <v>76926412</v>
      </c>
      <c r="F1362" s="7" t="s">
        <v>3718</v>
      </c>
      <c r="G1362" s="7" t="s">
        <v>3719</v>
      </c>
      <c r="H1362" s="7" t="s">
        <v>3720</v>
      </c>
      <c r="I1362" s="9">
        <v>45345</v>
      </c>
    </row>
    <row r="1363" spans="1:9" ht="27" x14ac:dyDescent="0.15">
      <c r="A1363" s="6">
        <v>1362</v>
      </c>
      <c r="B1363" s="7" t="s">
        <v>8</v>
      </c>
      <c r="C1363" s="8">
        <v>1887</v>
      </c>
      <c r="D1363" s="9">
        <v>45425</v>
      </c>
      <c r="E1363" s="13" t="str">
        <f>+HYPERLINK("http://trademark.i-assist.jp/data/china/image_1887th/76926419.pdf","76926419")</f>
        <v>76926419</v>
      </c>
      <c r="F1363" s="7" t="s">
        <v>3721</v>
      </c>
      <c r="G1363" s="7" t="s">
        <v>3722</v>
      </c>
      <c r="H1363" s="7" t="s">
        <v>3723</v>
      </c>
      <c r="I1363" s="9">
        <v>45345</v>
      </c>
    </row>
    <row r="1364" spans="1:9" x14ac:dyDescent="0.15">
      <c r="A1364" s="6">
        <v>1363</v>
      </c>
      <c r="B1364" s="7" t="s">
        <v>8</v>
      </c>
      <c r="C1364" s="8">
        <v>1887</v>
      </c>
      <c r="D1364" s="9">
        <v>45425</v>
      </c>
      <c r="E1364" s="13" t="str">
        <f>+HYPERLINK("http://trademark.i-assist.jp/data/china/image_1887th/76926426.pdf","76926426")</f>
        <v>76926426</v>
      </c>
      <c r="F1364" s="7" t="s">
        <v>3724</v>
      </c>
      <c r="G1364" s="7" t="s">
        <v>3725</v>
      </c>
      <c r="H1364" s="7" t="s">
        <v>3726</v>
      </c>
      <c r="I1364" s="9">
        <v>45345</v>
      </c>
    </row>
    <row r="1365" spans="1:9" x14ac:dyDescent="0.15">
      <c r="A1365" s="6">
        <v>1364</v>
      </c>
      <c r="B1365" s="7" t="s">
        <v>8</v>
      </c>
      <c r="C1365" s="8">
        <v>1887</v>
      </c>
      <c r="D1365" s="9">
        <v>45425</v>
      </c>
      <c r="E1365" s="13" t="str">
        <f>+HYPERLINK("http://trademark.i-assist.jp/data/china/image_1887th/76926447.pdf","76926447")</f>
        <v>76926447</v>
      </c>
      <c r="F1365" s="7" t="s">
        <v>3727</v>
      </c>
      <c r="G1365" s="7" t="s">
        <v>3728</v>
      </c>
      <c r="H1365" s="7" t="s">
        <v>3729</v>
      </c>
      <c r="I1365" s="9">
        <v>45345</v>
      </c>
    </row>
    <row r="1366" spans="1:9" x14ac:dyDescent="0.15">
      <c r="A1366" s="6">
        <v>1365</v>
      </c>
      <c r="B1366" s="7" t="s">
        <v>8</v>
      </c>
      <c r="C1366" s="8">
        <v>1887</v>
      </c>
      <c r="D1366" s="9">
        <v>45425</v>
      </c>
      <c r="E1366" s="13" t="str">
        <f>+HYPERLINK("http://trademark.i-assist.jp/data/china/image_1887th/76926646.pdf","76926646")</f>
        <v>76926646</v>
      </c>
      <c r="F1366" s="7" t="s">
        <v>3730</v>
      </c>
      <c r="G1366" s="7" t="s">
        <v>3731</v>
      </c>
      <c r="H1366" s="7" t="s">
        <v>3732</v>
      </c>
      <c r="I1366" s="9">
        <v>45345</v>
      </c>
    </row>
    <row r="1367" spans="1:9" ht="27" x14ac:dyDescent="0.15">
      <c r="A1367" s="6">
        <v>1366</v>
      </c>
      <c r="B1367" s="7" t="s">
        <v>8</v>
      </c>
      <c r="C1367" s="8">
        <v>1887</v>
      </c>
      <c r="D1367" s="9">
        <v>45425</v>
      </c>
      <c r="E1367" s="13" t="str">
        <f>+HYPERLINK("http://trademark.i-assist.jp/data/china/image_1887th/76926656.pdf","76926656")</f>
        <v>76926656</v>
      </c>
      <c r="F1367" s="7" t="s">
        <v>3733</v>
      </c>
      <c r="G1367" s="7" t="s">
        <v>3734</v>
      </c>
      <c r="H1367" s="7" t="s">
        <v>3735</v>
      </c>
      <c r="I1367" s="9">
        <v>45345</v>
      </c>
    </row>
    <row r="1368" spans="1:9" x14ac:dyDescent="0.15">
      <c r="A1368" s="6">
        <v>1367</v>
      </c>
      <c r="B1368" s="7" t="s">
        <v>8</v>
      </c>
      <c r="C1368" s="8">
        <v>1887</v>
      </c>
      <c r="D1368" s="9">
        <v>45425</v>
      </c>
      <c r="E1368" s="13" t="str">
        <f>+HYPERLINK("http://trademark.i-assist.jp/data/china/image_1887th/76926998.pdf","76926998")</f>
        <v>76926998</v>
      </c>
      <c r="F1368" s="7" t="s">
        <v>3736</v>
      </c>
      <c r="G1368" s="7" t="s">
        <v>1869</v>
      </c>
      <c r="H1368" s="7" t="s">
        <v>3737</v>
      </c>
      <c r="I1368" s="9">
        <v>45345</v>
      </c>
    </row>
    <row r="1369" spans="1:9" x14ac:dyDescent="0.15">
      <c r="A1369" s="6">
        <v>1368</v>
      </c>
      <c r="B1369" s="7" t="s">
        <v>8</v>
      </c>
      <c r="C1369" s="8">
        <v>1887</v>
      </c>
      <c r="D1369" s="9">
        <v>45425</v>
      </c>
      <c r="E1369" s="13" t="str">
        <f>+HYPERLINK("http://trademark.i-assist.jp/data/china/image_1887th/76927060.pdf","76927060")</f>
        <v>76927060</v>
      </c>
      <c r="F1369" s="7" t="s">
        <v>3738</v>
      </c>
      <c r="G1369" s="7" t="s">
        <v>3739</v>
      </c>
      <c r="H1369" s="7" t="s">
        <v>3740</v>
      </c>
      <c r="I1369" s="9">
        <v>45345</v>
      </c>
    </row>
    <row r="1370" spans="1:9" x14ac:dyDescent="0.15">
      <c r="A1370" s="6">
        <v>1369</v>
      </c>
      <c r="B1370" s="7" t="s">
        <v>8</v>
      </c>
      <c r="C1370" s="8">
        <v>1887</v>
      </c>
      <c r="D1370" s="9">
        <v>45425</v>
      </c>
      <c r="E1370" s="13" t="str">
        <f>+HYPERLINK("http://trademark.i-assist.jp/data/china/image_1887th/76927243.pdf","76927243")</f>
        <v>76927243</v>
      </c>
      <c r="F1370" s="7" t="s">
        <v>3741</v>
      </c>
      <c r="G1370" s="7" t="s">
        <v>3742</v>
      </c>
      <c r="H1370" s="7" t="s">
        <v>3743</v>
      </c>
      <c r="I1370" s="9">
        <v>45345</v>
      </c>
    </row>
    <row r="1371" spans="1:9" x14ac:dyDescent="0.15">
      <c r="A1371" s="6">
        <v>1370</v>
      </c>
      <c r="B1371" s="7" t="s">
        <v>8</v>
      </c>
      <c r="C1371" s="8">
        <v>1887</v>
      </c>
      <c r="D1371" s="9">
        <v>45425</v>
      </c>
      <c r="E1371" s="13" t="str">
        <f>+HYPERLINK("http://trademark.i-assist.jp/data/china/image_1887th/76927277.pdf","76927277")</f>
        <v>76927277</v>
      </c>
      <c r="F1371" s="7" t="s">
        <v>3744</v>
      </c>
      <c r="G1371" s="7" t="s">
        <v>3631</v>
      </c>
      <c r="H1371" s="7" t="s">
        <v>3745</v>
      </c>
      <c r="I1371" s="9">
        <v>45345</v>
      </c>
    </row>
    <row r="1372" spans="1:9" ht="27" x14ac:dyDescent="0.15">
      <c r="A1372" s="6">
        <v>1371</v>
      </c>
      <c r="B1372" s="7" t="s">
        <v>8</v>
      </c>
      <c r="C1372" s="8">
        <v>1887</v>
      </c>
      <c r="D1372" s="9">
        <v>45425</v>
      </c>
      <c r="E1372" s="13" t="str">
        <f>+HYPERLINK("http://trademark.i-assist.jp/data/china/image_1887th/76927347.pdf","76927347")</f>
        <v>76927347</v>
      </c>
      <c r="F1372" s="7" t="s">
        <v>3746</v>
      </c>
      <c r="G1372" s="7" t="s">
        <v>3747</v>
      </c>
      <c r="H1372" s="7" t="s">
        <v>3748</v>
      </c>
      <c r="I1372" s="9">
        <v>45345</v>
      </c>
    </row>
    <row r="1373" spans="1:9" x14ac:dyDescent="0.15">
      <c r="A1373" s="6">
        <v>1372</v>
      </c>
      <c r="B1373" s="7" t="s">
        <v>8</v>
      </c>
      <c r="C1373" s="8">
        <v>1887</v>
      </c>
      <c r="D1373" s="9">
        <v>45425</v>
      </c>
      <c r="E1373" s="13" t="str">
        <f>+HYPERLINK("http://trademark.i-assist.jp/data/china/image_1887th/76927644.pdf","76927644")</f>
        <v>76927644</v>
      </c>
      <c r="F1373" s="7" t="s">
        <v>3749</v>
      </c>
      <c r="G1373" s="7" t="s">
        <v>3750</v>
      </c>
      <c r="H1373" s="7" t="s">
        <v>3751</v>
      </c>
      <c r="I1373" s="9">
        <v>45345</v>
      </c>
    </row>
    <row r="1374" spans="1:9" x14ac:dyDescent="0.15">
      <c r="A1374" s="6">
        <v>1373</v>
      </c>
      <c r="B1374" s="7" t="s">
        <v>8</v>
      </c>
      <c r="C1374" s="8">
        <v>1887</v>
      </c>
      <c r="D1374" s="9">
        <v>45425</v>
      </c>
      <c r="E1374" s="13" t="str">
        <f>+HYPERLINK("http://trademark.i-assist.jp/data/china/image_1887th/76927726.pdf","76927726")</f>
        <v>76927726</v>
      </c>
      <c r="F1374" s="7" t="s">
        <v>54</v>
      </c>
      <c r="G1374" s="7" t="s">
        <v>3752</v>
      </c>
      <c r="H1374" s="7" t="s">
        <v>3753</v>
      </c>
      <c r="I1374" s="9">
        <v>45345</v>
      </c>
    </row>
    <row r="1375" spans="1:9" ht="27" x14ac:dyDescent="0.15">
      <c r="A1375" s="6">
        <v>1374</v>
      </c>
      <c r="B1375" s="7" t="s">
        <v>8</v>
      </c>
      <c r="C1375" s="8">
        <v>1887</v>
      </c>
      <c r="D1375" s="9">
        <v>45425</v>
      </c>
      <c r="E1375" s="13" t="str">
        <f>+HYPERLINK("http://trademark.i-assist.jp/data/china/image_1887th/76928031.pdf","76928031")</f>
        <v>76928031</v>
      </c>
      <c r="F1375" s="7" t="s">
        <v>3754</v>
      </c>
      <c r="G1375" s="7" t="s">
        <v>3755</v>
      </c>
      <c r="H1375" s="7" t="s">
        <v>3756</v>
      </c>
      <c r="I1375" s="9">
        <v>45345</v>
      </c>
    </row>
    <row r="1376" spans="1:9" x14ac:dyDescent="0.15">
      <c r="A1376" s="6">
        <v>1375</v>
      </c>
      <c r="B1376" s="7" t="s">
        <v>8</v>
      </c>
      <c r="C1376" s="8">
        <v>1887</v>
      </c>
      <c r="D1376" s="9">
        <v>45425</v>
      </c>
      <c r="E1376" s="13" t="str">
        <f>+HYPERLINK("http://trademark.i-assist.jp/data/china/image_1887th/76928118.pdf","76928118")</f>
        <v>76928118</v>
      </c>
      <c r="F1376" s="7" t="s">
        <v>3757</v>
      </c>
      <c r="G1376" s="7" t="s">
        <v>3758</v>
      </c>
      <c r="H1376" s="7" t="s">
        <v>3759</v>
      </c>
      <c r="I1376" s="9">
        <v>45345</v>
      </c>
    </row>
    <row r="1377" spans="1:9" x14ac:dyDescent="0.15">
      <c r="A1377" s="6">
        <v>1376</v>
      </c>
      <c r="B1377" s="7" t="s">
        <v>8</v>
      </c>
      <c r="C1377" s="8">
        <v>1887</v>
      </c>
      <c r="D1377" s="9">
        <v>45425</v>
      </c>
      <c r="E1377" s="13" t="str">
        <f>+HYPERLINK("http://trademark.i-assist.jp/data/china/image_1887th/76928532.pdf","76928532")</f>
        <v>76928532</v>
      </c>
      <c r="F1377" s="7" t="s">
        <v>3760</v>
      </c>
      <c r="G1377" s="7" t="s">
        <v>3761</v>
      </c>
      <c r="H1377" s="7" t="s">
        <v>3762</v>
      </c>
      <c r="I1377" s="9">
        <v>45345</v>
      </c>
    </row>
    <row r="1378" spans="1:9" x14ac:dyDescent="0.15">
      <c r="A1378" s="6">
        <v>1377</v>
      </c>
      <c r="B1378" s="7" t="s">
        <v>8</v>
      </c>
      <c r="C1378" s="8">
        <v>1887</v>
      </c>
      <c r="D1378" s="9">
        <v>45425</v>
      </c>
      <c r="E1378" s="13" t="str">
        <f>+HYPERLINK("http://trademark.i-assist.jp/data/china/image_1887th/76928604.pdf","76928604")</f>
        <v>76928604</v>
      </c>
      <c r="F1378" s="7" t="s">
        <v>3763</v>
      </c>
      <c r="G1378" s="7" t="s">
        <v>3764</v>
      </c>
      <c r="H1378" s="7" t="s">
        <v>3765</v>
      </c>
      <c r="I1378" s="9">
        <v>45345</v>
      </c>
    </row>
    <row r="1379" spans="1:9" ht="27" x14ac:dyDescent="0.15">
      <c r="A1379" s="6">
        <v>1378</v>
      </c>
      <c r="B1379" s="7" t="s">
        <v>8</v>
      </c>
      <c r="C1379" s="8">
        <v>1887</v>
      </c>
      <c r="D1379" s="9">
        <v>45425</v>
      </c>
      <c r="E1379" s="13" t="str">
        <f>+HYPERLINK("http://trademark.i-assist.jp/data/china/image_1887th/76928645.pdf","76928645")</f>
        <v>76928645</v>
      </c>
      <c r="F1379" s="7" t="s">
        <v>3766</v>
      </c>
      <c r="G1379" s="7" t="s">
        <v>3767</v>
      </c>
      <c r="H1379" s="7" t="s">
        <v>3768</v>
      </c>
      <c r="I1379" s="9">
        <v>45345</v>
      </c>
    </row>
    <row r="1380" spans="1:9" x14ac:dyDescent="0.15">
      <c r="A1380" s="6">
        <v>1379</v>
      </c>
      <c r="B1380" s="7" t="s">
        <v>8</v>
      </c>
      <c r="C1380" s="8">
        <v>1887</v>
      </c>
      <c r="D1380" s="9">
        <v>45425</v>
      </c>
      <c r="E1380" s="13" t="str">
        <f>+HYPERLINK("http://trademark.i-assist.jp/data/china/image_1887th/76929144.pdf","76929144")</f>
        <v>76929144</v>
      </c>
      <c r="F1380" s="7" t="s">
        <v>3769</v>
      </c>
      <c r="G1380" s="7" t="s">
        <v>3610</v>
      </c>
      <c r="H1380" s="7" t="s">
        <v>3770</v>
      </c>
      <c r="I1380" s="9">
        <v>45345</v>
      </c>
    </row>
    <row r="1381" spans="1:9" x14ac:dyDescent="0.15">
      <c r="A1381" s="6">
        <v>1380</v>
      </c>
      <c r="B1381" s="7" t="s">
        <v>8</v>
      </c>
      <c r="C1381" s="8">
        <v>1887</v>
      </c>
      <c r="D1381" s="9">
        <v>45425</v>
      </c>
      <c r="E1381" s="13" t="str">
        <f>+HYPERLINK("http://trademark.i-assist.jp/data/china/image_1887th/76929162.pdf","76929162")</f>
        <v>76929162</v>
      </c>
      <c r="F1381" s="7" t="s">
        <v>3771</v>
      </c>
      <c r="G1381" s="7" t="s">
        <v>3772</v>
      </c>
      <c r="H1381" s="7" t="s">
        <v>3773</v>
      </c>
      <c r="I1381" s="9">
        <v>45345</v>
      </c>
    </row>
    <row r="1382" spans="1:9" x14ac:dyDescent="0.15">
      <c r="A1382" s="6">
        <v>1381</v>
      </c>
      <c r="B1382" s="7" t="s">
        <v>8</v>
      </c>
      <c r="C1382" s="8">
        <v>1887</v>
      </c>
      <c r="D1382" s="9">
        <v>45425</v>
      </c>
      <c r="E1382" s="13" t="str">
        <f>+HYPERLINK("http://trademark.i-assist.jp/data/china/image_1887th/76929164.pdf","76929164")</f>
        <v>76929164</v>
      </c>
      <c r="F1382" s="7" t="s">
        <v>3774</v>
      </c>
      <c r="G1382" s="7" t="s">
        <v>3775</v>
      </c>
      <c r="H1382" s="7" t="s">
        <v>3776</v>
      </c>
      <c r="I1382" s="9">
        <v>45345</v>
      </c>
    </row>
    <row r="1383" spans="1:9" x14ac:dyDescent="0.15">
      <c r="A1383" s="6">
        <v>1382</v>
      </c>
      <c r="B1383" s="7" t="s">
        <v>8</v>
      </c>
      <c r="C1383" s="8">
        <v>1887</v>
      </c>
      <c r="D1383" s="9">
        <v>45425</v>
      </c>
      <c r="E1383" s="13" t="str">
        <f>+HYPERLINK("http://trademark.i-assist.jp/data/china/image_1887th/76929221.pdf","76929221")</f>
        <v>76929221</v>
      </c>
      <c r="F1383" s="7" t="s">
        <v>3777</v>
      </c>
      <c r="G1383" s="7" t="s">
        <v>863</v>
      </c>
      <c r="H1383" s="7" t="s">
        <v>3778</v>
      </c>
      <c r="I1383" s="9">
        <v>45345</v>
      </c>
    </row>
    <row r="1384" spans="1:9" x14ac:dyDescent="0.15">
      <c r="A1384" s="6">
        <v>1383</v>
      </c>
      <c r="B1384" s="7" t="s">
        <v>8</v>
      </c>
      <c r="C1384" s="8">
        <v>1887</v>
      </c>
      <c r="D1384" s="9">
        <v>45425</v>
      </c>
      <c r="E1384" s="13" t="str">
        <f>+HYPERLINK("http://trademark.i-assist.jp/data/china/image_1887th/76929249.pdf","76929249")</f>
        <v>76929249</v>
      </c>
      <c r="F1384" s="7" t="s">
        <v>3779</v>
      </c>
      <c r="G1384" s="7" t="s">
        <v>3780</v>
      </c>
      <c r="H1384" s="7" t="s">
        <v>3781</v>
      </c>
      <c r="I1384" s="9">
        <v>45345</v>
      </c>
    </row>
    <row r="1385" spans="1:9" x14ac:dyDescent="0.15">
      <c r="A1385" s="6">
        <v>1384</v>
      </c>
      <c r="B1385" s="7" t="s">
        <v>8</v>
      </c>
      <c r="C1385" s="8">
        <v>1887</v>
      </c>
      <c r="D1385" s="9">
        <v>45425</v>
      </c>
      <c r="E1385" s="13" t="str">
        <f>+HYPERLINK("http://trademark.i-assist.jp/data/china/image_1887th/76929349.pdf","76929349")</f>
        <v>76929349</v>
      </c>
      <c r="F1385" s="7" t="s">
        <v>3782</v>
      </c>
      <c r="G1385" s="7" t="s">
        <v>3783</v>
      </c>
      <c r="H1385" s="7" t="s">
        <v>3784</v>
      </c>
      <c r="I1385" s="9">
        <v>45345</v>
      </c>
    </row>
    <row r="1386" spans="1:9" x14ac:dyDescent="0.15">
      <c r="A1386" s="6">
        <v>1385</v>
      </c>
      <c r="B1386" s="7" t="s">
        <v>8</v>
      </c>
      <c r="C1386" s="8">
        <v>1887</v>
      </c>
      <c r="D1386" s="9">
        <v>45425</v>
      </c>
      <c r="E1386" s="13" t="str">
        <f>+HYPERLINK("http://trademark.i-assist.jp/data/china/image_1887th/76929651.pdf","76929651")</f>
        <v>76929651</v>
      </c>
      <c r="F1386" s="7" t="s">
        <v>3785</v>
      </c>
      <c r="G1386" s="7" t="s">
        <v>3786</v>
      </c>
      <c r="H1386" s="7" t="s">
        <v>3787</v>
      </c>
      <c r="I1386" s="9">
        <v>45345</v>
      </c>
    </row>
    <row r="1387" spans="1:9" x14ac:dyDescent="0.15">
      <c r="A1387" s="6">
        <v>1386</v>
      </c>
      <c r="B1387" s="7" t="s">
        <v>8</v>
      </c>
      <c r="C1387" s="8">
        <v>1887</v>
      </c>
      <c r="D1387" s="9">
        <v>45425</v>
      </c>
      <c r="E1387" s="13" t="str">
        <f>+HYPERLINK("http://trademark.i-assist.jp/data/china/image_1887th/76929667.pdf","76929667")</f>
        <v>76929667</v>
      </c>
      <c r="F1387" s="7" t="s">
        <v>3788</v>
      </c>
      <c r="G1387" s="7" t="s">
        <v>3789</v>
      </c>
      <c r="H1387" s="7" t="s">
        <v>3790</v>
      </c>
      <c r="I1387" s="9">
        <v>45345</v>
      </c>
    </row>
    <row r="1388" spans="1:9" x14ac:dyDescent="0.15">
      <c r="A1388" s="6">
        <v>1387</v>
      </c>
      <c r="B1388" s="7" t="s">
        <v>8</v>
      </c>
      <c r="C1388" s="8">
        <v>1887</v>
      </c>
      <c r="D1388" s="9">
        <v>45425</v>
      </c>
      <c r="E1388" s="13" t="str">
        <f>+HYPERLINK("http://trademark.i-assist.jp/data/china/image_1887th/76929845.pdf","76929845")</f>
        <v>76929845</v>
      </c>
      <c r="F1388" s="7" t="s">
        <v>3791</v>
      </c>
      <c r="G1388" s="7" t="s">
        <v>3711</v>
      </c>
      <c r="H1388" s="7" t="s">
        <v>3792</v>
      </c>
      <c r="I1388" s="9">
        <v>45345</v>
      </c>
    </row>
    <row r="1389" spans="1:9" x14ac:dyDescent="0.15">
      <c r="A1389" s="6">
        <v>1388</v>
      </c>
      <c r="B1389" s="7" t="s">
        <v>8</v>
      </c>
      <c r="C1389" s="8">
        <v>1887</v>
      </c>
      <c r="D1389" s="9">
        <v>45425</v>
      </c>
      <c r="E1389" s="13" t="str">
        <f>+HYPERLINK("http://trademark.i-assist.jp/data/china/image_1887th/76929869.pdf","76929869")</f>
        <v>76929869</v>
      </c>
      <c r="F1389" s="7" t="s">
        <v>3793</v>
      </c>
      <c r="G1389" s="7" t="s">
        <v>3711</v>
      </c>
      <c r="H1389" s="7" t="s">
        <v>3794</v>
      </c>
      <c r="I1389" s="9">
        <v>45345</v>
      </c>
    </row>
    <row r="1390" spans="1:9" x14ac:dyDescent="0.15">
      <c r="A1390" s="6">
        <v>1389</v>
      </c>
      <c r="B1390" s="7" t="s">
        <v>8</v>
      </c>
      <c r="C1390" s="8">
        <v>1887</v>
      </c>
      <c r="D1390" s="9">
        <v>45425</v>
      </c>
      <c r="E1390" s="13" t="str">
        <f>+HYPERLINK("http://trademark.i-assist.jp/data/china/image_1887th/76929881.pdf","76929881")</f>
        <v>76929881</v>
      </c>
      <c r="F1390" s="7" t="s">
        <v>3795</v>
      </c>
      <c r="G1390" s="7" t="s">
        <v>3796</v>
      </c>
      <c r="H1390" s="7" t="s">
        <v>3797</v>
      </c>
      <c r="I1390" s="9">
        <v>45345</v>
      </c>
    </row>
    <row r="1391" spans="1:9" x14ac:dyDescent="0.15">
      <c r="A1391" s="6">
        <v>1390</v>
      </c>
      <c r="B1391" s="7" t="s">
        <v>8</v>
      </c>
      <c r="C1391" s="8">
        <v>1887</v>
      </c>
      <c r="D1391" s="9">
        <v>45425</v>
      </c>
      <c r="E1391" s="13" t="str">
        <f>+HYPERLINK("http://trademark.i-assist.jp/data/china/image_1887th/76930353.pdf","76930353")</f>
        <v>76930353</v>
      </c>
      <c r="F1391" s="7" t="s">
        <v>3798</v>
      </c>
      <c r="G1391" s="7" t="s">
        <v>3799</v>
      </c>
      <c r="H1391" s="7" t="s">
        <v>3800</v>
      </c>
      <c r="I1391" s="9">
        <v>45345</v>
      </c>
    </row>
    <row r="1392" spans="1:9" x14ac:dyDescent="0.15">
      <c r="A1392" s="6">
        <v>1391</v>
      </c>
      <c r="B1392" s="7" t="s">
        <v>8</v>
      </c>
      <c r="C1392" s="8">
        <v>1887</v>
      </c>
      <c r="D1392" s="9">
        <v>45425</v>
      </c>
      <c r="E1392" s="13" t="str">
        <f>+HYPERLINK("http://trademark.i-assist.jp/data/china/image_1887th/76930426.pdf","76930426")</f>
        <v>76930426</v>
      </c>
      <c r="F1392" s="7" t="s">
        <v>3801</v>
      </c>
      <c r="G1392" s="7" t="s">
        <v>3683</v>
      </c>
      <c r="H1392" s="7" t="s">
        <v>3802</v>
      </c>
      <c r="I1392" s="9">
        <v>45345</v>
      </c>
    </row>
    <row r="1393" spans="1:9" x14ac:dyDescent="0.15">
      <c r="A1393" s="6">
        <v>1392</v>
      </c>
      <c r="B1393" s="7" t="s">
        <v>8</v>
      </c>
      <c r="C1393" s="8">
        <v>1887</v>
      </c>
      <c r="D1393" s="9">
        <v>45425</v>
      </c>
      <c r="E1393" s="13" t="str">
        <f>+HYPERLINK("http://trademark.i-assist.jp/data/china/image_1887th/76930471.pdf","76930471")</f>
        <v>76930471</v>
      </c>
      <c r="F1393" s="7" t="s">
        <v>3803</v>
      </c>
      <c r="G1393" s="7" t="s">
        <v>3631</v>
      </c>
      <c r="H1393" s="7" t="s">
        <v>3804</v>
      </c>
      <c r="I1393" s="9">
        <v>45345</v>
      </c>
    </row>
    <row r="1394" spans="1:9" x14ac:dyDescent="0.15">
      <c r="A1394" s="6">
        <v>1393</v>
      </c>
      <c r="B1394" s="7" t="s">
        <v>8</v>
      </c>
      <c r="C1394" s="8">
        <v>1887</v>
      </c>
      <c r="D1394" s="9">
        <v>45425</v>
      </c>
      <c r="E1394" s="13" t="str">
        <f>+HYPERLINK("http://trademark.i-assist.jp/data/china/image_1887th/76930708.pdf","76930708")</f>
        <v>76930708</v>
      </c>
      <c r="F1394" s="7" t="s">
        <v>3805</v>
      </c>
      <c r="G1394" s="7" t="s">
        <v>3692</v>
      </c>
      <c r="H1394" s="7" t="s">
        <v>3806</v>
      </c>
      <c r="I1394" s="9">
        <v>45345</v>
      </c>
    </row>
    <row r="1395" spans="1:9" ht="27" x14ac:dyDescent="0.15">
      <c r="A1395" s="6">
        <v>1394</v>
      </c>
      <c r="B1395" s="7" t="s">
        <v>8</v>
      </c>
      <c r="C1395" s="8">
        <v>1887</v>
      </c>
      <c r="D1395" s="9">
        <v>45425</v>
      </c>
      <c r="E1395" s="13" t="str">
        <f>+HYPERLINK("http://trademark.i-assist.jp/data/china/image_1887th/76930746.pdf","76930746")</f>
        <v>76930746</v>
      </c>
      <c r="F1395" s="7" t="s">
        <v>3807</v>
      </c>
      <c r="G1395" s="7" t="s">
        <v>3663</v>
      </c>
      <c r="H1395" s="7" t="s">
        <v>3808</v>
      </c>
      <c r="I1395" s="9">
        <v>45345</v>
      </c>
    </row>
    <row r="1396" spans="1:9" x14ac:dyDescent="0.15">
      <c r="A1396" s="6">
        <v>1395</v>
      </c>
      <c r="B1396" s="7" t="s">
        <v>8</v>
      </c>
      <c r="C1396" s="8">
        <v>1887</v>
      </c>
      <c r="D1396" s="9">
        <v>45425</v>
      </c>
      <c r="E1396" s="13" t="str">
        <f>+HYPERLINK("http://trademark.i-assist.jp/data/china/image_1887th/76931102.pdf","76931102")</f>
        <v>76931102</v>
      </c>
      <c r="F1396" s="7" t="s">
        <v>3809</v>
      </c>
      <c r="G1396" s="7" t="s">
        <v>3810</v>
      </c>
      <c r="H1396" s="7" t="s">
        <v>3811</v>
      </c>
      <c r="I1396" s="9">
        <v>45345</v>
      </c>
    </row>
    <row r="1397" spans="1:9" ht="27" x14ac:dyDescent="0.15">
      <c r="A1397" s="6">
        <v>1396</v>
      </c>
      <c r="B1397" s="7" t="s">
        <v>8</v>
      </c>
      <c r="C1397" s="8">
        <v>1887</v>
      </c>
      <c r="D1397" s="9">
        <v>45425</v>
      </c>
      <c r="E1397" s="13" t="str">
        <f>+HYPERLINK("http://trademark.i-assist.jp/data/china/image_1887th/76931321.pdf","76931321")</f>
        <v>76931321</v>
      </c>
      <c r="F1397" s="7" t="s">
        <v>3812</v>
      </c>
      <c r="G1397" s="7" t="s">
        <v>3547</v>
      </c>
      <c r="H1397" s="7" t="s">
        <v>3813</v>
      </c>
      <c r="I1397" s="9">
        <v>45345</v>
      </c>
    </row>
    <row r="1398" spans="1:9" ht="27" x14ac:dyDescent="0.15">
      <c r="A1398" s="6">
        <v>1397</v>
      </c>
      <c r="B1398" s="7" t="s">
        <v>8</v>
      </c>
      <c r="C1398" s="8">
        <v>1887</v>
      </c>
      <c r="D1398" s="9">
        <v>45425</v>
      </c>
      <c r="E1398" s="13" t="str">
        <f>+HYPERLINK("http://trademark.i-assist.jp/data/china/image_1887th/76931413.pdf","76931413")</f>
        <v>76931413</v>
      </c>
      <c r="F1398" s="7" t="s">
        <v>3814</v>
      </c>
      <c r="G1398" s="7" t="s">
        <v>3815</v>
      </c>
      <c r="H1398" s="7" t="s">
        <v>3816</v>
      </c>
      <c r="I1398" s="9">
        <v>45345</v>
      </c>
    </row>
    <row r="1399" spans="1:9" x14ac:dyDescent="0.15">
      <c r="A1399" s="6">
        <v>1398</v>
      </c>
      <c r="B1399" s="7" t="s">
        <v>8</v>
      </c>
      <c r="C1399" s="8">
        <v>1887</v>
      </c>
      <c r="D1399" s="9">
        <v>45425</v>
      </c>
      <c r="E1399" s="13" t="str">
        <f>+HYPERLINK("http://trademark.i-assist.jp/data/china/image_1887th/76931424.pdf","76931424")</f>
        <v>76931424</v>
      </c>
      <c r="F1399" s="7" t="s">
        <v>3817</v>
      </c>
      <c r="G1399" s="7" t="s">
        <v>3818</v>
      </c>
      <c r="H1399" s="7" t="s">
        <v>3819</v>
      </c>
      <c r="I1399" s="9">
        <v>45345</v>
      </c>
    </row>
    <row r="1400" spans="1:9" x14ac:dyDescent="0.15">
      <c r="A1400" s="6">
        <v>1399</v>
      </c>
      <c r="B1400" s="7" t="s">
        <v>8</v>
      </c>
      <c r="C1400" s="8">
        <v>1887</v>
      </c>
      <c r="D1400" s="9">
        <v>45425</v>
      </c>
      <c r="E1400" s="13" t="str">
        <f>+HYPERLINK("http://trademark.i-assist.jp/data/china/image_1887th/76931446.pdf","76931446")</f>
        <v>76931446</v>
      </c>
      <c r="F1400" s="7" t="s">
        <v>54</v>
      </c>
      <c r="G1400" s="7" t="s">
        <v>3820</v>
      </c>
      <c r="H1400" s="7" t="s">
        <v>3821</v>
      </c>
      <c r="I1400" s="9">
        <v>45345</v>
      </c>
    </row>
    <row r="1401" spans="1:9" x14ac:dyDescent="0.15">
      <c r="A1401" s="6">
        <v>1400</v>
      </c>
      <c r="B1401" s="7" t="s">
        <v>8</v>
      </c>
      <c r="C1401" s="8">
        <v>1887</v>
      </c>
      <c r="D1401" s="9">
        <v>45425</v>
      </c>
      <c r="E1401" s="13" t="str">
        <f>+HYPERLINK("http://trademark.i-assist.jp/data/china/image_1887th/76931971.pdf","76931971")</f>
        <v>76931971</v>
      </c>
      <c r="F1401" s="7" t="s">
        <v>3822</v>
      </c>
      <c r="G1401" s="7" t="s">
        <v>3823</v>
      </c>
      <c r="H1401" s="7" t="s">
        <v>3824</v>
      </c>
      <c r="I1401" s="9">
        <v>45345</v>
      </c>
    </row>
    <row r="1402" spans="1:9" x14ac:dyDescent="0.15">
      <c r="A1402" s="6">
        <v>1401</v>
      </c>
      <c r="B1402" s="7" t="s">
        <v>8</v>
      </c>
      <c r="C1402" s="8">
        <v>1887</v>
      </c>
      <c r="D1402" s="9">
        <v>45425</v>
      </c>
      <c r="E1402" s="13" t="str">
        <f>+HYPERLINK("http://trademark.i-assist.jp/data/china/image_1887th/76932108.pdf","76932108")</f>
        <v>76932108</v>
      </c>
      <c r="F1402" s="7" t="s">
        <v>3825</v>
      </c>
      <c r="G1402" s="7" t="s">
        <v>3826</v>
      </c>
      <c r="H1402" s="7" t="s">
        <v>3827</v>
      </c>
      <c r="I1402" s="9">
        <v>45345</v>
      </c>
    </row>
    <row r="1403" spans="1:9" x14ac:dyDescent="0.15">
      <c r="A1403" s="6">
        <v>1402</v>
      </c>
      <c r="B1403" s="7" t="s">
        <v>8</v>
      </c>
      <c r="C1403" s="8">
        <v>1887</v>
      </c>
      <c r="D1403" s="9">
        <v>45425</v>
      </c>
      <c r="E1403" s="13" t="str">
        <f>+HYPERLINK("http://trademark.i-assist.jp/data/china/image_1887th/76932177.pdf","76932177")</f>
        <v>76932177</v>
      </c>
      <c r="F1403" s="7" t="s">
        <v>3828</v>
      </c>
      <c r="G1403" s="7" t="s">
        <v>3535</v>
      </c>
      <c r="H1403" s="7" t="s">
        <v>3829</v>
      </c>
      <c r="I1403" s="9">
        <v>45345</v>
      </c>
    </row>
    <row r="1404" spans="1:9" x14ac:dyDescent="0.15">
      <c r="A1404" s="6">
        <v>1403</v>
      </c>
      <c r="B1404" s="7" t="s">
        <v>8</v>
      </c>
      <c r="C1404" s="8">
        <v>1887</v>
      </c>
      <c r="D1404" s="9">
        <v>45425</v>
      </c>
      <c r="E1404" s="13" t="str">
        <f>+HYPERLINK("http://trademark.i-assist.jp/data/china/image_1887th/76932279.pdf","76932279")</f>
        <v>76932279</v>
      </c>
      <c r="F1404" s="7" t="s">
        <v>3830</v>
      </c>
      <c r="G1404" s="7" t="s">
        <v>3831</v>
      </c>
      <c r="H1404" s="7" t="s">
        <v>3832</v>
      </c>
      <c r="I1404" s="9">
        <v>45345</v>
      </c>
    </row>
    <row r="1405" spans="1:9" x14ac:dyDescent="0.15">
      <c r="A1405" s="6">
        <v>1404</v>
      </c>
      <c r="B1405" s="7" t="s">
        <v>8</v>
      </c>
      <c r="C1405" s="8">
        <v>1887</v>
      </c>
      <c r="D1405" s="9">
        <v>45425</v>
      </c>
      <c r="E1405" s="13" t="str">
        <f>+HYPERLINK("http://trademark.i-assist.jp/data/china/image_1887th/76932320.pdf","76932320")</f>
        <v>76932320</v>
      </c>
      <c r="F1405" s="7" t="s">
        <v>3833</v>
      </c>
      <c r="G1405" s="7" t="s">
        <v>3553</v>
      </c>
      <c r="H1405" s="7" t="s">
        <v>3834</v>
      </c>
      <c r="I1405" s="9">
        <v>45345</v>
      </c>
    </row>
    <row r="1406" spans="1:9" x14ac:dyDescent="0.15">
      <c r="A1406" s="6">
        <v>1405</v>
      </c>
      <c r="B1406" s="7" t="s">
        <v>8</v>
      </c>
      <c r="C1406" s="8">
        <v>1887</v>
      </c>
      <c r="D1406" s="9">
        <v>45425</v>
      </c>
      <c r="E1406" s="13" t="str">
        <f>+HYPERLINK("http://trademark.i-assist.jp/data/china/image_1887th/76932447.pdf","76932447")</f>
        <v>76932447</v>
      </c>
      <c r="F1406" s="7" t="s">
        <v>3727</v>
      </c>
      <c r="G1406" s="7" t="s">
        <v>3728</v>
      </c>
      <c r="H1406" s="7" t="s">
        <v>3835</v>
      </c>
      <c r="I1406" s="9">
        <v>45345</v>
      </c>
    </row>
    <row r="1407" spans="1:9" x14ac:dyDescent="0.15">
      <c r="A1407" s="6">
        <v>1406</v>
      </c>
      <c r="B1407" s="7" t="s">
        <v>8</v>
      </c>
      <c r="C1407" s="8">
        <v>1887</v>
      </c>
      <c r="D1407" s="9">
        <v>45425</v>
      </c>
      <c r="E1407" s="13" t="str">
        <f>+HYPERLINK("http://trademark.i-assist.jp/data/china/image_1887th/76932726.pdf","76932726")</f>
        <v>76932726</v>
      </c>
      <c r="F1407" s="7" t="s">
        <v>3836</v>
      </c>
      <c r="G1407" s="7" t="s">
        <v>3837</v>
      </c>
      <c r="H1407" s="7" t="s">
        <v>3838</v>
      </c>
      <c r="I1407" s="9">
        <v>45345</v>
      </c>
    </row>
    <row r="1408" spans="1:9" ht="27" x14ac:dyDescent="0.15">
      <c r="A1408" s="6">
        <v>1407</v>
      </c>
      <c r="B1408" s="7" t="s">
        <v>8</v>
      </c>
      <c r="C1408" s="8">
        <v>1887</v>
      </c>
      <c r="D1408" s="9">
        <v>45425</v>
      </c>
      <c r="E1408" s="13" t="str">
        <f>+HYPERLINK("http://trademark.i-assist.jp/data/china/image_1887th/76932918.pdf","76932918")</f>
        <v>76932918</v>
      </c>
      <c r="F1408" s="7" t="s">
        <v>3839</v>
      </c>
      <c r="G1408" s="7" t="s">
        <v>3840</v>
      </c>
      <c r="H1408" s="7" t="s">
        <v>3841</v>
      </c>
      <c r="I1408" s="9">
        <v>45345</v>
      </c>
    </row>
    <row r="1409" spans="1:9" x14ac:dyDescent="0.15">
      <c r="A1409" s="6">
        <v>1408</v>
      </c>
      <c r="B1409" s="7" t="s">
        <v>8</v>
      </c>
      <c r="C1409" s="8">
        <v>1887</v>
      </c>
      <c r="D1409" s="9">
        <v>45425</v>
      </c>
      <c r="E1409" s="13" t="str">
        <f>+HYPERLINK("http://trademark.i-assist.jp/data/china/image_1887th/76932958.pdf","76932958")</f>
        <v>76932958</v>
      </c>
      <c r="F1409" s="7" t="s">
        <v>3842</v>
      </c>
      <c r="G1409" s="7" t="s">
        <v>3843</v>
      </c>
      <c r="H1409" s="7" t="s">
        <v>3844</v>
      </c>
      <c r="I1409" s="9">
        <v>45345</v>
      </c>
    </row>
    <row r="1410" spans="1:9" ht="27" x14ac:dyDescent="0.15">
      <c r="A1410" s="6">
        <v>1409</v>
      </c>
      <c r="B1410" s="7" t="s">
        <v>8</v>
      </c>
      <c r="C1410" s="8">
        <v>1887</v>
      </c>
      <c r="D1410" s="9">
        <v>45425</v>
      </c>
      <c r="E1410" s="13" t="str">
        <f>+HYPERLINK("http://trademark.i-assist.jp/data/china/image_1887th/76932964.pdf","76932964")</f>
        <v>76932964</v>
      </c>
      <c r="F1410" s="7" t="s">
        <v>3845</v>
      </c>
      <c r="G1410" s="7" t="s">
        <v>3547</v>
      </c>
      <c r="H1410" s="7" t="s">
        <v>3846</v>
      </c>
      <c r="I1410" s="9">
        <v>45345</v>
      </c>
    </row>
    <row r="1411" spans="1:9" ht="27" x14ac:dyDescent="0.15">
      <c r="A1411" s="6">
        <v>1410</v>
      </c>
      <c r="B1411" s="7" t="s">
        <v>8</v>
      </c>
      <c r="C1411" s="8">
        <v>1887</v>
      </c>
      <c r="D1411" s="9">
        <v>45425</v>
      </c>
      <c r="E1411" s="13" t="str">
        <f>+HYPERLINK("http://trademark.i-assist.jp/data/china/image_1887th/76932976.pdf","76932976")</f>
        <v>76932976</v>
      </c>
      <c r="F1411" s="7" t="s">
        <v>3847</v>
      </c>
      <c r="G1411" s="7" t="s">
        <v>3547</v>
      </c>
      <c r="H1411" s="7" t="s">
        <v>3848</v>
      </c>
      <c r="I1411" s="9">
        <v>45345</v>
      </c>
    </row>
    <row r="1412" spans="1:9" x14ac:dyDescent="0.15">
      <c r="A1412" s="6">
        <v>1411</v>
      </c>
      <c r="B1412" s="7" t="s">
        <v>8</v>
      </c>
      <c r="C1412" s="8">
        <v>1887</v>
      </c>
      <c r="D1412" s="9">
        <v>45425</v>
      </c>
      <c r="E1412" s="13" t="str">
        <f>+HYPERLINK("http://trademark.i-assist.jp/data/china/image_1887th/76933023.pdf","76933023")</f>
        <v>76933023</v>
      </c>
      <c r="F1412" s="7" t="s">
        <v>3849</v>
      </c>
      <c r="G1412" s="7" t="s">
        <v>3850</v>
      </c>
      <c r="H1412" s="7" t="s">
        <v>3851</v>
      </c>
      <c r="I1412" s="9">
        <v>45345</v>
      </c>
    </row>
    <row r="1413" spans="1:9" ht="27" x14ac:dyDescent="0.15">
      <c r="A1413" s="6">
        <v>1412</v>
      </c>
      <c r="B1413" s="7" t="s">
        <v>8</v>
      </c>
      <c r="C1413" s="8">
        <v>1887</v>
      </c>
      <c r="D1413" s="9">
        <v>45425</v>
      </c>
      <c r="E1413" s="13" t="str">
        <f>+HYPERLINK("http://trademark.i-assist.jp/data/china/image_1887th/76933049.pdf","76933049")</f>
        <v>76933049</v>
      </c>
      <c r="F1413" s="7" t="s">
        <v>3852</v>
      </c>
      <c r="G1413" s="7" t="s">
        <v>3853</v>
      </c>
      <c r="H1413" s="7" t="s">
        <v>3854</v>
      </c>
      <c r="I1413" s="9">
        <v>45345</v>
      </c>
    </row>
    <row r="1414" spans="1:9" x14ac:dyDescent="0.15">
      <c r="A1414" s="6">
        <v>1413</v>
      </c>
      <c r="B1414" s="7" t="s">
        <v>8</v>
      </c>
      <c r="C1414" s="8">
        <v>1887</v>
      </c>
      <c r="D1414" s="9">
        <v>45425</v>
      </c>
      <c r="E1414" s="13" t="str">
        <f>+HYPERLINK("http://trademark.i-assist.jp/data/china/image_1887th/76933157.pdf","76933157")</f>
        <v>76933157</v>
      </c>
      <c r="F1414" s="7" t="s">
        <v>3855</v>
      </c>
      <c r="G1414" s="7" t="s">
        <v>3856</v>
      </c>
      <c r="H1414" s="7" t="s">
        <v>3857</v>
      </c>
      <c r="I1414" s="9">
        <v>45345</v>
      </c>
    </row>
    <row r="1415" spans="1:9" x14ac:dyDescent="0.15">
      <c r="A1415" s="6">
        <v>1414</v>
      </c>
      <c r="B1415" s="7" t="s">
        <v>8</v>
      </c>
      <c r="C1415" s="8">
        <v>1887</v>
      </c>
      <c r="D1415" s="9">
        <v>45425</v>
      </c>
      <c r="E1415" s="13" t="str">
        <f>+HYPERLINK("http://trademark.i-assist.jp/data/china/image_1887th/76933298.pdf","76933298")</f>
        <v>76933298</v>
      </c>
      <c r="F1415" s="7" t="s">
        <v>3858</v>
      </c>
      <c r="G1415" s="7" t="s">
        <v>3859</v>
      </c>
      <c r="H1415" s="7" t="s">
        <v>3860</v>
      </c>
      <c r="I1415" s="9">
        <v>45345</v>
      </c>
    </row>
    <row r="1416" spans="1:9" x14ac:dyDescent="0.15">
      <c r="A1416" s="6">
        <v>1415</v>
      </c>
      <c r="B1416" s="7" t="s">
        <v>8</v>
      </c>
      <c r="C1416" s="8">
        <v>1887</v>
      </c>
      <c r="D1416" s="9">
        <v>45425</v>
      </c>
      <c r="E1416" s="13" t="str">
        <f>+HYPERLINK("http://trademark.i-assist.jp/data/china/image_1887th/76933482.pdf","76933482")</f>
        <v>76933482</v>
      </c>
      <c r="F1416" s="7" t="s">
        <v>3861</v>
      </c>
      <c r="G1416" s="7" t="s">
        <v>3578</v>
      </c>
      <c r="H1416" s="7" t="s">
        <v>3862</v>
      </c>
      <c r="I1416" s="9">
        <v>45345</v>
      </c>
    </row>
    <row r="1417" spans="1:9" x14ac:dyDescent="0.15">
      <c r="A1417" s="6">
        <v>1416</v>
      </c>
      <c r="B1417" s="7" t="s">
        <v>8</v>
      </c>
      <c r="C1417" s="8">
        <v>1887</v>
      </c>
      <c r="D1417" s="9">
        <v>45425</v>
      </c>
      <c r="E1417" s="13" t="str">
        <f>+HYPERLINK("http://trademark.i-assist.jp/data/china/image_1887th/76933745.pdf","76933745")</f>
        <v>76933745</v>
      </c>
      <c r="F1417" s="7" t="s">
        <v>3863</v>
      </c>
      <c r="G1417" s="7" t="s">
        <v>3864</v>
      </c>
      <c r="H1417" s="7" t="s">
        <v>3865</v>
      </c>
      <c r="I1417" s="9">
        <v>45345</v>
      </c>
    </row>
    <row r="1418" spans="1:9" x14ac:dyDescent="0.15">
      <c r="A1418" s="6">
        <v>1417</v>
      </c>
      <c r="B1418" s="7" t="s">
        <v>8</v>
      </c>
      <c r="C1418" s="8">
        <v>1887</v>
      </c>
      <c r="D1418" s="9">
        <v>45425</v>
      </c>
      <c r="E1418" s="13" t="str">
        <f>+HYPERLINK("http://trademark.i-assist.jp/data/china/image_1887th/76933984.pdf","76933984")</f>
        <v>76933984</v>
      </c>
      <c r="F1418" s="7" t="s">
        <v>3866</v>
      </c>
      <c r="G1418" s="7" t="s">
        <v>3867</v>
      </c>
      <c r="H1418" s="7" t="s">
        <v>3868</v>
      </c>
      <c r="I1418" s="9">
        <v>45345</v>
      </c>
    </row>
    <row r="1419" spans="1:9" x14ac:dyDescent="0.15">
      <c r="A1419" s="6">
        <v>1418</v>
      </c>
      <c r="B1419" s="7" t="s">
        <v>8</v>
      </c>
      <c r="C1419" s="8">
        <v>1887</v>
      </c>
      <c r="D1419" s="9">
        <v>45425</v>
      </c>
      <c r="E1419" s="13" t="str">
        <f>+HYPERLINK("http://trademark.i-assist.jp/data/china/image_1887th/76933996.pdf","76933996")</f>
        <v>76933996</v>
      </c>
      <c r="F1419" s="7" t="s">
        <v>3869</v>
      </c>
      <c r="G1419" s="7" t="s">
        <v>3870</v>
      </c>
      <c r="H1419" s="7" t="s">
        <v>3871</v>
      </c>
      <c r="I1419" s="9">
        <v>45345</v>
      </c>
    </row>
    <row r="1420" spans="1:9" x14ac:dyDescent="0.15">
      <c r="A1420" s="6">
        <v>1419</v>
      </c>
      <c r="B1420" s="7" t="s">
        <v>8</v>
      </c>
      <c r="C1420" s="8">
        <v>1887</v>
      </c>
      <c r="D1420" s="9">
        <v>45425</v>
      </c>
      <c r="E1420" s="13" t="str">
        <f>+HYPERLINK("http://trademark.i-assist.jp/data/china/image_1887th/76934152.pdf","76934152")</f>
        <v>76934152</v>
      </c>
      <c r="F1420" s="7" t="s">
        <v>3872</v>
      </c>
      <c r="G1420" s="7" t="s">
        <v>3739</v>
      </c>
      <c r="H1420" s="7" t="s">
        <v>3873</v>
      </c>
      <c r="I1420" s="9">
        <v>45345</v>
      </c>
    </row>
    <row r="1421" spans="1:9" x14ac:dyDescent="0.15">
      <c r="A1421" s="6">
        <v>1420</v>
      </c>
      <c r="B1421" s="7" t="s">
        <v>8</v>
      </c>
      <c r="C1421" s="8">
        <v>1887</v>
      </c>
      <c r="D1421" s="9">
        <v>45425</v>
      </c>
      <c r="E1421" s="13" t="str">
        <f>+HYPERLINK("http://trademark.i-assist.jp/data/china/image_1887th/76934180.pdf","76934180")</f>
        <v>76934180</v>
      </c>
      <c r="F1421" s="7" t="s">
        <v>3874</v>
      </c>
      <c r="G1421" s="7" t="s">
        <v>3544</v>
      </c>
      <c r="H1421" s="7" t="s">
        <v>3875</v>
      </c>
      <c r="I1421" s="9">
        <v>45345</v>
      </c>
    </row>
    <row r="1422" spans="1:9" x14ac:dyDescent="0.15">
      <c r="A1422" s="6">
        <v>1421</v>
      </c>
      <c r="B1422" s="7" t="s">
        <v>8</v>
      </c>
      <c r="C1422" s="8">
        <v>1887</v>
      </c>
      <c r="D1422" s="9">
        <v>45425</v>
      </c>
      <c r="E1422" s="13" t="str">
        <f>+HYPERLINK("http://trademark.i-assist.jp/data/china/image_1887th/76934707.pdf","76934707")</f>
        <v>76934707</v>
      </c>
      <c r="F1422" s="7" t="s">
        <v>3876</v>
      </c>
      <c r="G1422" s="7" t="s">
        <v>3711</v>
      </c>
      <c r="H1422" s="7" t="s">
        <v>3877</v>
      </c>
      <c r="I1422" s="9">
        <v>45345</v>
      </c>
    </row>
    <row r="1423" spans="1:9" x14ac:dyDescent="0.15">
      <c r="A1423" s="6">
        <v>1422</v>
      </c>
      <c r="B1423" s="7" t="s">
        <v>8</v>
      </c>
      <c r="C1423" s="8">
        <v>1887</v>
      </c>
      <c r="D1423" s="9">
        <v>45425</v>
      </c>
      <c r="E1423" s="13" t="str">
        <f>+HYPERLINK("http://trademark.i-assist.jp/data/china/image_1887th/76934709.pdf","76934709")</f>
        <v>76934709</v>
      </c>
      <c r="F1423" s="7" t="s">
        <v>3878</v>
      </c>
      <c r="G1423" s="7" t="s">
        <v>3879</v>
      </c>
      <c r="H1423" s="7" t="s">
        <v>3880</v>
      </c>
      <c r="I1423" s="9">
        <v>45345</v>
      </c>
    </row>
    <row r="1424" spans="1:9" ht="27" x14ac:dyDescent="0.15">
      <c r="A1424" s="6">
        <v>1423</v>
      </c>
      <c r="B1424" s="7" t="s">
        <v>8</v>
      </c>
      <c r="C1424" s="8">
        <v>1887</v>
      </c>
      <c r="D1424" s="9">
        <v>45425</v>
      </c>
      <c r="E1424" s="13" t="str">
        <f>+HYPERLINK("http://trademark.i-assist.jp/data/china/image_1887th/76934735.pdf","76934735")</f>
        <v>76934735</v>
      </c>
      <c r="F1424" s="7" t="s">
        <v>3881</v>
      </c>
      <c r="G1424" s="7" t="s">
        <v>3882</v>
      </c>
      <c r="H1424" s="7" t="s">
        <v>3883</v>
      </c>
      <c r="I1424" s="9">
        <v>45345</v>
      </c>
    </row>
    <row r="1425" spans="1:9" x14ac:dyDescent="0.15">
      <c r="A1425" s="6">
        <v>1424</v>
      </c>
      <c r="B1425" s="7" t="s">
        <v>8</v>
      </c>
      <c r="C1425" s="8">
        <v>1887</v>
      </c>
      <c r="D1425" s="9">
        <v>45425</v>
      </c>
      <c r="E1425" s="13" t="str">
        <f>+HYPERLINK("http://trademark.i-assist.jp/data/china/image_1887th/76934784.pdf","76934784")</f>
        <v>76934784</v>
      </c>
      <c r="F1425" s="7" t="s">
        <v>3884</v>
      </c>
      <c r="G1425" s="7" t="s">
        <v>3885</v>
      </c>
      <c r="H1425" s="7" t="s">
        <v>3886</v>
      </c>
      <c r="I1425" s="9">
        <v>45345</v>
      </c>
    </row>
    <row r="1426" spans="1:9" x14ac:dyDescent="0.15">
      <c r="A1426" s="6">
        <v>1425</v>
      </c>
      <c r="B1426" s="7" t="s">
        <v>8</v>
      </c>
      <c r="C1426" s="8">
        <v>1887</v>
      </c>
      <c r="D1426" s="9">
        <v>45425</v>
      </c>
      <c r="E1426" s="13" t="str">
        <f>+HYPERLINK("http://trademark.i-assist.jp/data/china/image_1887th/76934902.pdf","76934902")</f>
        <v>76934902</v>
      </c>
      <c r="F1426" s="7" t="s">
        <v>3887</v>
      </c>
      <c r="G1426" s="7" t="s">
        <v>3888</v>
      </c>
      <c r="H1426" s="7" t="s">
        <v>3889</v>
      </c>
      <c r="I1426" s="9">
        <v>45345</v>
      </c>
    </row>
    <row r="1427" spans="1:9" x14ac:dyDescent="0.15">
      <c r="A1427" s="6">
        <v>1426</v>
      </c>
      <c r="B1427" s="7" t="s">
        <v>8</v>
      </c>
      <c r="C1427" s="8">
        <v>1887</v>
      </c>
      <c r="D1427" s="9">
        <v>45425</v>
      </c>
      <c r="E1427" s="13" t="str">
        <f>+HYPERLINK("http://trademark.i-assist.jp/data/china/image_1887th/76935083.pdf","76935083")</f>
        <v>76935083</v>
      </c>
      <c r="F1427" s="7" t="s">
        <v>3890</v>
      </c>
      <c r="G1427" s="7" t="s">
        <v>3891</v>
      </c>
      <c r="H1427" s="7" t="s">
        <v>3892</v>
      </c>
      <c r="I1427" s="9">
        <v>45345</v>
      </c>
    </row>
    <row r="1428" spans="1:9" x14ac:dyDescent="0.15">
      <c r="A1428" s="6">
        <v>1427</v>
      </c>
      <c r="B1428" s="7" t="s">
        <v>8</v>
      </c>
      <c r="C1428" s="8">
        <v>1887</v>
      </c>
      <c r="D1428" s="9">
        <v>45425</v>
      </c>
      <c r="E1428" s="13" t="str">
        <f>+HYPERLINK("http://trademark.i-assist.jp/data/china/image_1887th/76935139.pdf","76935139")</f>
        <v>76935139</v>
      </c>
      <c r="F1428" s="7" t="s">
        <v>3893</v>
      </c>
      <c r="G1428" s="7" t="s">
        <v>3631</v>
      </c>
      <c r="H1428" s="7" t="s">
        <v>3894</v>
      </c>
      <c r="I1428" s="9">
        <v>45345</v>
      </c>
    </row>
    <row r="1429" spans="1:9" x14ac:dyDescent="0.15">
      <c r="A1429" s="6">
        <v>1428</v>
      </c>
      <c r="B1429" s="7" t="s">
        <v>8</v>
      </c>
      <c r="C1429" s="8">
        <v>1887</v>
      </c>
      <c r="D1429" s="9">
        <v>45425</v>
      </c>
      <c r="E1429" s="13" t="str">
        <f>+HYPERLINK("http://trademark.i-assist.jp/data/china/image_1887th/76935337.pdf","76935337")</f>
        <v>76935337</v>
      </c>
      <c r="F1429" s="7" t="s">
        <v>3895</v>
      </c>
      <c r="G1429" s="7" t="s">
        <v>3896</v>
      </c>
      <c r="H1429" s="7" t="s">
        <v>3897</v>
      </c>
      <c r="I1429" s="9">
        <v>45345</v>
      </c>
    </row>
    <row r="1430" spans="1:9" x14ac:dyDescent="0.15">
      <c r="A1430" s="6">
        <v>1429</v>
      </c>
      <c r="B1430" s="7" t="s">
        <v>8</v>
      </c>
      <c r="C1430" s="8">
        <v>1887</v>
      </c>
      <c r="D1430" s="9">
        <v>45425</v>
      </c>
      <c r="E1430" s="13" t="str">
        <f>+HYPERLINK("http://trademark.i-assist.jp/data/china/image_1887th/76935488.pdf","76935488")</f>
        <v>76935488</v>
      </c>
      <c r="F1430" s="7" t="s">
        <v>3898</v>
      </c>
      <c r="G1430" s="7" t="s">
        <v>1425</v>
      </c>
      <c r="H1430" s="7" t="s">
        <v>3899</v>
      </c>
      <c r="I1430" s="9">
        <v>45345</v>
      </c>
    </row>
    <row r="1431" spans="1:9" ht="27" x14ac:dyDescent="0.15">
      <c r="A1431" s="6">
        <v>1430</v>
      </c>
      <c r="B1431" s="7" t="s">
        <v>8</v>
      </c>
      <c r="C1431" s="8">
        <v>1887</v>
      </c>
      <c r="D1431" s="9">
        <v>45425</v>
      </c>
      <c r="E1431" s="13" t="str">
        <f>+HYPERLINK("http://trademark.i-assist.jp/data/china/image_1887th/76935570.pdf","76935570")</f>
        <v>76935570</v>
      </c>
      <c r="F1431" s="7" t="s">
        <v>3900</v>
      </c>
      <c r="G1431" s="7" t="s">
        <v>3901</v>
      </c>
      <c r="H1431" s="7" t="s">
        <v>3902</v>
      </c>
      <c r="I1431" s="9">
        <v>45345</v>
      </c>
    </row>
    <row r="1432" spans="1:9" x14ac:dyDescent="0.15">
      <c r="A1432" s="6">
        <v>1431</v>
      </c>
      <c r="B1432" s="7" t="s">
        <v>8</v>
      </c>
      <c r="C1432" s="8">
        <v>1887</v>
      </c>
      <c r="D1432" s="9">
        <v>45425</v>
      </c>
      <c r="E1432" s="13" t="str">
        <f>+HYPERLINK("http://trademark.i-assist.jp/data/china/image_1887th/76935580.pdf","76935580")</f>
        <v>76935580</v>
      </c>
      <c r="F1432" s="7" t="s">
        <v>3903</v>
      </c>
      <c r="G1432" s="7" t="s">
        <v>3904</v>
      </c>
      <c r="H1432" s="7" t="s">
        <v>3905</v>
      </c>
      <c r="I1432" s="9">
        <v>45345</v>
      </c>
    </row>
    <row r="1433" spans="1:9" ht="27" x14ac:dyDescent="0.15">
      <c r="A1433" s="6">
        <v>1432</v>
      </c>
      <c r="B1433" s="7" t="s">
        <v>8</v>
      </c>
      <c r="C1433" s="8">
        <v>1887</v>
      </c>
      <c r="D1433" s="9">
        <v>45425</v>
      </c>
      <c r="E1433" s="13" t="str">
        <f>+HYPERLINK("http://trademark.i-assist.jp/data/china/image_1887th/76935670.pdf","76935670")</f>
        <v>76935670</v>
      </c>
      <c r="F1433" s="7" t="s">
        <v>3906</v>
      </c>
      <c r="G1433" s="7" t="s">
        <v>3722</v>
      </c>
      <c r="H1433" s="7" t="s">
        <v>3907</v>
      </c>
      <c r="I1433" s="9">
        <v>45345</v>
      </c>
    </row>
    <row r="1434" spans="1:9" x14ac:dyDescent="0.15">
      <c r="A1434" s="6">
        <v>1433</v>
      </c>
      <c r="B1434" s="7" t="s">
        <v>8</v>
      </c>
      <c r="C1434" s="8">
        <v>1887</v>
      </c>
      <c r="D1434" s="9">
        <v>45425</v>
      </c>
      <c r="E1434" s="13" t="str">
        <f>+HYPERLINK("http://trademark.i-assist.jp/data/china/image_1887th/76935773.pdf","76935773")</f>
        <v>76935773</v>
      </c>
      <c r="F1434" s="7" t="s">
        <v>3908</v>
      </c>
      <c r="G1434" s="7" t="s">
        <v>3909</v>
      </c>
      <c r="H1434" s="7" t="s">
        <v>3910</v>
      </c>
      <c r="I1434" s="9">
        <v>45345</v>
      </c>
    </row>
    <row r="1435" spans="1:9" x14ac:dyDescent="0.15">
      <c r="A1435" s="6">
        <v>1434</v>
      </c>
      <c r="B1435" s="7" t="s">
        <v>8</v>
      </c>
      <c r="C1435" s="8">
        <v>1887</v>
      </c>
      <c r="D1435" s="9">
        <v>45425</v>
      </c>
      <c r="E1435" s="13" t="str">
        <f>+HYPERLINK("http://trademark.i-assist.jp/data/china/image_1887th/76935972.pdf","76935972")</f>
        <v>76935972</v>
      </c>
      <c r="F1435" s="7" t="s">
        <v>3911</v>
      </c>
      <c r="G1435" s="7" t="s">
        <v>3631</v>
      </c>
      <c r="H1435" s="7" t="s">
        <v>3912</v>
      </c>
      <c r="I1435" s="9">
        <v>45345</v>
      </c>
    </row>
    <row r="1436" spans="1:9" x14ac:dyDescent="0.15">
      <c r="A1436" s="6">
        <v>1435</v>
      </c>
      <c r="B1436" s="7" t="s">
        <v>8</v>
      </c>
      <c r="C1436" s="8">
        <v>1887</v>
      </c>
      <c r="D1436" s="9">
        <v>45425</v>
      </c>
      <c r="E1436" s="13" t="str">
        <f>+HYPERLINK("http://trademark.i-assist.jp/data/china/image_1887th/76936138.pdf","76936138")</f>
        <v>76936138</v>
      </c>
      <c r="F1436" s="7" t="s">
        <v>3913</v>
      </c>
      <c r="G1436" s="7" t="s">
        <v>3896</v>
      </c>
      <c r="H1436" s="7" t="s">
        <v>3914</v>
      </c>
      <c r="I1436" s="9">
        <v>45345</v>
      </c>
    </row>
    <row r="1437" spans="1:9" x14ac:dyDescent="0.15">
      <c r="A1437" s="6">
        <v>1436</v>
      </c>
      <c r="B1437" s="7" t="s">
        <v>8</v>
      </c>
      <c r="C1437" s="8">
        <v>1887</v>
      </c>
      <c r="D1437" s="9">
        <v>45425</v>
      </c>
      <c r="E1437" s="13" t="str">
        <f>+HYPERLINK("http://trademark.i-assist.jp/data/china/image_1887th/76936240.pdf","76936240")</f>
        <v>76936240</v>
      </c>
      <c r="F1437" s="7" t="s">
        <v>3915</v>
      </c>
      <c r="G1437" s="7" t="s">
        <v>3916</v>
      </c>
      <c r="H1437" s="7" t="s">
        <v>3917</v>
      </c>
      <c r="I1437" s="9">
        <v>45345</v>
      </c>
    </row>
    <row r="1438" spans="1:9" x14ac:dyDescent="0.15">
      <c r="A1438" s="6">
        <v>1437</v>
      </c>
      <c r="B1438" s="7" t="s">
        <v>8</v>
      </c>
      <c r="C1438" s="8">
        <v>1887</v>
      </c>
      <c r="D1438" s="9">
        <v>45425</v>
      </c>
      <c r="E1438" s="13" t="str">
        <f>+HYPERLINK("http://trademark.i-assist.jp/data/china/image_1887th/76936334.pdf","76936334")</f>
        <v>76936334</v>
      </c>
      <c r="F1438" s="7" t="s">
        <v>3918</v>
      </c>
      <c r="G1438" s="7" t="s">
        <v>3799</v>
      </c>
      <c r="H1438" s="7" t="s">
        <v>3919</v>
      </c>
      <c r="I1438" s="9">
        <v>45345</v>
      </c>
    </row>
    <row r="1439" spans="1:9" x14ac:dyDescent="0.15">
      <c r="A1439" s="6">
        <v>1438</v>
      </c>
      <c r="B1439" s="7" t="s">
        <v>8</v>
      </c>
      <c r="C1439" s="8">
        <v>1887</v>
      </c>
      <c r="D1439" s="9">
        <v>45425</v>
      </c>
      <c r="E1439" s="13" t="str">
        <f>+HYPERLINK("http://trademark.i-assist.jp/data/china/image_1887th/76936406.pdf","76936406")</f>
        <v>76936406</v>
      </c>
      <c r="F1439" s="7" t="s">
        <v>3920</v>
      </c>
      <c r="G1439" s="7" t="s">
        <v>3921</v>
      </c>
      <c r="H1439" s="7" t="s">
        <v>3922</v>
      </c>
      <c r="I1439" s="9">
        <v>45345</v>
      </c>
    </row>
    <row r="1440" spans="1:9" x14ac:dyDescent="0.15">
      <c r="A1440" s="6">
        <v>1439</v>
      </c>
      <c r="B1440" s="7" t="s">
        <v>8</v>
      </c>
      <c r="C1440" s="8">
        <v>1887</v>
      </c>
      <c r="D1440" s="9">
        <v>45425</v>
      </c>
      <c r="E1440" s="13" t="str">
        <f>+HYPERLINK("http://trademark.i-assist.jp/data/china/image_1887th/76936455.pdf","76936455")</f>
        <v>76936455</v>
      </c>
      <c r="F1440" s="7" t="s">
        <v>3923</v>
      </c>
      <c r="G1440" s="7" t="s">
        <v>3924</v>
      </c>
      <c r="H1440" s="7" t="s">
        <v>3925</v>
      </c>
      <c r="I1440" s="9">
        <v>45345</v>
      </c>
    </row>
    <row r="1441" spans="1:9" x14ac:dyDescent="0.15">
      <c r="A1441" s="6">
        <v>1440</v>
      </c>
      <c r="B1441" s="7" t="s">
        <v>8</v>
      </c>
      <c r="C1441" s="8">
        <v>1887</v>
      </c>
      <c r="D1441" s="9">
        <v>45425</v>
      </c>
      <c r="E1441" s="13" t="str">
        <f>+HYPERLINK("http://trademark.i-assist.jp/data/china/image_1887th/76936521.pdf","76936521")</f>
        <v>76936521</v>
      </c>
      <c r="F1441" s="7" t="s">
        <v>3926</v>
      </c>
      <c r="G1441" s="7" t="s">
        <v>3796</v>
      </c>
      <c r="H1441" s="7" t="s">
        <v>3927</v>
      </c>
      <c r="I1441" s="9">
        <v>45345</v>
      </c>
    </row>
    <row r="1442" spans="1:9" x14ac:dyDescent="0.15">
      <c r="A1442" s="6">
        <v>1441</v>
      </c>
      <c r="B1442" s="7" t="s">
        <v>8</v>
      </c>
      <c r="C1442" s="8">
        <v>1887</v>
      </c>
      <c r="D1442" s="9">
        <v>45425</v>
      </c>
      <c r="E1442" s="13" t="str">
        <f>+HYPERLINK("http://trademark.i-assist.jp/data/china/image_1887th/76936633.pdf","76936633")</f>
        <v>76936633</v>
      </c>
      <c r="F1442" s="7" t="s">
        <v>3928</v>
      </c>
      <c r="G1442" s="7" t="s">
        <v>3929</v>
      </c>
      <c r="H1442" s="7" t="s">
        <v>3930</v>
      </c>
      <c r="I1442" s="9">
        <v>45345</v>
      </c>
    </row>
    <row r="1443" spans="1:9" x14ac:dyDescent="0.15">
      <c r="A1443" s="6">
        <v>1442</v>
      </c>
      <c r="B1443" s="7" t="s">
        <v>8</v>
      </c>
      <c r="C1443" s="8">
        <v>1887</v>
      </c>
      <c r="D1443" s="9">
        <v>45425</v>
      </c>
      <c r="E1443" s="13" t="str">
        <f>+HYPERLINK("http://trademark.i-assist.jp/data/china/image_1887th/76936645.pdf","76936645")</f>
        <v>76936645</v>
      </c>
      <c r="F1443" s="7" t="s">
        <v>3931</v>
      </c>
      <c r="G1443" s="7" t="s">
        <v>3647</v>
      </c>
      <c r="H1443" s="7" t="s">
        <v>3932</v>
      </c>
      <c r="I1443" s="9">
        <v>45345</v>
      </c>
    </row>
    <row r="1444" spans="1:9" ht="27" x14ac:dyDescent="0.15">
      <c r="A1444" s="6">
        <v>1443</v>
      </c>
      <c r="B1444" s="7" t="s">
        <v>8</v>
      </c>
      <c r="C1444" s="8">
        <v>1887</v>
      </c>
      <c r="D1444" s="9">
        <v>45425</v>
      </c>
      <c r="E1444" s="13" t="str">
        <f>+HYPERLINK("http://trademark.i-assist.jp/data/china/image_1887th/76936965.pdf","76936965")</f>
        <v>76936965</v>
      </c>
      <c r="F1444" s="7" t="s">
        <v>3933</v>
      </c>
      <c r="G1444" s="7" t="s">
        <v>3934</v>
      </c>
      <c r="H1444" s="7" t="s">
        <v>3935</v>
      </c>
      <c r="I1444" s="9">
        <v>45345</v>
      </c>
    </row>
    <row r="1445" spans="1:9" x14ac:dyDescent="0.15">
      <c r="A1445" s="6">
        <v>1444</v>
      </c>
      <c r="B1445" s="7" t="s">
        <v>8</v>
      </c>
      <c r="C1445" s="8">
        <v>1887</v>
      </c>
      <c r="D1445" s="9">
        <v>45425</v>
      </c>
      <c r="E1445" s="13" t="str">
        <f>+HYPERLINK("http://trademark.i-assist.jp/data/china/image_1887th/76936977.pdf","76936977")</f>
        <v>76936977</v>
      </c>
      <c r="F1445" s="7" t="s">
        <v>3936</v>
      </c>
      <c r="G1445" s="7" t="s">
        <v>3937</v>
      </c>
      <c r="H1445" s="7" t="s">
        <v>3938</v>
      </c>
      <c r="I1445" s="9">
        <v>45345</v>
      </c>
    </row>
    <row r="1446" spans="1:9" x14ac:dyDescent="0.15">
      <c r="A1446" s="6">
        <v>1445</v>
      </c>
      <c r="B1446" s="7" t="s">
        <v>8</v>
      </c>
      <c r="C1446" s="8">
        <v>1887</v>
      </c>
      <c r="D1446" s="9">
        <v>45425</v>
      </c>
      <c r="E1446" s="13" t="str">
        <f>+HYPERLINK("http://trademark.i-assist.jp/data/china/image_1887th/76936984.pdf","76936984")</f>
        <v>76936984</v>
      </c>
      <c r="F1446" s="7" t="s">
        <v>3939</v>
      </c>
      <c r="G1446" s="7" t="s">
        <v>3937</v>
      </c>
      <c r="H1446" s="7" t="s">
        <v>3940</v>
      </c>
      <c r="I1446" s="9">
        <v>45345</v>
      </c>
    </row>
    <row r="1447" spans="1:9" x14ac:dyDescent="0.15">
      <c r="A1447" s="6">
        <v>1446</v>
      </c>
      <c r="B1447" s="7" t="s">
        <v>8</v>
      </c>
      <c r="C1447" s="8">
        <v>1887</v>
      </c>
      <c r="D1447" s="9">
        <v>45425</v>
      </c>
      <c r="E1447" s="13" t="str">
        <f>+HYPERLINK("http://trademark.i-assist.jp/data/china/image_1887th/76937099.pdf","76937099")</f>
        <v>76937099</v>
      </c>
      <c r="F1447" s="7" t="s">
        <v>3941</v>
      </c>
      <c r="G1447" s="7" t="s">
        <v>3544</v>
      </c>
      <c r="H1447" s="7" t="s">
        <v>3942</v>
      </c>
      <c r="I1447" s="9">
        <v>45345</v>
      </c>
    </row>
    <row r="1448" spans="1:9" x14ac:dyDescent="0.15">
      <c r="A1448" s="6">
        <v>1447</v>
      </c>
      <c r="B1448" s="7" t="s">
        <v>8</v>
      </c>
      <c r="C1448" s="8">
        <v>1887</v>
      </c>
      <c r="D1448" s="9">
        <v>45425</v>
      </c>
      <c r="E1448" s="13" t="str">
        <f>+HYPERLINK("http://trademark.i-assist.jp/data/china/image_1887th/76937494.pdf","76937494")</f>
        <v>76937494</v>
      </c>
      <c r="F1448" s="7" t="s">
        <v>3943</v>
      </c>
      <c r="G1448" s="7" t="s">
        <v>2831</v>
      </c>
      <c r="H1448" s="7" t="s">
        <v>3944</v>
      </c>
      <c r="I1448" s="9">
        <v>45345</v>
      </c>
    </row>
    <row r="1449" spans="1:9" x14ac:dyDescent="0.15">
      <c r="A1449" s="6">
        <v>1448</v>
      </c>
      <c r="B1449" s="7" t="s">
        <v>8</v>
      </c>
      <c r="C1449" s="8">
        <v>1887</v>
      </c>
      <c r="D1449" s="9">
        <v>45425</v>
      </c>
      <c r="E1449" s="13" t="str">
        <f>+HYPERLINK("http://trademark.i-assist.jp/data/china/image_1887th/76937799.pdf","76937799")</f>
        <v>76937799</v>
      </c>
      <c r="F1449" s="7" t="s">
        <v>3730</v>
      </c>
      <c r="G1449" s="7" t="s">
        <v>3731</v>
      </c>
      <c r="H1449" s="7" t="s">
        <v>3945</v>
      </c>
      <c r="I1449" s="9">
        <v>45345</v>
      </c>
    </row>
    <row r="1450" spans="1:9" x14ac:dyDescent="0.15">
      <c r="A1450" s="6">
        <v>1449</v>
      </c>
      <c r="B1450" s="7" t="s">
        <v>8</v>
      </c>
      <c r="C1450" s="8">
        <v>1887</v>
      </c>
      <c r="D1450" s="9">
        <v>45425</v>
      </c>
      <c r="E1450" s="13" t="str">
        <f>+HYPERLINK("http://trademark.i-assist.jp/data/china/image_1887th/76937847.pdf","76937847")</f>
        <v>76937847</v>
      </c>
      <c r="F1450" s="7" t="s">
        <v>3946</v>
      </c>
      <c r="G1450" s="7" t="s">
        <v>3947</v>
      </c>
      <c r="H1450" s="7" t="s">
        <v>3948</v>
      </c>
      <c r="I1450" s="9">
        <v>45345</v>
      </c>
    </row>
    <row r="1451" spans="1:9" x14ac:dyDescent="0.15">
      <c r="A1451" s="6">
        <v>1450</v>
      </c>
      <c r="B1451" s="7" t="s">
        <v>8</v>
      </c>
      <c r="C1451" s="8">
        <v>1887</v>
      </c>
      <c r="D1451" s="9">
        <v>45425</v>
      </c>
      <c r="E1451" s="13" t="str">
        <f>+HYPERLINK("http://trademark.i-assist.jp/data/china/image_1887th/76938432.pdf","76938432")</f>
        <v>76938432</v>
      </c>
      <c r="F1451" s="7" t="s">
        <v>3949</v>
      </c>
      <c r="G1451" s="7" t="s">
        <v>3950</v>
      </c>
      <c r="H1451" s="7" t="s">
        <v>3951</v>
      </c>
      <c r="I1451" s="9">
        <v>45345</v>
      </c>
    </row>
    <row r="1452" spans="1:9" x14ac:dyDescent="0.15">
      <c r="A1452" s="6">
        <v>1451</v>
      </c>
      <c r="B1452" s="7" t="s">
        <v>8</v>
      </c>
      <c r="C1452" s="8">
        <v>1887</v>
      </c>
      <c r="D1452" s="9">
        <v>45425</v>
      </c>
      <c r="E1452" s="13" t="str">
        <f>+HYPERLINK("http://trademark.i-assist.jp/data/china/image_1887th/76938444.pdf","76938444")</f>
        <v>76938444</v>
      </c>
      <c r="F1452" s="7" t="s">
        <v>3952</v>
      </c>
      <c r="G1452" s="7" t="s">
        <v>3953</v>
      </c>
      <c r="H1452" s="7" t="s">
        <v>3954</v>
      </c>
      <c r="I1452" s="9">
        <v>45345</v>
      </c>
    </row>
    <row r="1453" spans="1:9" x14ac:dyDescent="0.15">
      <c r="A1453" s="6">
        <v>1452</v>
      </c>
      <c r="B1453" s="7" t="s">
        <v>8</v>
      </c>
      <c r="C1453" s="8">
        <v>1887</v>
      </c>
      <c r="D1453" s="9">
        <v>45425</v>
      </c>
      <c r="E1453" s="13" t="str">
        <f>+HYPERLINK("http://trademark.i-assist.jp/data/china/image_1887th/76938533.pdf","76938533")</f>
        <v>76938533</v>
      </c>
      <c r="F1453" s="7" t="s">
        <v>3955</v>
      </c>
      <c r="G1453" s="7" t="s">
        <v>3956</v>
      </c>
      <c r="H1453" s="7" t="s">
        <v>3957</v>
      </c>
      <c r="I1453" s="9">
        <v>45345</v>
      </c>
    </row>
    <row r="1454" spans="1:9" x14ac:dyDescent="0.15">
      <c r="A1454" s="6">
        <v>1453</v>
      </c>
      <c r="B1454" s="7" t="s">
        <v>8</v>
      </c>
      <c r="C1454" s="8">
        <v>1887</v>
      </c>
      <c r="D1454" s="9">
        <v>45425</v>
      </c>
      <c r="E1454" s="13" t="str">
        <f>+HYPERLINK("http://trademark.i-assist.jp/data/china/image_1887th/76938654.pdf","76938654")</f>
        <v>76938654</v>
      </c>
      <c r="F1454" s="7" t="s">
        <v>3958</v>
      </c>
      <c r="G1454" s="7" t="s">
        <v>3959</v>
      </c>
      <c r="H1454" s="7" t="s">
        <v>3960</v>
      </c>
      <c r="I1454" s="9">
        <v>45345</v>
      </c>
    </row>
    <row r="1455" spans="1:9" x14ac:dyDescent="0.15">
      <c r="A1455" s="6">
        <v>1454</v>
      </c>
      <c r="B1455" s="7" t="s">
        <v>8</v>
      </c>
      <c r="C1455" s="8">
        <v>1887</v>
      </c>
      <c r="D1455" s="9">
        <v>45425</v>
      </c>
      <c r="E1455" s="13" t="str">
        <f>+HYPERLINK("http://trademark.i-assist.jp/data/china/image_1887th/76938879.pdf","76938879")</f>
        <v>76938879</v>
      </c>
      <c r="F1455" s="7" t="s">
        <v>3961</v>
      </c>
      <c r="G1455" s="7" t="s">
        <v>3962</v>
      </c>
      <c r="H1455" s="7" t="s">
        <v>3963</v>
      </c>
      <c r="I1455" s="9">
        <v>45345</v>
      </c>
    </row>
    <row r="1456" spans="1:9" x14ac:dyDescent="0.15">
      <c r="A1456" s="6">
        <v>1455</v>
      </c>
      <c r="B1456" s="7" t="s">
        <v>8</v>
      </c>
      <c r="C1456" s="8">
        <v>1887</v>
      </c>
      <c r="D1456" s="9">
        <v>45425</v>
      </c>
      <c r="E1456" s="13" t="str">
        <f>+HYPERLINK("http://trademark.i-assist.jp/data/china/image_1887th/76938907.pdf","76938907")</f>
        <v>76938907</v>
      </c>
      <c r="F1456" s="7" t="s">
        <v>54</v>
      </c>
      <c r="G1456" s="7" t="s">
        <v>3964</v>
      </c>
      <c r="H1456" s="7" t="s">
        <v>3965</v>
      </c>
      <c r="I1456" s="9">
        <v>45345</v>
      </c>
    </row>
    <row r="1457" spans="1:9" x14ac:dyDescent="0.15">
      <c r="A1457" s="6">
        <v>1456</v>
      </c>
      <c r="B1457" s="7" t="s">
        <v>8</v>
      </c>
      <c r="C1457" s="8">
        <v>1887</v>
      </c>
      <c r="D1457" s="9">
        <v>45425</v>
      </c>
      <c r="E1457" s="13" t="str">
        <f>+HYPERLINK("http://trademark.i-assist.jp/data/china/image_1887th/76938933.pdf","76938933")</f>
        <v>76938933</v>
      </c>
      <c r="F1457" s="7" t="s">
        <v>3966</v>
      </c>
      <c r="G1457" s="7" t="s">
        <v>743</v>
      </c>
      <c r="H1457" s="7" t="s">
        <v>3967</v>
      </c>
      <c r="I1457" s="9">
        <v>45345</v>
      </c>
    </row>
    <row r="1458" spans="1:9" x14ac:dyDescent="0.15">
      <c r="A1458" s="6">
        <v>1457</v>
      </c>
      <c r="B1458" s="7" t="s">
        <v>8</v>
      </c>
      <c r="C1458" s="8">
        <v>1887</v>
      </c>
      <c r="D1458" s="9">
        <v>45425</v>
      </c>
      <c r="E1458" s="13" t="str">
        <f>+HYPERLINK("http://trademark.i-assist.jp/data/china/image_1887th/76939000.pdf","76939000")</f>
        <v>76939000</v>
      </c>
      <c r="F1458" s="7" t="s">
        <v>3968</v>
      </c>
      <c r="G1458" s="7" t="s">
        <v>3631</v>
      </c>
      <c r="H1458" s="7" t="s">
        <v>3969</v>
      </c>
      <c r="I1458" s="9">
        <v>45345</v>
      </c>
    </row>
    <row r="1459" spans="1:9" x14ac:dyDescent="0.15">
      <c r="A1459" s="6">
        <v>1458</v>
      </c>
      <c r="B1459" s="7" t="s">
        <v>8</v>
      </c>
      <c r="C1459" s="8">
        <v>1887</v>
      </c>
      <c r="D1459" s="9">
        <v>45425</v>
      </c>
      <c r="E1459" s="13" t="str">
        <f>+HYPERLINK("http://trademark.i-assist.jp/data/china/image_1887th/76939083.pdf","76939083")</f>
        <v>76939083</v>
      </c>
      <c r="F1459" s="7" t="s">
        <v>3970</v>
      </c>
      <c r="G1459" s="7" t="s">
        <v>3971</v>
      </c>
      <c r="H1459" s="7" t="s">
        <v>3972</v>
      </c>
      <c r="I1459" s="9">
        <v>45345</v>
      </c>
    </row>
    <row r="1460" spans="1:9" x14ac:dyDescent="0.15">
      <c r="A1460" s="6">
        <v>1459</v>
      </c>
      <c r="B1460" s="7" t="s">
        <v>8</v>
      </c>
      <c r="C1460" s="8">
        <v>1887</v>
      </c>
      <c r="D1460" s="9">
        <v>45425</v>
      </c>
      <c r="E1460" s="13" t="str">
        <f>+HYPERLINK("http://trademark.i-assist.jp/data/china/image_1887th/76939154.pdf","76939154")</f>
        <v>76939154</v>
      </c>
      <c r="F1460" s="7" t="s">
        <v>3973</v>
      </c>
      <c r="G1460" s="7" t="s">
        <v>3974</v>
      </c>
      <c r="H1460" s="7" t="s">
        <v>3975</v>
      </c>
      <c r="I1460" s="9">
        <v>45345</v>
      </c>
    </row>
    <row r="1461" spans="1:9" x14ac:dyDescent="0.15">
      <c r="A1461" s="6">
        <v>1460</v>
      </c>
      <c r="B1461" s="7" t="s">
        <v>8</v>
      </c>
      <c r="C1461" s="8">
        <v>1887</v>
      </c>
      <c r="D1461" s="9">
        <v>45425</v>
      </c>
      <c r="E1461" s="13" t="str">
        <f>+HYPERLINK("http://trademark.i-assist.jp/data/china/image_1887th/76939207.pdf","76939207")</f>
        <v>76939207</v>
      </c>
      <c r="F1461" s="7" t="s">
        <v>3976</v>
      </c>
      <c r="G1461" s="7" t="s">
        <v>3977</v>
      </c>
      <c r="H1461" s="7" t="s">
        <v>3978</v>
      </c>
      <c r="I1461" s="9">
        <v>45345</v>
      </c>
    </row>
    <row r="1462" spans="1:9" x14ac:dyDescent="0.15">
      <c r="A1462" s="6">
        <v>1461</v>
      </c>
      <c r="B1462" s="7" t="s">
        <v>8</v>
      </c>
      <c r="C1462" s="8">
        <v>1887</v>
      </c>
      <c r="D1462" s="9">
        <v>45425</v>
      </c>
      <c r="E1462" s="13" t="str">
        <f>+HYPERLINK("http://trademark.i-assist.jp/data/china/image_1887th/76939331.pdf","76939331")</f>
        <v>76939331</v>
      </c>
      <c r="F1462" s="7" t="s">
        <v>3979</v>
      </c>
      <c r="G1462" s="7" t="s">
        <v>3980</v>
      </c>
      <c r="H1462" s="7" t="s">
        <v>3981</v>
      </c>
      <c r="I1462" s="9">
        <v>45345</v>
      </c>
    </row>
    <row r="1463" spans="1:9" x14ac:dyDescent="0.15">
      <c r="A1463" s="6">
        <v>1462</v>
      </c>
      <c r="B1463" s="7" t="s">
        <v>8</v>
      </c>
      <c r="C1463" s="8">
        <v>1887</v>
      </c>
      <c r="D1463" s="9">
        <v>45425</v>
      </c>
      <c r="E1463" s="13" t="str">
        <f>+HYPERLINK("http://trademark.i-assist.jp/data/china/image_1887th/76939365.pdf","76939365")</f>
        <v>76939365</v>
      </c>
      <c r="F1463" s="7" t="s">
        <v>3982</v>
      </c>
      <c r="G1463" s="7" t="s">
        <v>3983</v>
      </c>
      <c r="H1463" s="7" t="s">
        <v>3984</v>
      </c>
      <c r="I1463" s="9">
        <v>45345</v>
      </c>
    </row>
    <row r="1464" spans="1:9" x14ac:dyDescent="0.15">
      <c r="A1464" s="6">
        <v>1463</v>
      </c>
      <c r="B1464" s="7" t="s">
        <v>8</v>
      </c>
      <c r="C1464" s="8">
        <v>1887</v>
      </c>
      <c r="D1464" s="9">
        <v>45425</v>
      </c>
      <c r="E1464" s="13" t="str">
        <f>+HYPERLINK("http://trademark.i-assist.jp/data/china/image_1887th/76939408.pdf","76939408")</f>
        <v>76939408</v>
      </c>
      <c r="F1464" s="7" t="s">
        <v>3985</v>
      </c>
      <c r="G1464" s="7" t="s">
        <v>3692</v>
      </c>
      <c r="H1464" s="7" t="s">
        <v>3986</v>
      </c>
      <c r="I1464" s="9">
        <v>45345</v>
      </c>
    </row>
    <row r="1465" spans="1:9" x14ac:dyDescent="0.15">
      <c r="A1465" s="6">
        <v>1464</v>
      </c>
      <c r="B1465" s="7" t="s">
        <v>8</v>
      </c>
      <c r="C1465" s="8">
        <v>1887</v>
      </c>
      <c r="D1465" s="9">
        <v>45425</v>
      </c>
      <c r="E1465" s="13" t="str">
        <f>+HYPERLINK("http://trademark.i-assist.jp/data/china/image_1887th/76939452.pdf","76939452")</f>
        <v>76939452</v>
      </c>
      <c r="F1465" s="7" t="s">
        <v>3987</v>
      </c>
      <c r="G1465" s="7" t="s">
        <v>3988</v>
      </c>
      <c r="H1465" s="7" t="s">
        <v>3989</v>
      </c>
      <c r="I1465" s="9">
        <v>45345</v>
      </c>
    </row>
    <row r="1466" spans="1:9" x14ac:dyDescent="0.15">
      <c r="A1466" s="6">
        <v>1465</v>
      </c>
      <c r="B1466" s="7" t="s">
        <v>8</v>
      </c>
      <c r="C1466" s="8">
        <v>1887</v>
      </c>
      <c r="D1466" s="9">
        <v>45425</v>
      </c>
      <c r="E1466" s="13" t="str">
        <f>+HYPERLINK("http://trademark.i-assist.jp/data/china/image_1887th/76939483.pdf","76939483")</f>
        <v>76939483</v>
      </c>
      <c r="F1466" s="7" t="s">
        <v>3990</v>
      </c>
      <c r="G1466" s="7" t="s">
        <v>3692</v>
      </c>
      <c r="H1466" s="7" t="s">
        <v>3991</v>
      </c>
      <c r="I1466" s="9">
        <v>45345</v>
      </c>
    </row>
    <row r="1467" spans="1:9" x14ac:dyDescent="0.15">
      <c r="A1467" s="6">
        <v>1466</v>
      </c>
      <c r="B1467" s="7" t="s">
        <v>8</v>
      </c>
      <c r="C1467" s="8">
        <v>1887</v>
      </c>
      <c r="D1467" s="9">
        <v>45425</v>
      </c>
      <c r="E1467" s="13" t="str">
        <f>+HYPERLINK("http://trademark.i-assist.jp/data/china/image_1887th/76940013.pdf","76940013")</f>
        <v>76940013</v>
      </c>
      <c r="F1467" s="7" t="s">
        <v>3992</v>
      </c>
      <c r="G1467" s="7" t="s">
        <v>3993</v>
      </c>
      <c r="H1467" s="7" t="s">
        <v>3994</v>
      </c>
      <c r="I1467" s="9">
        <v>45345</v>
      </c>
    </row>
    <row r="1468" spans="1:9" x14ac:dyDescent="0.15">
      <c r="A1468" s="6">
        <v>1467</v>
      </c>
      <c r="B1468" s="7" t="s">
        <v>8</v>
      </c>
      <c r="C1468" s="8">
        <v>1887</v>
      </c>
      <c r="D1468" s="9">
        <v>45425</v>
      </c>
      <c r="E1468" s="13" t="str">
        <f>+HYPERLINK("http://trademark.i-assist.jp/data/china/image_1887th/76940014.pdf","76940014")</f>
        <v>76940014</v>
      </c>
      <c r="F1468" s="7" t="s">
        <v>3995</v>
      </c>
      <c r="G1468" s="7" t="s">
        <v>3996</v>
      </c>
      <c r="H1468" s="7" t="s">
        <v>3997</v>
      </c>
      <c r="I1468" s="9">
        <v>45345</v>
      </c>
    </row>
    <row r="1469" spans="1:9" x14ac:dyDescent="0.15">
      <c r="A1469" s="6">
        <v>1468</v>
      </c>
      <c r="B1469" s="7" t="s">
        <v>8</v>
      </c>
      <c r="C1469" s="8">
        <v>1887</v>
      </c>
      <c r="D1469" s="9">
        <v>45425</v>
      </c>
      <c r="E1469" s="13" t="str">
        <f>+HYPERLINK("http://trademark.i-assist.jp/data/china/image_1887th/76940079.pdf","76940079")</f>
        <v>76940079</v>
      </c>
      <c r="F1469" s="7" t="s">
        <v>3998</v>
      </c>
      <c r="G1469" s="7" t="s">
        <v>3999</v>
      </c>
      <c r="H1469" s="7" t="s">
        <v>4000</v>
      </c>
      <c r="I1469" s="9">
        <v>45345</v>
      </c>
    </row>
    <row r="1470" spans="1:9" ht="27" x14ac:dyDescent="0.15">
      <c r="A1470" s="6">
        <v>1469</v>
      </c>
      <c r="B1470" s="7" t="s">
        <v>8</v>
      </c>
      <c r="C1470" s="8">
        <v>1887</v>
      </c>
      <c r="D1470" s="9">
        <v>45425</v>
      </c>
      <c r="E1470" s="13" t="str">
        <f>+HYPERLINK("http://trademark.i-assist.jp/data/china/image_1887th/76940296.pdf","76940296")</f>
        <v>76940296</v>
      </c>
      <c r="F1470" s="7" t="s">
        <v>4001</v>
      </c>
      <c r="G1470" s="7" t="s">
        <v>4002</v>
      </c>
      <c r="H1470" s="7" t="s">
        <v>4003</v>
      </c>
      <c r="I1470" s="9">
        <v>45345</v>
      </c>
    </row>
    <row r="1471" spans="1:9" x14ac:dyDescent="0.15">
      <c r="A1471" s="6">
        <v>1470</v>
      </c>
      <c r="B1471" s="7" t="s">
        <v>8</v>
      </c>
      <c r="C1471" s="8">
        <v>1887</v>
      </c>
      <c r="D1471" s="9">
        <v>45425</v>
      </c>
      <c r="E1471" s="13" t="str">
        <f>+HYPERLINK("http://trademark.i-assist.jp/data/china/image_1887th/76940627.pdf","76940627")</f>
        <v>76940627</v>
      </c>
      <c r="F1471" s="7" t="s">
        <v>4004</v>
      </c>
      <c r="G1471" s="7" t="s">
        <v>4005</v>
      </c>
      <c r="H1471" s="7" t="s">
        <v>4006</v>
      </c>
      <c r="I1471" s="9">
        <v>45346</v>
      </c>
    </row>
    <row r="1472" spans="1:9" x14ac:dyDescent="0.15">
      <c r="A1472" s="6">
        <v>1471</v>
      </c>
      <c r="B1472" s="7" t="s">
        <v>8</v>
      </c>
      <c r="C1472" s="8">
        <v>1887</v>
      </c>
      <c r="D1472" s="9">
        <v>45425</v>
      </c>
      <c r="E1472" s="13" t="str">
        <f>+HYPERLINK("http://trademark.i-assist.jp/data/china/image_1887th/76940741.pdf","76940741")</f>
        <v>76940741</v>
      </c>
      <c r="F1472" s="7" t="s">
        <v>4007</v>
      </c>
      <c r="G1472" s="7" t="s">
        <v>4008</v>
      </c>
      <c r="H1472" s="7" t="s">
        <v>4009</v>
      </c>
      <c r="I1472" s="9">
        <v>45346</v>
      </c>
    </row>
    <row r="1473" spans="1:9" x14ac:dyDescent="0.15">
      <c r="A1473" s="6">
        <v>1472</v>
      </c>
      <c r="B1473" s="7" t="s">
        <v>8</v>
      </c>
      <c r="C1473" s="8">
        <v>1887</v>
      </c>
      <c r="D1473" s="9">
        <v>45425</v>
      </c>
      <c r="E1473" s="13" t="str">
        <f>+HYPERLINK("http://trademark.i-assist.jp/data/china/image_1887th/76941037.pdf","76941037")</f>
        <v>76941037</v>
      </c>
      <c r="F1473" s="7" t="s">
        <v>54</v>
      </c>
      <c r="G1473" s="7" t="s">
        <v>4010</v>
      </c>
      <c r="H1473" s="7" t="s">
        <v>4011</v>
      </c>
      <c r="I1473" s="9">
        <v>45346</v>
      </c>
    </row>
    <row r="1474" spans="1:9" ht="27" x14ac:dyDescent="0.15">
      <c r="A1474" s="6">
        <v>1473</v>
      </c>
      <c r="B1474" s="7" t="s">
        <v>8</v>
      </c>
      <c r="C1474" s="8">
        <v>1887</v>
      </c>
      <c r="D1474" s="9">
        <v>45425</v>
      </c>
      <c r="E1474" s="13" t="str">
        <f>+HYPERLINK("http://trademark.i-assist.jp/data/china/image_1887th/76941115.pdf","76941115")</f>
        <v>76941115</v>
      </c>
      <c r="F1474" s="7" t="s">
        <v>4012</v>
      </c>
      <c r="G1474" s="7" t="s">
        <v>4013</v>
      </c>
      <c r="H1474" s="7" t="s">
        <v>4014</v>
      </c>
      <c r="I1474" s="9">
        <v>45346</v>
      </c>
    </row>
    <row r="1475" spans="1:9" x14ac:dyDescent="0.15">
      <c r="A1475" s="6">
        <v>1474</v>
      </c>
      <c r="B1475" s="7" t="s">
        <v>8</v>
      </c>
      <c r="C1475" s="8">
        <v>1887</v>
      </c>
      <c r="D1475" s="9">
        <v>45425</v>
      </c>
      <c r="E1475" s="13" t="str">
        <f>+HYPERLINK("http://trademark.i-assist.jp/data/china/image_1887th/76941979.pdf","76941979")</f>
        <v>76941979</v>
      </c>
      <c r="F1475" s="7" t="s">
        <v>4015</v>
      </c>
      <c r="G1475" s="7" t="s">
        <v>4016</v>
      </c>
      <c r="H1475" s="7" t="s">
        <v>4017</v>
      </c>
      <c r="I1475" s="9">
        <v>45346</v>
      </c>
    </row>
    <row r="1476" spans="1:9" ht="27" x14ac:dyDescent="0.15">
      <c r="A1476" s="6">
        <v>1475</v>
      </c>
      <c r="B1476" s="7" t="s">
        <v>8</v>
      </c>
      <c r="C1476" s="8">
        <v>1887</v>
      </c>
      <c r="D1476" s="9">
        <v>45425</v>
      </c>
      <c r="E1476" s="13" t="str">
        <f>+HYPERLINK("http://trademark.i-assist.jp/data/china/image_1887th/76942106.pdf","76942106")</f>
        <v>76942106</v>
      </c>
      <c r="F1476" s="7" t="s">
        <v>4018</v>
      </c>
      <c r="G1476" s="7" t="s">
        <v>4019</v>
      </c>
      <c r="H1476" s="7" t="s">
        <v>4020</v>
      </c>
      <c r="I1476" s="9">
        <v>45346</v>
      </c>
    </row>
    <row r="1477" spans="1:9" x14ac:dyDescent="0.15">
      <c r="A1477" s="6">
        <v>1476</v>
      </c>
      <c r="B1477" s="7" t="s">
        <v>8</v>
      </c>
      <c r="C1477" s="8">
        <v>1887</v>
      </c>
      <c r="D1477" s="9">
        <v>45425</v>
      </c>
      <c r="E1477" s="13" t="str">
        <f>+HYPERLINK("http://trademark.i-assist.jp/data/china/image_1887th/76942560.pdf","76942560")</f>
        <v>76942560</v>
      </c>
      <c r="F1477" s="7" t="s">
        <v>4021</v>
      </c>
      <c r="G1477" s="7" t="s">
        <v>4022</v>
      </c>
      <c r="H1477" s="7" t="s">
        <v>4023</v>
      </c>
      <c r="I1477" s="9">
        <v>45346</v>
      </c>
    </row>
    <row r="1478" spans="1:9" x14ac:dyDescent="0.15">
      <c r="A1478" s="6">
        <v>1477</v>
      </c>
      <c r="B1478" s="7" t="s">
        <v>8</v>
      </c>
      <c r="C1478" s="8">
        <v>1887</v>
      </c>
      <c r="D1478" s="9">
        <v>45425</v>
      </c>
      <c r="E1478" s="13" t="str">
        <f>+HYPERLINK("http://trademark.i-assist.jp/data/china/image_1887th/76943070.pdf","76943070")</f>
        <v>76943070</v>
      </c>
      <c r="F1478" s="7" t="s">
        <v>4024</v>
      </c>
      <c r="G1478" s="7" t="s">
        <v>4025</v>
      </c>
      <c r="H1478" s="7" t="s">
        <v>4026</v>
      </c>
      <c r="I1478" s="9">
        <v>45346</v>
      </c>
    </row>
    <row r="1479" spans="1:9" x14ac:dyDescent="0.15">
      <c r="A1479" s="6">
        <v>1478</v>
      </c>
      <c r="B1479" s="7" t="s">
        <v>8</v>
      </c>
      <c r="C1479" s="8">
        <v>1887</v>
      </c>
      <c r="D1479" s="9">
        <v>45425</v>
      </c>
      <c r="E1479" s="13" t="str">
        <f>+HYPERLINK("http://trademark.i-assist.jp/data/china/image_1887th/76943435.pdf","76943435")</f>
        <v>76943435</v>
      </c>
      <c r="F1479" s="7" t="s">
        <v>4027</v>
      </c>
      <c r="G1479" s="7" t="s">
        <v>4028</v>
      </c>
      <c r="H1479" s="7" t="s">
        <v>4029</v>
      </c>
      <c r="I1479" s="9">
        <v>45346</v>
      </c>
    </row>
    <row r="1480" spans="1:9" x14ac:dyDescent="0.15">
      <c r="A1480" s="6">
        <v>1479</v>
      </c>
      <c r="B1480" s="7" t="s">
        <v>8</v>
      </c>
      <c r="C1480" s="8">
        <v>1887</v>
      </c>
      <c r="D1480" s="9">
        <v>45425</v>
      </c>
      <c r="E1480" s="13" t="str">
        <f>+HYPERLINK("http://trademark.i-assist.jp/data/china/image_1887th/76943771.pdf","76943771")</f>
        <v>76943771</v>
      </c>
      <c r="F1480" s="7" t="s">
        <v>4030</v>
      </c>
      <c r="G1480" s="7" t="s">
        <v>4031</v>
      </c>
      <c r="H1480" s="7" t="s">
        <v>4032</v>
      </c>
      <c r="I1480" s="9">
        <v>45346</v>
      </c>
    </row>
    <row r="1481" spans="1:9" x14ac:dyDescent="0.15">
      <c r="A1481" s="6">
        <v>1480</v>
      </c>
      <c r="B1481" s="7" t="s">
        <v>8</v>
      </c>
      <c r="C1481" s="8">
        <v>1887</v>
      </c>
      <c r="D1481" s="9">
        <v>45425</v>
      </c>
      <c r="E1481" s="13" t="str">
        <f>+HYPERLINK("http://trademark.i-assist.jp/data/china/image_1887th/76943824.pdf","76943824")</f>
        <v>76943824</v>
      </c>
      <c r="F1481" s="7" t="s">
        <v>4033</v>
      </c>
      <c r="G1481" s="7" t="s">
        <v>4034</v>
      </c>
      <c r="H1481" s="7" t="s">
        <v>4035</v>
      </c>
      <c r="I1481" s="9">
        <v>45346</v>
      </c>
    </row>
    <row r="1482" spans="1:9" x14ac:dyDescent="0.15">
      <c r="A1482" s="6">
        <v>1481</v>
      </c>
      <c r="B1482" s="7" t="s">
        <v>8</v>
      </c>
      <c r="C1482" s="8">
        <v>1887</v>
      </c>
      <c r="D1482" s="9">
        <v>45425</v>
      </c>
      <c r="E1482" s="13" t="str">
        <f>+HYPERLINK("http://trademark.i-assist.jp/data/china/image_1887th/76943967.pdf","76943967")</f>
        <v>76943967</v>
      </c>
      <c r="F1482" s="7" t="s">
        <v>4036</v>
      </c>
      <c r="G1482" s="7" t="s">
        <v>4037</v>
      </c>
      <c r="H1482" s="7" t="s">
        <v>4038</v>
      </c>
      <c r="I1482" s="9">
        <v>45346</v>
      </c>
    </row>
    <row r="1483" spans="1:9" x14ac:dyDescent="0.15">
      <c r="A1483" s="6">
        <v>1482</v>
      </c>
      <c r="B1483" s="7" t="s">
        <v>8</v>
      </c>
      <c r="C1483" s="8">
        <v>1887</v>
      </c>
      <c r="D1483" s="9">
        <v>45425</v>
      </c>
      <c r="E1483" s="13" t="str">
        <f>+HYPERLINK("http://trademark.i-assist.jp/data/china/image_1887th/76944798.pdf","76944798")</f>
        <v>76944798</v>
      </c>
      <c r="F1483" s="7" t="s">
        <v>4039</v>
      </c>
      <c r="G1483" s="7" t="s">
        <v>1869</v>
      </c>
      <c r="H1483" s="7" t="s">
        <v>4040</v>
      </c>
      <c r="I1483" s="9">
        <v>45347</v>
      </c>
    </row>
    <row r="1484" spans="1:9" x14ac:dyDescent="0.15">
      <c r="A1484" s="6">
        <v>1483</v>
      </c>
      <c r="B1484" s="7" t="s">
        <v>8</v>
      </c>
      <c r="C1484" s="8">
        <v>1887</v>
      </c>
      <c r="D1484" s="9">
        <v>45425</v>
      </c>
      <c r="E1484" s="13" t="str">
        <f>+HYPERLINK("http://trademark.i-assist.jp/data/china/image_1887th/76945326.pdf","76945326")</f>
        <v>76945326</v>
      </c>
      <c r="F1484" s="7" t="s">
        <v>4041</v>
      </c>
      <c r="G1484" s="7" t="s">
        <v>4042</v>
      </c>
      <c r="H1484" s="7" t="s">
        <v>4043</v>
      </c>
      <c r="I1484" s="9">
        <v>45347</v>
      </c>
    </row>
    <row r="1485" spans="1:9" x14ac:dyDescent="0.15">
      <c r="A1485" s="6">
        <v>1484</v>
      </c>
      <c r="B1485" s="7" t="s">
        <v>8</v>
      </c>
      <c r="C1485" s="8">
        <v>1887</v>
      </c>
      <c r="D1485" s="9">
        <v>45425</v>
      </c>
      <c r="E1485" s="13" t="str">
        <f>+HYPERLINK("http://trademark.i-assist.jp/data/china/image_1887th/76945384.pdf","76945384")</f>
        <v>76945384</v>
      </c>
      <c r="F1485" s="7" t="s">
        <v>4044</v>
      </c>
      <c r="G1485" s="7" t="s">
        <v>4045</v>
      </c>
      <c r="H1485" s="7" t="s">
        <v>4046</v>
      </c>
      <c r="I1485" s="9">
        <v>45347</v>
      </c>
    </row>
    <row r="1486" spans="1:9" x14ac:dyDescent="0.15">
      <c r="A1486" s="6">
        <v>1485</v>
      </c>
      <c r="B1486" s="7" t="s">
        <v>8</v>
      </c>
      <c r="C1486" s="8">
        <v>1887</v>
      </c>
      <c r="D1486" s="9">
        <v>45425</v>
      </c>
      <c r="E1486" s="13" t="str">
        <f>+HYPERLINK("http://trademark.i-assist.jp/data/china/image_1887th/76945521.pdf","76945521")</f>
        <v>76945521</v>
      </c>
      <c r="F1486" s="7" t="s">
        <v>4047</v>
      </c>
      <c r="G1486" s="7" t="s">
        <v>4048</v>
      </c>
      <c r="H1486" s="7" t="s">
        <v>4049</v>
      </c>
      <c r="I1486" s="9">
        <v>45347</v>
      </c>
    </row>
    <row r="1487" spans="1:9" x14ac:dyDescent="0.15">
      <c r="A1487" s="6">
        <v>1486</v>
      </c>
      <c r="B1487" s="7" t="s">
        <v>8</v>
      </c>
      <c r="C1487" s="8">
        <v>1887</v>
      </c>
      <c r="D1487" s="9">
        <v>45425</v>
      </c>
      <c r="E1487" s="13" t="str">
        <f>+HYPERLINK("http://trademark.i-assist.jp/data/china/image_1887th/76945659.pdf","76945659")</f>
        <v>76945659</v>
      </c>
      <c r="F1487" s="7" t="s">
        <v>4050</v>
      </c>
      <c r="G1487" s="7" t="s">
        <v>4045</v>
      </c>
      <c r="H1487" s="7" t="s">
        <v>4051</v>
      </c>
      <c r="I1487" s="9">
        <v>45347</v>
      </c>
    </row>
    <row r="1488" spans="1:9" x14ac:dyDescent="0.15">
      <c r="A1488" s="6">
        <v>1487</v>
      </c>
      <c r="B1488" s="7" t="s">
        <v>8</v>
      </c>
      <c r="C1488" s="8">
        <v>1887</v>
      </c>
      <c r="D1488" s="9">
        <v>45425</v>
      </c>
      <c r="E1488" s="13" t="str">
        <f>+HYPERLINK("http://trademark.i-assist.jp/data/china/image_1887th/76945660.pdf","76945660")</f>
        <v>76945660</v>
      </c>
      <c r="F1488" s="7" t="s">
        <v>4052</v>
      </c>
      <c r="G1488" s="7" t="s">
        <v>4045</v>
      </c>
      <c r="H1488" s="7" t="s">
        <v>4053</v>
      </c>
      <c r="I1488" s="9">
        <v>45347</v>
      </c>
    </row>
    <row r="1489" spans="1:9" x14ac:dyDescent="0.15">
      <c r="A1489" s="6">
        <v>1488</v>
      </c>
      <c r="B1489" s="7" t="s">
        <v>8</v>
      </c>
      <c r="C1489" s="8">
        <v>1887</v>
      </c>
      <c r="D1489" s="9">
        <v>45425</v>
      </c>
      <c r="E1489" s="13" t="str">
        <f>+HYPERLINK("http://trademark.i-assist.jp/data/china/image_1887th/76945712.pdf","76945712")</f>
        <v>76945712</v>
      </c>
      <c r="F1489" s="7" t="s">
        <v>4054</v>
      </c>
      <c r="G1489" s="7" t="s">
        <v>4055</v>
      </c>
      <c r="H1489" s="7" t="s">
        <v>4056</v>
      </c>
      <c r="I1489" s="9">
        <v>45347</v>
      </c>
    </row>
    <row r="1490" spans="1:9" x14ac:dyDescent="0.15">
      <c r="A1490" s="6">
        <v>1489</v>
      </c>
      <c r="B1490" s="7" t="s">
        <v>8</v>
      </c>
      <c r="C1490" s="8">
        <v>1887</v>
      </c>
      <c r="D1490" s="9">
        <v>45425</v>
      </c>
      <c r="E1490" s="13" t="str">
        <f>+HYPERLINK("http://trademark.i-assist.jp/data/china/image_1887th/76946120.pdf","76946120")</f>
        <v>76946120</v>
      </c>
      <c r="F1490" s="7" t="s">
        <v>54</v>
      </c>
      <c r="G1490" s="7" t="s">
        <v>4057</v>
      </c>
      <c r="H1490" s="7" t="s">
        <v>4058</v>
      </c>
      <c r="I1490" s="9">
        <v>45347</v>
      </c>
    </row>
    <row r="1491" spans="1:9" x14ac:dyDescent="0.15">
      <c r="A1491" s="6">
        <v>1490</v>
      </c>
      <c r="B1491" s="7" t="s">
        <v>8</v>
      </c>
      <c r="C1491" s="8">
        <v>1887</v>
      </c>
      <c r="D1491" s="9">
        <v>45425</v>
      </c>
      <c r="E1491" s="13" t="str">
        <f>+HYPERLINK("http://trademark.i-assist.jp/data/china/image_1887th/76946288.pdf","76946288")</f>
        <v>76946288</v>
      </c>
      <c r="F1491" s="7" t="s">
        <v>4059</v>
      </c>
      <c r="G1491" s="7" t="s">
        <v>4060</v>
      </c>
      <c r="H1491" s="7" t="s">
        <v>4061</v>
      </c>
      <c r="I1491" s="9">
        <v>45347</v>
      </c>
    </row>
    <row r="1492" spans="1:9" x14ac:dyDescent="0.15">
      <c r="A1492" s="6">
        <v>1491</v>
      </c>
      <c r="B1492" s="7" t="s">
        <v>8</v>
      </c>
      <c r="C1492" s="8">
        <v>1887</v>
      </c>
      <c r="D1492" s="9">
        <v>45425</v>
      </c>
      <c r="E1492" s="13" t="str">
        <f>+HYPERLINK("http://trademark.i-assist.jp/data/china/image_1887th/76946536.pdf","76946536")</f>
        <v>76946536</v>
      </c>
      <c r="F1492" s="7" t="s">
        <v>4062</v>
      </c>
      <c r="G1492" s="7" t="s">
        <v>4063</v>
      </c>
      <c r="H1492" s="7" t="s">
        <v>4064</v>
      </c>
      <c r="I1492" s="9">
        <v>45347</v>
      </c>
    </row>
    <row r="1493" spans="1:9" x14ac:dyDescent="0.15">
      <c r="A1493" s="6">
        <v>1492</v>
      </c>
      <c r="B1493" s="7" t="s">
        <v>8</v>
      </c>
      <c r="C1493" s="8">
        <v>1887</v>
      </c>
      <c r="D1493" s="9">
        <v>45425</v>
      </c>
      <c r="E1493" s="13" t="str">
        <f>+HYPERLINK("http://trademark.i-assist.jp/data/china/image_1887th/76946590.pdf","76946590")</f>
        <v>76946590</v>
      </c>
      <c r="F1493" s="7" t="s">
        <v>4065</v>
      </c>
      <c r="G1493" s="7" t="s">
        <v>4066</v>
      </c>
      <c r="H1493" s="7" t="s">
        <v>4067</v>
      </c>
      <c r="I1493" s="9">
        <v>45347</v>
      </c>
    </row>
    <row r="1494" spans="1:9" x14ac:dyDescent="0.15">
      <c r="A1494" s="6">
        <v>1493</v>
      </c>
      <c r="B1494" s="7" t="s">
        <v>8</v>
      </c>
      <c r="C1494" s="8">
        <v>1887</v>
      </c>
      <c r="D1494" s="9">
        <v>45425</v>
      </c>
      <c r="E1494" s="13" t="str">
        <f>+HYPERLINK("http://trademark.i-assist.jp/data/china/image_1887th/76946770.pdf","76946770")</f>
        <v>76946770</v>
      </c>
      <c r="F1494" s="7" t="s">
        <v>4068</v>
      </c>
      <c r="G1494" s="7" t="s">
        <v>4045</v>
      </c>
      <c r="H1494" s="7" t="s">
        <v>4069</v>
      </c>
      <c r="I1494" s="9">
        <v>45347</v>
      </c>
    </row>
    <row r="1495" spans="1:9" x14ac:dyDescent="0.15">
      <c r="A1495" s="6">
        <v>1494</v>
      </c>
      <c r="B1495" s="7" t="s">
        <v>8</v>
      </c>
      <c r="C1495" s="8">
        <v>1887</v>
      </c>
      <c r="D1495" s="9">
        <v>45425</v>
      </c>
      <c r="E1495" s="13" t="str">
        <f>+HYPERLINK("http://trademark.i-assist.jp/data/china/image_1887th/76946944.pdf","76946944")</f>
        <v>76946944</v>
      </c>
      <c r="F1495" s="7" t="s">
        <v>4070</v>
      </c>
      <c r="G1495" s="7" t="s">
        <v>4066</v>
      </c>
      <c r="H1495" s="7" t="s">
        <v>4071</v>
      </c>
      <c r="I1495" s="9">
        <v>45347</v>
      </c>
    </row>
    <row r="1496" spans="1:9" x14ac:dyDescent="0.15">
      <c r="A1496" s="6">
        <v>1495</v>
      </c>
      <c r="B1496" s="7" t="s">
        <v>8</v>
      </c>
      <c r="C1496" s="8">
        <v>1887</v>
      </c>
      <c r="D1496" s="9">
        <v>45425</v>
      </c>
      <c r="E1496" s="13" t="str">
        <f>+HYPERLINK("http://trademark.i-assist.jp/data/china/image_1887th/76947493.pdf","76947493")</f>
        <v>76947493</v>
      </c>
      <c r="F1496" s="7" t="s">
        <v>4072</v>
      </c>
      <c r="G1496" s="7" t="s">
        <v>4066</v>
      </c>
      <c r="H1496" s="7" t="s">
        <v>4073</v>
      </c>
      <c r="I1496" s="9">
        <v>45347</v>
      </c>
    </row>
    <row r="1497" spans="1:9" ht="27" x14ac:dyDescent="0.15">
      <c r="A1497" s="6">
        <v>1496</v>
      </c>
      <c r="B1497" s="7" t="s">
        <v>8</v>
      </c>
      <c r="C1497" s="8">
        <v>1887</v>
      </c>
      <c r="D1497" s="9">
        <v>45425</v>
      </c>
      <c r="E1497" s="13" t="str">
        <f>+HYPERLINK("http://trademark.i-assist.jp/data/china/image_1887th/76947573.pdf","76947573")</f>
        <v>76947573</v>
      </c>
      <c r="F1497" s="7" t="s">
        <v>4074</v>
      </c>
      <c r="G1497" s="7" t="s">
        <v>4075</v>
      </c>
      <c r="H1497" s="7" t="s">
        <v>4076</v>
      </c>
      <c r="I1497" s="9">
        <v>45348</v>
      </c>
    </row>
    <row r="1498" spans="1:9" x14ac:dyDescent="0.15">
      <c r="A1498" s="6">
        <v>1497</v>
      </c>
      <c r="B1498" s="7" t="s">
        <v>8</v>
      </c>
      <c r="C1498" s="8">
        <v>1887</v>
      </c>
      <c r="D1498" s="9">
        <v>45425</v>
      </c>
      <c r="E1498" s="13" t="str">
        <f>+HYPERLINK("http://trademark.i-assist.jp/data/china/image_1887th/76947652.pdf","76947652")</f>
        <v>76947652</v>
      </c>
      <c r="F1498" s="7" t="s">
        <v>4077</v>
      </c>
      <c r="G1498" s="7" t="s">
        <v>4078</v>
      </c>
      <c r="H1498" s="7" t="s">
        <v>4079</v>
      </c>
      <c r="I1498" s="9">
        <v>45348</v>
      </c>
    </row>
    <row r="1499" spans="1:9" x14ac:dyDescent="0.15">
      <c r="A1499" s="6">
        <v>1498</v>
      </c>
      <c r="B1499" s="7" t="s">
        <v>8</v>
      </c>
      <c r="C1499" s="8">
        <v>1887</v>
      </c>
      <c r="D1499" s="9">
        <v>45425</v>
      </c>
      <c r="E1499" s="13" t="str">
        <f>+HYPERLINK("http://trademark.i-assist.jp/data/china/image_1887th/76947719.pdf","76947719")</f>
        <v>76947719</v>
      </c>
      <c r="F1499" s="7" t="s">
        <v>4080</v>
      </c>
      <c r="G1499" s="7" t="s">
        <v>4081</v>
      </c>
      <c r="H1499" s="7" t="s">
        <v>4082</v>
      </c>
      <c r="I1499" s="9">
        <v>45348</v>
      </c>
    </row>
    <row r="1500" spans="1:9" x14ac:dyDescent="0.15">
      <c r="A1500" s="6">
        <v>1499</v>
      </c>
      <c r="B1500" s="7" t="s">
        <v>8</v>
      </c>
      <c r="C1500" s="8">
        <v>1887</v>
      </c>
      <c r="D1500" s="9">
        <v>45425</v>
      </c>
      <c r="E1500" s="13" t="str">
        <f>+HYPERLINK("http://trademark.i-assist.jp/data/china/image_1887th/76947758.pdf","76947758")</f>
        <v>76947758</v>
      </c>
      <c r="F1500" s="7" t="s">
        <v>4083</v>
      </c>
      <c r="G1500" s="7" t="s">
        <v>4084</v>
      </c>
      <c r="H1500" s="7" t="s">
        <v>4085</v>
      </c>
      <c r="I1500" s="9">
        <v>45348</v>
      </c>
    </row>
    <row r="1501" spans="1:9" ht="27" x14ac:dyDescent="0.15">
      <c r="A1501" s="6">
        <v>1500</v>
      </c>
      <c r="B1501" s="7" t="s">
        <v>8</v>
      </c>
      <c r="C1501" s="8">
        <v>1887</v>
      </c>
      <c r="D1501" s="9">
        <v>45425</v>
      </c>
      <c r="E1501" s="13" t="str">
        <f>+HYPERLINK("http://trademark.i-assist.jp/data/china/image_1887th/76947779.pdf","76947779")</f>
        <v>76947779</v>
      </c>
      <c r="F1501" s="7" t="s">
        <v>4086</v>
      </c>
      <c r="G1501" s="7" t="s">
        <v>4087</v>
      </c>
      <c r="H1501" s="7" t="s">
        <v>4088</v>
      </c>
      <c r="I1501" s="9">
        <v>45348</v>
      </c>
    </row>
    <row r="1502" spans="1:9" ht="27" x14ac:dyDescent="0.15">
      <c r="A1502" s="6">
        <v>1501</v>
      </c>
      <c r="B1502" s="7" t="s">
        <v>8</v>
      </c>
      <c r="C1502" s="8">
        <v>1887</v>
      </c>
      <c r="D1502" s="9">
        <v>45425</v>
      </c>
      <c r="E1502" s="13" t="str">
        <f>+HYPERLINK("http://trademark.i-assist.jp/data/china/image_1887th/76948019.pdf","76948019")</f>
        <v>76948019</v>
      </c>
      <c r="F1502" s="7" t="s">
        <v>4089</v>
      </c>
      <c r="G1502" s="7" t="s">
        <v>4090</v>
      </c>
      <c r="H1502" s="7" t="s">
        <v>4091</v>
      </c>
      <c r="I1502" s="9">
        <v>45348</v>
      </c>
    </row>
    <row r="1503" spans="1:9" x14ac:dyDescent="0.15">
      <c r="A1503" s="6">
        <v>1502</v>
      </c>
      <c r="B1503" s="7" t="s">
        <v>8</v>
      </c>
      <c r="C1503" s="8">
        <v>1887</v>
      </c>
      <c r="D1503" s="9">
        <v>45425</v>
      </c>
      <c r="E1503" s="13" t="str">
        <f>+HYPERLINK("http://trademark.i-assist.jp/data/china/image_1887th/76948111.pdf","76948111")</f>
        <v>76948111</v>
      </c>
      <c r="F1503" s="7" t="s">
        <v>4092</v>
      </c>
      <c r="G1503" s="7" t="s">
        <v>4093</v>
      </c>
      <c r="H1503" s="7" t="s">
        <v>4094</v>
      </c>
      <c r="I1503" s="9">
        <v>45348</v>
      </c>
    </row>
    <row r="1504" spans="1:9" ht="27" x14ac:dyDescent="0.15">
      <c r="A1504" s="6">
        <v>1503</v>
      </c>
      <c r="B1504" s="7" t="s">
        <v>8</v>
      </c>
      <c r="C1504" s="8">
        <v>1887</v>
      </c>
      <c r="D1504" s="9">
        <v>45425</v>
      </c>
      <c r="E1504" s="13" t="str">
        <f>+HYPERLINK("http://trademark.i-assist.jp/data/china/image_1887th/76948131.pdf","76948131")</f>
        <v>76948131</v>
      </c>
      <c r="F1504" s="7" t="s">
        <v>4095</v>
      </c>
      <c r="G1504" s="7" t="s">
        <v>4096</v>
      </c>
      <c r="H1504" s="7" t="s">
        <v>4097</v>
      </c>
      <c r="I1504" s="9">
        <v>45348</v>
      </c>
    </row>
    <row r="1505" spans="1:9" x14ac:dyDescent="0.15">
      <c r="A1505" s="6">
        <v>1504</v>
      </c>
      <c r="B1505" s="7" t="s">
        <v>8</v>
      </c>
      <c r="C1505" s="8">
        <v>1887</v>
      </c>
      <c r="D1505" s="9">
        <v>45425</v>
      </c>
      <c r="E1505" s="13" t="str">
        <f>+HYPERLINK("http://trademark.i-assist.jp/data/china/image_1887th/76948231.pdf","76948231")</f>
        <v>76948231</v>
      </c>
      <c r="F1505" s="7" t="s">
        <v>4098</v>
      </c>
      <c r="G1505" s="7" t="s">
        <v>4099</v>
      </c>
      <c r="H1505" s="7" t="s">
        <v>4100</v>
      </c>
      <c r="I1505" s="9">
        <v>45348</v>
      </c>
    </row>
    <row r="1506" spans="1:9" x14ac:dyDescent="0.15">
      <c r="A1506" s="6">
        <v>1505</v>
      </c>
      <c r="B1506" s="7" t="s">
        <v>8</v>
      </c>
      <c r="C1506" s="8">
        <v>1887</v>
      </c>
      <c r="D1506" s="9">
        <v>45425</v>
      </c>
      <c r="E1506" s="13" t="str">
        <f>+HYPERLINK("http://trademark.i-assist.jp/data/china/image_1887th/76948266.pdf","76948266")</f>
        <v>76948266</v>
      </c>
      <c r="F1506" s="7" t="s">
        <v>4101</v>
      </c>
      <c r="G1506" s="7" t="s">
        <v>1194</v>
      </c>
      <c r="H1506" s="7" t="s">
        <v>4102</v>
      </c>
      <c r="I1506" s="9">
        <v>45348</v>
      </c>
    </row>
    <row r="1507" spans="1:9" x14ac:dyDescent="0.15">
      <c r="A1507" s="6">
        <v>1506</v>
      </c>
      <c r="B1507" s="7" t="s">
        <v>8</v>
      </c>
      <c r="C1507" s="8">
        <v>1887</v>
      </c>
      <c r="D1507" s="9">
        <v>45425</v>
      </c>
      <c r="E1507" s="13" t="str">
        <f>+HYPERLINK("http://trademark.i-assist.jp/data/china/image_1887th/76948333.pdf","76948333")</f>
        <v>76948333</v>
      </c>
      <c r="F1507" s="7" t="s">
        <v>4103</v>
      </c>
      <c r="G1507" s="7" t="s">
        <v>4104</v>
      </c>
      <c r="H1507" s="7" t="s">
        <v>4105</v>
      </c>
      <c r="I1507" s="9">
        <v>45348</v>
      </c>
    </row>
    <row r="1508" spans="1:9" ht="27" x14ac:dyDescent="0.15">
      <c r="A1508" s="6">
        <v>1507</v>
      </c>
      <c r="B1508" s="7" t="s">
        <v>8</v>
      </c>
      <c r="C1508" s="8">
        <v>1887</v>
      </c>
      <c r="D1508" s="9">
        <v>45425</v>
      </c>
      <c r="E1508" s="13" t="str">
        <f>+HYPERLINK("http://trademark.i-assist.jp/data/china/image_1887th/76948469.pdf","76948469")</f>
        <v>76948469</v>
      </c>
      <c r="F1508" s="7" t="s">
        <v>4106</v>
      </c>
      <c r="G1508" s="7" t="s">
        <v>4107</v>
      </c>
      <c r="H1508" s="7" t="s">
        <v>4108</v>
      </c>
      <c r="I1508" s="9">
        <v>45348</v>
      </c>
    </row>
    <row r="1509" spans="1:9" x14ac:dyDescent="0.15">
      <c r="A1509" s="6">
        <v>1508</v>
      </c>
      <c r="B1509" s="7" t="s">
        <v>8</v>
      </c>
      <c r="C1509" s="8">
        <v>1887</v>
      </c>
      <c r="D1509" s="9">
        <v>45425</v>
      </c>
      <c r="E1509" s="13" t="str">
        <f>+HYPERLINK("http://trademark.i-assist.jp/data/china/image_1887th/76948605.pdf","76948605")</f>
        <v>76948605</v>
      </c>
      <c r="F1509" s="7" t="s">
        <v>4109</v>
      </c>
      <c r="G1509" s="7" t="s">
        <v>4110</v>
      </c>
      <c r="H1509" s="7" t="s">
        <v>4111</v>
      </c>
      <c r="I1509" s="9">
        <v>45348</v>
      </c>
    </row>
    <row r="1510" spans="1:9" x14ac:dyDescent="0.15">
      <c r="A1510" s="6">
        <v>1509</v>
      </c>
      <c r="B1510" s="7" t="s">
        <v>8</v>
      </c>
      <c r="C1510" s="8">
        <v>1887</v>
      </c>
      <c r="D1510" s="9">
        <v>45425</v>
      </c>
      <c r="E1510" s="13" t="str">
        <f>+HYPERLINK("http://trademark.i-assist.jp/data/china/image_1887th/76948947.pdf","76948947")</f>
        <v>76948947</v>
      </c>
      <c r="F1510" s="7" t="s">
        <v>4112</v>
      </c>
      <c r="G1510" s="7" t="s">
        <v>4113</v>
      </c>
      <c r="H1510" s="7" t="s">
        <v>4114</v>
      </c>
      <c r="I1510" s="9">
        <v>45348</v>
      </c>
    </row>
    <row r="1511" spans="1:9" x14ac:dyDescent="0.15">
      <c r="A1511" s="6">
        <v>1510</v>
      </c>
      <c r="B1511" s="7" t="s">
        <v>8</v>
      </c>
      <c r="C1511" s="8">
        <v>1887</v>
      </c>
      <c r="D1511" s="9">
        <v>45425</v>
      </c>
      <c r="E1511" s="13" t="str">
        <f>+HYPERLINK("http://trademark.i-assist.jp/data/china/image_1887th/76949013.pdf","76949013")</f>
        <v>76949013</v>
      </c>
      <c r="F1511" s="7" t="s">
        <v>4115</v>
      </c>
      <c r="G1511" s="7" t="s">
        <v>4116</v>
      </c>
      <c r="H1511" s="7" t="s">
        <v>4117</v>
      </c>
      <c r="I1511" s="9">
        <v>45348</v>
      </c>
    </row>
    <row r="1512" spans="1:9" x14ac:dyDescent="0.15">
      <c r="A1512" s="6">
        <v>1511</v>
      </c>
      <c r="B1512" s="7" t="s">
        <v>8</v>
      </c>
      <c r="C1512" s="8">
        <v>1887</v>
      </c>
      <c r="D1512" s="9">
        <v>45425</v>
      </c>
      <c r="E1512" s="13" t="str">
        <f>+HYPERLINK("http://trademark.i-assist.jp/data/china/image_1887th/76949264.pdf","76949264")</f>
        <v>76949264</v>
      </c>
      <c r="F1512" s="7" t="s">
        <v>54</v>
      </c>
      <c r="G1512" s="7" t="s">
        <v>4118</v>
      </c>
      <c r="H1512" s="7" t="s">
        <v>4119</v>
      </c>
      <c r="I1512" s="9">
        <v>45348</v>
      </c>
    </row>
    <row r="1513" spans="1:9" x14ac:dyDescent="0.15">
      <c r="A1513" s="6">
        <v>1512</v>
      </c>
      <c r="B1513" s="7" t="s">
        <v>8</v>
      </c>
      <c r="C1513" s="8">
        <v>1887</v>
      </c>
      <c r="D1513" s="9">
        <v>45425</v>
      </c>
      <c r="E1513" s="13" t="str">
        <f>+HYPERLINK("http://trademark.i-assist.jp/data/china/image_1887th/76949369.pdf","76949369")</f>
        <v>76949369</v>
      </c>
      <c r="F1513" s="7" t="s">
        <v>4120</v>
      </c>
      <c r="G1513" s="7" t="s">
        <v>4099</v>
      </c>
      <c r="H1513" s="7" t="s">
        <v>4121</v>
      </c>
      <c r="I1513" s="9">
        <v>45348</v>
      </c>
    </row>
    <row r="1514" spans="1:9" x14ac:dyDescent="0.15">
      <c r="A1514" s="6">
        <v>1513</v>
      </c>
      <c r="B1514" s="7" t="s">
        <v>8</v>
      </c>
      <c r="C1514" s="8">
        <v>1887</v>
      </c>
      <c r="D1514" s="9">
        <v>45425</v>
      </c>
      <c r="E1514" s="13" t="str">
        <f>+HYPERLINK("http://trademark.i-assist.jp/data/china/image_1887th/76949382.pdf","76949382")</f>
        <v>76949382</v>
      </c>
      <c r="F1514" s="7" t="s">
        <v>4122</v>
      </c>
      <c r="G1514" s="7" t="s">
        <v>4123</v>
      </c>
      <c r="H1514" s="7" t="s">
        <v>4124</v>
      </c>
      <c r="I1514" s="9">
        <v>45348</v>
      </c>
    </row>
    <row r="1515" spans="1:9" x14ac:dyDescent="0.15">
      <c r="A1515" s="6">
        <v>1514</v>
      </c>
      <c r="B1515" s="7" t="s">
        <v>8</v>
      </c>
      <c r="C1515" s="8">
        <v>1887</v>
      </c>
      <c r="D1515" s="9">
        <v>45425</v>
      </c>
      <c r="E1515" s="13" t="str">
        <f>+HYPERLINK("http://trademark.i-assist.jp/data/china/image_1887th/76949747.pdf","76949747")</f>
        <v>76949747</v>
      </c>
      <c r="F1515" s="7" t="s">
        <v>4125</v>
      </c>
      <c r="G1515" s="7" t="s">
        <v>4126</v>
      </c>
      <c r="H1515" s="7" t="s">
        <v>4127</v>
      </c>
      <c r="I1515" s="9">
        <v>45348</v>
      </c>
    </row>
    <row r="1516" spans="1:9" x14ac:dyDescent="0.15">
      <c r="A1516" s="6">
        <v>1515</v>
      </c>
      <c r="B1516" s="7" t="s">
        <v>8</v>
      </c>
      <c r="C1516" s="8">
        <v>1887</v>
      </c>
      <c r="D1516" s="9">
        <v>45425</v>
      </c>
      <c r="E1516" s="13" t="str">
        <f>+HYPERLINK("http://trademark.i-assist.jp/data/china/image_1887th/76950301.pdf","76950301")</f>
        <v>76950301</v>
      </c>
      <c r="F1516" s="7" t="s">
        <v>4128</v>
      </c>
      <c r="G1516" s="7" t="s">
        <v>4129</v>
      </c>
      <c r="H1516" s="7" t="s">
        <v>4130</v>
      </c>
      <c r="I1516" s="9">
        <v>45348</v>
      </c>
    </row>
    <row r="1517" spans="1:9" x14ac:dyDescent="0.15">
      <c r="A1517" s="6">
        <v>1516</v>
      </c>
      <c r="B1517" s="7" t="s">
        <v>8</v>
      </c>
      <c r="C1517" s="8">
        <v>1887</v>
      </c>
      <c r="D1517" s="9">
        <v>45425</v>
      </c>
      <c r="E1517" s="13" t="str">
        <f>+HYPERLINK("http://trademark.i-assist.jp/data/china/image_1887th/76950318.pdf","76950318")</f>
        <v>76950318</v>
      </c>
      <c r="F1517" s="7" t="s">
        <v>4131</v>
      </c>
      <c r="G1517" s="7" t="s">
        <v>4132</v>
      </c>
      <c r="H1517" s="7" t="s">
        <v>4133</v>
      </c>
      <c r="I1517" s="9">
        <v>45348</v>
      </c>
    </row>
    <row r="1518" spans="1:9" x14ac:dyDescent="0.15">
      <c r="A1518" s="6">
        <v>1517</v>
      </c>
      <c r="B1518" s="7" t="s">
        <v>8</v>
      </c>
      <c r="C1518" s="8">
        <v>1887</v>
      </c>
      <c r="D1518" s="9">
        <v>45425</v>
      </c>
      <c r="E1518" s="13" t="str">
        <f>+HYPERLINK("http://trademark.i-assist.jp/data/china/image_1887th/76950359.pdf","76950359")</f>
        <v>76950359</v>
      </c>
      <c r="F1518" s="7" t="s">
        <v>4134</v>
      </c>
      <c r="G1518" s="7" t="s">
        <v>4099</v>
      </c>
      <c r="H1518" s="7" t="s">
        <v>4135</v>
      </c>
      <c r="I1518" s="9">
        <v>45348</v>
      </c>
    </row>
    <row r="1519" spans="1:9" x14ac:dyDescent="0.15">
      <c r="A1519" s="6">
        <v>1518</v>
      </c>
      <c r="B1519" s="7" t="s">
        <v>8</v>
      </c>
      <c r="C1519" s="8">
        <v>1887</v>
      </c>
      <c r="D1519" s="9">
        <v>45425</v>
      </c>
      <c r="E1519" s="13" t="str">
        <f>+HYPERLINK("http://trademark.i-assist.jp/data/china/image_1887th/76950392.pdf","76950392")</f>
        <v>76950392</v>
      </c>
      <c r="F1519" s="7" t="s">
        <v>4136</v>
      </c>
      <c r="G1519" s="7" t="s">
        <v>4137</v>
      </c>
      <c r="H1519" s="7" t="s">
        <v>4138</v>
      </c>
      <c r="I1519" s="9">
        <v>45348</v>
      </c>
    </row>
    <row r="1520" spans="1:9" ht="27" x14ac:dyDescent="0.15">
      <c r="A1520" s="6">
        <v>1519</v>
      </c>
      <c r="B1520" s="7" t="s">
        <v>8</v>
      </c>
      <c r="C1520" s="8">
        <v>1887</v>
      </c>
      <c r="D1520" s="9">
        <v>45425</v>
      </c>
      <c r="E1520" s="13" t="str">
        <f>+HYPERLINK("http://trademark.i-assist.jp/data/china/image_1887th/76950475.pdf","76950475")</f>
        <v>76950475</v>
      </c>
      <c r="F1520" s="7" t="s">
        <v>4139</v>
      </c>
      <c r="G1520" s="7" t="s">
        <v>4140</v>
      </c>
      <c r="H1520" s="7" t="s">
        <v>4141</v>
      </c>
      <c r="I1520" s="9">
        <v>45348</v>
      </c>
    </row>
    <row r="1521" spans="1:9" x14ac:dyDescent="0.15">
      <c r="A1521" s="6">
        <v>1520</v>
      </c>
      <c r="B1521" s="7" t="s">
        <v>8</v>
      </c>
      <c r="C1521" s="8">
        <v>1887</v>
      </c>
      <c r="D1521" s="9">
        <v>45425</v>
      </c>
      <c r="E1521" s="13" t="str">
        <f>+HYPERLINK("http://trademark.i-assist.jp/data/china/image_1887th/76950622.pdf","76950622")</f>
        <v>76950622</v>
      </c>
      <c r="F1521" s="7" t="s">
        <v>4142</v>
      </c>
      <c r="G1521" s="7" t="s">
        <v>4143</v>
      </c>
      <c r="H1521" s="7" t="s">
        <v>4144</v>
      </c>
      <c r="I1521" s="9">
        <v>45348</v>
      </c>
    </row>
    <row r="1522" spans="1:9" x14ac:dyDescent="0.15">
      <c r="A1522" s="6">
        <v>1521</v>
      </c>
      <c r="B1522" s="7" t="s">
        <v>8</v>
      </c>
      <c r="C1522" s="8">
        <v>1887</v>
      </c>
      <c r="D1522" s="9">
        <v>45425</v>
      </c>
      <c r="E1522" s="13" t="str">
        <f>+HYPERLINK("http://trademark.i-assist.jp/data/china/image_1887th/76950811.pdf","76950811")</f>
        <v>76950811</v>
      </c>
      <c r="F1522" s="7" t="s">
        <v>4145</v>
      </c>
      <c r="G1522" s="7" t="s">
        <v>4087</v>
      </c>
      <c r="H1522" s="7" t="s">
        <v>4146</v>
      </c>
      <c r="I1522" s="9">
        <v>45348</v>
      </c>
    </row>
    <row r="1523" spans="1:9" x14ac:dyDescent="0.15">
      <c r="A1523" s="6">
        <v>1522</v>
      </c>
      <c r="B1523" s="7" t="s">
        <v>8</v>
      </c>
      <c r="C1523" s="8">
        <v>1887</v>
      </c>
      <c r="D1523" s="9">
        <v>45425</v>
      </c>
      <c r="E1523" s="13" t="str">
        <f>+HYPERLINK("http://trademark.i-assist.jp/data/china/image_1887th/76950922.pdf","76950922")</f>
        <v>76950922</v>
      </c>
      <c r="F1523" s="7" t="s">
        <v>4147</v>
      </c>
      <c r="G1523" s="7" t="s">
        <v>4148</v>
      </c>
      <c r="H1523" s="7" t="s">
        <v>4149</v>
      </c>
      <c r="I1523" s="9">
        <v>45348</v>
      </c>
    </row>
    <row r="1524" spans="1:9" ht="27" x14ac:dyDescent="0.15">
      <c r="A1524" s="6">
        <v>1523</v>
      </c>
      <c r="B1524" s="7" t="s">
        <v>8</v>
      </c>
      <c r="C1524" s="8">
        <v>1887</v>
      </c>
      <c r="D1524" s="9">
        <v>45425</v>
      </c>
      <c r="E1524" s="13" t="str">
        <f>+HYPERLINK("http://trademark.i-assist.jp/data/china/image_1887th/76951008.pdf","76951008")</f>
        <v>76951008</v>
      </c>
      <c r="F1524" s="7" t="s">
        <v>4150</v>
      </c>
      <c r="G1524" s="7" t="s">
        <v>4151</v>
      </c>
      <c r="H1524" s="7" t="s">
        <v>4152</v>
      </c>
      <c r="I1524" s="9">
        <v>45348</v>
      </c>
    </row>
    <row r="1525" spans="1:9" x14ac:dyDescent="0.15">
      <c r="A1525" s="6">
        <v>1524</v>
      </c>
      <c r="B1525" s="7" t="s">
        <v>8</v>
      </c>
      <c r="C1525" s="8">
        <v>1887</v>
      </c>
      <c r="D1525" s="9">
        <v>45425</v>
      </c>
      <c r="E1525" s="13" t="str">
        <f>+HYPERLINK("http://trademark.i-assist.jp/data/china/image_1887th/76951063.pdf","76951063")</f>
        <v>76951063</v>
      </c>
      <c r="F1525" s="7" t="s">
        <v>4153</v>
      </c>
      <c r="G1525" s="7" t="s">
        <v>4154</v>
      </c>
      <c r="H1525" s="7" t="s">
        <v>4155</v>
      </c>
      <c r="I1525" s="9">
        <v>45348</v>
      </c>
    </row>
    <row r="1526" spans="1:9" x14ac:dyDescent="0.15">
      <c r="A1526" s="6">
        <v>1525</v>
      </c>
      <c r="B1526" s="7" t="s">
        <v>8</v>
      </c>
      <c r="C1526" s="8">
        <v>1887</v>
      </c>
      <c r="D1526" s="9">
        <v>45425</v>
      </c>
      <c r="E1526" s="13" t="str">
        <f>+HYPERLINK("http://trademark.i-assist.jp/data/china/image_1887th/76951211.pdf","76951211")</f>
        <v>76951211</v>
      </c>
      <c r="F1526" s="7" t="s">
        <v>4156</v>
      </c>
      <c r="G1526" s="7" t="s">
        <v>4157</v>
      </c>
      <c r="H1526" s="7" t="s">
        <v>4158</v>
      </c>
      <c r="I1526" s="9">
        <v>45348</v>
      </c>
    </row>
    <row r="1527" spans="1:9" x14ac:dyDescent="0.15">
      <c r="A1527" s="6">
        <v>1526</v>
      </c>
      <c r="B1527" s="7" t="s">
        <v>8</v>
      </c>
      <c r="C1527" s="8">
        <v>1887</v>
      </c>
      <c r="D1527" s="9">
        <v>45425</v>
      </c>
      <c r="E1527" s="13" t="str">
        <f>+HYPERLINK("http://trademark.i-assist.jp/data/china/image_1887th/76951225.pdf","76951225")</f>
        <v>76951225</v>
      </c>
      <c r="F1527" s="7" t="s">
        <v>4159</v>
      </c>
      <c r="G1527" s="7" t="s">
        <v>743</v>
      </c>
      <c r="H1527" s="7" t="s">
        <v>4160</v>
      </c>
      <c r="I1527" s="9">
        <v>45348</v>
      </c>
    </row>
    <row r="1528" spans="1:9" x14ac:dyDescent="0.15">
      <c r="A1528" s="6">
        <v>1527</v>
      </c>
      <c r="B1528" s="7" t="s">
        <v>8</v>
      </c>
      <c r="C1528" s="8">
        <v>1887</v>
      </c>
      <c r="D1528" s="9">
        <v>45425</v>
      </c>
      <c r="E1528" s="13" t="str">
        <f>+HYPERLINK("http://trademark.i-assist.jp/data/china/image_1887th/76951338.pdf","76951338")</f>
        <v>76951338</v>
      </c>
      <c r="F1528" s="7" t="s">
        <v>4161</v>
      </c>
      <c r="G1528" s="7" t="s">
        <v>4162</v>
      </c>
      <c r="H1528" s="7" t="s">
        <v>4163</v>
      </c>
      <c r="I1528" s="9">
        <v>45348</v>
      </c>
    </row>
    <row r="1529" spans="1:9" ht="27" x14ac:dyDescent="0.15">
      <c r="A1529" s="6">
        <v>1528</v>
      </c>
      <c r="B1529" s="7" t="s">
        <v>8</v>
      </c>
      <c r="C1529" s="8">
        <v>1887</v>
      </c>
      <c r="D1529" s="9">
        <v>45425</v>
      </c>
      <c r="E1529" s="13" t="str">
        <f>+HYPERLINK("http://trademark.i-assist.jp/data/china/image_1887th/76951421.pdf","76951421")</f>
        <v>76951421</v>
      </c>
      <c r="F1529" s="7" t="s">
        <v>4164</v>
      </c>
      <c r="G1529" s="7" t="s">
        <v>4165</v>
      </c>
      <c r="H1529" s="7" t="s">
        <v>4166</v>
      </c>
      <c r="I1529" s="9">
        <v>45348</v>
      </c>
    </row>
    <row r="1530" spans="1:9" ht="27" x14ac:dyDescent="0.15">
      <c r="A1530" s="6">
        <v>1529</v>
      </c>
      <c r="B1530" s="7" t="s">
        <v>8</v>
      </c>
      <c r="C1530" s="8">
        <v>1887</v>
      </c>
      <c r="D1530" s="9">
        <v>45425</v>
      </c>
      <c r="E1530" s="13" t="str">
        <f>+HYPERLINK("http://trademark.i-assist.jp/data/china/image_1887th/76951490.pdf","76951490")</f>
        <v>76951490</v>
      </c>
      <c r="F1530" s="7" t="s">
        <v>4167</v>
      </c>
      <c r="G1530" s="7" t="s">
        <v>4168</v>
      </c>
      <c r="H1530" s="7" t="s">
        <v>4169</v>
      </c>
      <c r="I1530" s="9">
        <v>45348</v>
      </c>
    </row>
    <row r="1531" spans="1:9" ht="27" x14ac:dyDescent="0.15">
      <c r="A1531" s="6">
        <v>1530</v>
      </c>
      <c r="B1531" s="7" t="s">
        <v>8</v>
      </c>
      <c r="C1531" s="8">
        <v>1887</v>
      </c>
      <c r="D1531" s="9">
        <v>45425</v>
      </c>
      <c r="E1531" s="13" t="str">
        <f>+HYPERLINK("http://trademark.i-assist.jp/data/china/image_1887th/76951541.pdf","76951541")</f>
        <v>76951541</v>
      </c>
      <c r="F1531" s="7" t="s">
        <v>54</v>
      </c>
      <c r="G1531" s="7" t="s">
        <v>4170</v>
      </c>
      <c r="H1531" s="7" t="s">
        <v>4171</v>
      </c>
      <c r="I1531" s="9">
        <v>45348</v>
      </c>
    </row>
    <row r="1532" spans="1:9" x14ac:dyDescent="0.15">
      <c r="A1532" s="6">
        <v>1531</v>
      </c>
      <c r="B1532" s="7" t="s">
        <v>8</v>
      </c>
      <c r="C1532" s="8">
        <v>1887</v>
      </c>
      <c r="D1532" s="9">
        <v>45425</v>
      </c>
      <c r="E1532" s="13" t="str">
        <f>+HYPERLINK("http://trademark.i-assist.jp/data/china/image_1887th/76951662.pdf","76951662")</f>
        <v>76951662</v>
      </c>
      <c r="F1532" s="7" t="s">
        <v>4172</v>
      </c>
      <c r="G1532" s="7" t="s">
        <v>4173</v>
      </c>
      <c r="H1532" s="7" t="s">
        <v>4174</v>
      </c>
      <c r="I1532" s="9">
        <v>45348</v>
      </c>
    </row>
    <row r="1533" spans="1:9" x14ac:dyDescent="0.15">
      <c r="A1533" s="6">
        <v>1532</v>
      </c>
      <c r="B1533" s="7" t="s">
        <v>8</v>
      </c>
      <c r="C1533" s="8">
        <v>1887</v>
      </c>
      <c r="D1533" s="9">
        <v>45425</v>
      </c>
      <c r="E1533" s="13" t="str">
        <f>+HYPERLINK("http://trademark.i-assist.jp/data/china/image_1887th/76951715.pdf","76951715")</f>
        <v>76951715</v>
      </c>
      <c r="F1533" s="7" t="s">
        <v>4175</v>
      </c>
      <c r="G1533" s="7" t="s">
        <v>4104</v>
      </c>
      <c r="H1533" s="7" t="s">
        <v>4176</v>
      </c>
      <c r="I1533" s="9">
        <v>45348</v>
      </c>
    </row>
    <row r="1534" spans="1:9" x14ac:dyDescent="0.15">
      <c r="A1534" s="6">
        <v>1533</v>
      </c>
      <c r="B1534" s="7" t="s">
        <v>8</v>
      </c>
      <c r="C1534" s="8">
        <v>1887</v>
      </c>
      <c r="D1534" s="9">
        <v>45425</v>
      </c>
      <c r="E1534" s="13" t="str">
        <f>+HYPERLINK("http://trademark.i-assist.jp/data/china/image_1887th/76951932.pdf","76951932")</f>
        <v>76951932</v>
      </c>
      <c r="F1534" s="7" t="s">
        <v>4177</v>
      </c>
      <c r="G1534" s="7" t="s">
        <v>4178</v>
      </c>
      <c r="H1534" s="7" t="s">
        <v>4179</v>
      </c>
      <c r="I1534" s="9">
        <v>45348</v>
      </c>
    </row>
    <row r="1535" spans="1:9" ht="27" x14ac:dyDescent="0.15">
      <c r="A1535" s="6">
        <v>1534</v>
      </c>
      <c r="B1535" s="7" t="s">
        <v>8</v>
      </c>
      <c r="C1535" s="8">
        <v>1887</v>
      </c>
      <c r="D1535" s="9">
        <v>45425</v>
      </c>
      <c r="E1535" s="13" t="str">
        <f>+HYPERLINK("http://trademark.i-assist.jp/data/china/image_1887th/76952045.pdf","76952045")</f>
        <v>76952045</v>
      </c>
      <c r="F1535" s="7" t="s">
        <v>4180</v>
      </c>
      <c r="G1535" s="7" t="s">
        <v>4181</v>
      </c>
      <c r="H1535" s="7" t="s">
        <v>4182</v>
      </c>
      <c r="I1535" s="9">
        <v>45348</v>
      </c>
    </row>
    <row r="1536" spans="1:9" x14ac:dyDescent="0.15">
      <c r="A1536" s="6">
        <v>1535</v>
      </c>
      <c r="B1536" s="7" t="s">
        <v>8</v>
      </c>
      <c r="C1536" s="8">
        <v>1887</v>
      </c>
      <c r="D1536" s="9">
        <v>45425</v>
      </c>
      <c r="E1536" s="13" t="str">
        <f>+HYPERLINK("http://trademark.i-assist.jp/data/china/image_1887th/76952366.pdf","76952366")</f>
        <v>76952366</v>
      </c>
      <c r="F1536" s="7" t="s">
        <v>4183</v>
      </c>
      <c r="G1536" s="7" t="s">
        <v>4157</v>
      </c>
      <c r="H1536" s="7" t="s">
        <v>4184</v>
      </c>
      <c r="I1536" s="9">
        <v>45348</v>
      </c>
    </row>
    <row r="1537" spans="1:9" x14ac:dyDescent="0.15">
      <c r="A1537" s="6">
        <v>1536</v>
      </c>
      <c r="B1537" s="7" t="s">
        <v>8</v>
      </c>
      <c r="C1537" s="8">
        <v>1887</v>
      </c>
      <c r="D1537" s="9">
        <v>45425</v>
      </c>
      <c r="E1537" s="13" t="str">
        <f>+HYPERLINK("http://trademark.i-assist.jp/data/china/image_1887th/76952765.pdf","76952765")</f>
        <v>76952765</v>
      </c>
      <c r="F1537" s="7" t="s">
        <v>4185</v>
      </c>
      <c r="G1537" s="7" t="s">
        <v>4186</v>
      </c>
      <c r="H1537" s="7" t="s">
        <v>4187</v>
      </c>
      <c r="I1537" s="9">
        <v>45348</v>
      </c>
    </row>
    <row r="1538" spans="1:9" ht="27" x14ac:dyDescent="0.15">
      <c r="A1538" s="6">
        <v>1537</v>
      </c>
      <c r="B1538" s="7" t="s">
        <v>8</v>
      </c>
      <c r="C1538" s="8">
        <v>1887</v>
      </c>
      <c r="D1538" s="9">
        <v>45425</v>
      </c>
      <c r="E1538" s="13" t="str">
        <f>+HYPERLINK("http://trademark.i-assist.jp/data/china/image_1887th/76952840.pdf","76952840")</f>
        <v>76952840</v>
      </c>
      <c r="F1538" s="7" t="s">
        <v>4188</v>
      </c>
      <c r="G1538" s="7" t="s">
        <v>4189</v>
      </c>
      <c r="H1538" s="7" t="s">
        <v>4190</v>
      </c>
      <c r="I1538" s="9">
        <v>45348</v>
      </c>
    </row>
    <row r="1539" spans="1:9" x14ac:dyDescent="0.15">
      <c r="A1539" s="6">
        <v>1538</v>
      </c>
      <c r="B1539" s="7" t="s">
        <v>8</v>
      </c>
      <c r="C1539" s="8">
        <v>1887</v>
      </c>
      <c r="D1539" s="9">
        <v>45425</v>
      </c>
      <c r="E1539" s="13" t="str">
        <f>+HYPERLINK("http://trademark.i-assist.jp/data/china/image_1887th/76952943.pdf","76952943")</f>
        <v>76952943</v>
      </c>
      <c r="F1539" s="7" t="s">
        <v>4191</v>
      </c>
      <c r="G1539" s="7" t="s">
        <v>4192</v>
      </c>
      <c r="H1539" s="7" t="s">
        <v>4193</v>
      </c>
      <c r="I1539" s="9">
        <v>45348</v>
      </c>
    </row>
    <row r="1540" spans="1:9" x14ac:dyDescent="0.15">
      <c r="A1540" s="6">
        <v>1539</v>
      </c>
      <c r="B1540" s="7" t="s">
        <v>8</v>
      </c>
      <c r="C1540" s="8">
        <v>1887</v>
      </c>
      <c r="D1540" s="9">
        <v>45425</v>
      </c>
      <c r="E1540" s="13" t="str">
        <f>+HYPERLINK("http://trademark.i-assist.jp/data/china/image_1887th/76953018.pdf","76953018")</f>
        <v>76953018</v>
      </c>
      <c r="F1540" s="7" t="s">
        <v>4194</v>
      </c>
      <c r="G1540" s="7" t="s">
        <v>4173</v>
      </c>
      <c r="H1540" s="7" t="s">
        <v>4195</v>
      </c>
      <c r="I1540" s="9">
        <v>45348</v>
      </c>
    </row>
    <row r="1541" spans="1:9" x14ac:dyDescent="0.15">
      <c r="A1541" s="6">
        <v>1540</v>
      </c>
      <c r="B1541" s="7" t="s">
        <v>8</v>
      </c>
      <c r="C1541" s="8">
        <v>1887</v>
      </c>
      <c r="D1541" s="9">
        <v>45425</v>
      </c>
      <c r="E1541" s="13" t="str">
        <f>+HYPERLINK("http://trademark.i-assist.jp/data/china/image_1887th/76953233.pdf","76953233")</f>
        <v>76953233</v>
      </c>
      <c r="F1541" s="7" t="s">
        <v>4196</v>
      </c>
      <c r="G1541" s="7" t="s">
        <v>4197</v>
      </c>
      <c r="H1541" s="7" t="s">
        <v>4198</v>
      </c>
      <c r="I1541" s="9">
        <v>45348</v>
      </c>
    </row>
    <row r="1542" spans="1:9" x14ac:dyDescent="0.15">
      <c r="A1542" s="6">
        <v>1541</v>
      </c>
      <c r="B1542" s="7" t="s">
        <v>8</v>
      </c>
      <c r="C1542" s="8">
        <v>1887</v>
      </c>
      <c r="D1542" s="9">
        <v>45425</v>
      </c>
      <c r="E1542" s="13" t="str">
        <f>+HYPERLINK("http://trademark.i-assist.jp/data/china/image_1887th/76953705.pdf","76953705")</f>
        <v>76953705</v>
      </c>
      <c r="F1542" s="7" t="s">
        <v>54</v>
      </c>
      <c r="G1542" s="7" t="s">
        <v>4199</v>
      </c>
      <c r="H1542" s="7" t="s">
        <v>4200</v>
      </c>
      <c r="I1542" s="9">
        <v>45348</v>
      </c>
    </row>
    <row r="1543" spans="1:9" x14ac:dyDescent="0.15">
      <c r="A1543" s="6">
        <v>1542</v>
      </c>
      <c r="B1543" s="7" t="s">
        <v>8</v>
      </c>
      <c r="C1543" s="8">
        <v>1887</v>
      </c>
      <c r="D1543" s="9">
        <v>45425</v>
      </c>
      <c r="E1543" s="13" t="str">
        <f>+HYPERLINK("http://trademark.i-assist.jp/data/china/image_1887th/76953775.pdf","76953775")</f>
        <v>76953775</v>
      </c>
      <c r="F1543" s="7" t="s">
        <v>4201</v>
      </c>
      <c r="G1543" s="7" t="s">
        <v>4202</v>
      </c>
      <c r="H1543" s="7" t="s">
        <v>4203</v>
      </c>
      <c r="I1543" s="9">
        <v>45348</v>
      </c>
    </row>
    <row r="1544" spans="1:9" x14ac:dyDescent="0.15">
      <c r="A1544" s="6">
        <v>1543</v>
      </c>
      <c r="B1544" s="7" t="s">
        <v>8</v>
      </c>
      <c r="C1544" s="8">
        <v>1887</v>
      </c>
      <c r="D1544" s="9">
        <v>45425</v>
      </c>
      <c r="E1544" s="13" t="str">
        <f>+HYPERLINK("http://trademark.i-assist.jp/data/china/image_1887th/76953801.pdf","76953801")</f>
        <v>76953801</v>
      </c>
      <c r="F1544" s="7" t="s">
        <v>4204</v>
      </c>
      <c r="G1544" s="7" t="s">
        <v>4205</v>
      </c>
      <c r="H1544" s="7" t="s">
        <v>4206</v>
      </c>
      <c r="I1544" s="9">
        <v>45348</v>
      </c>
    </row>
    <row r="1545" spans="1:9" x14ac:dyDescent="0.15">
      <c r="A1545" s="6">
        <v>1544</v>
      </c>
      <c r="B1545" s="7" t="s">
        <v>8</v>
      </c>
      <c r="C1545" s="8">
        <v>1887</v>
      </c>
      <c r="D1545" s="9">
        <v>45425</v>
      </c>
      <c r="E1545" s="13" t="str">
        <f>+HYPERLINK("http://trademark.i-assist.jp/data/china/image_1887th/76953849.pdf","76953849")</f>
        <v>76953849</v>
      </c>
      <c r="F1545" s="7" t="s">
        <v>4207</v>
      </c>
      <c r="G1545" s="7" t="s">
        <v>4208</v>
      </c>
      <c r="H1545" s="7" t="s">
        <v>4209</v>
      </c>
      <c r="I1545" s="9">
        <v>45348</v>
      </c>
    </row>
    <row r="1546" spans="1:9" ht="27" x14ac:dyDescent="0.15">
      <c r="A1546" s="6">
        <v>1545</v>
      </c>
      <c r="B1546" s="7" t="s">
        <v>8</v>
      </c>
      <c r="C1546" s="8">
        <v>1887</v>
      </c>
      <c r="D1546" s="9">
        <v>45425</v>
      </c>
      <c r="E1546" s="13" t="str">
        <f>+HYPERLINK("http://trademark.i-assist.jp/data/china/image_1887th/76953942.pdf","76953942")</f>
        <v>76953942</v>
      </c>
      <c r="F1546" s="7" t="s">
        <v>4210</v>
      </c>
      <c r="G1546" s="7" t="s">
        <v>4211</v>
      </c>
      <c r="H1546" s="7" t="s">
        <v>4212</v>
      </c>
      <c r="I1546" s="9">
        <v>45348</v>
      </c>
    </row>
    <row r="1547" spans="1:9" x14ac:dyDescent="0.15">
      <c r="A1547" s="6">
        <v>1546</v>
      </c>
      <c r="B1547" s="7" t="s">
        <v>8</v>
      </c>
      <c r="C1547" s="8">
        <v>1887</v>
      </c>
      <c r="D1547" s="9">
        <v>45425</v>
      </c>
      <c r="E1547" s="13" t="str">
        <f>+HYPERLINK("http://trademark.i-assist.jp/data/china/image_1887th/76953950.pdf","76953950")</f>
        <v>76953950</v>
      </c>
      <c r="F1547" s="7" t="s">
        <v>4213</v>
      </c>
      <c r="G1547" s="7" t="s">
        <v>4214</v>
      </c>
      <c r="H1547" s="7" t="s">
        <v>4215</v>
      </c>
      <c r="I1547" s="9">
        <v>45348</v>
      </c>
    </row>
    <row r="1548" spans="1:9" ht="27" x14ac:dyDescent="0.15">
      <c r="A1548" s="6">
        <v>1547</v>
      </c>
      <c r="B1548" s="7" t="s">
        <v>8</v>
      </c>
      <c r="C1548" s="8">
        <v>1887</v>
      </c>
      <c r="D1548" s="9">
        <v>45425</v>
      </c>
      <c r="E1548" s="13" t="str">
        <f>+HYPERLINK("http://trademark.i-assist.jp/data/china/image_1887th/76953951.pdf","76953951")</f>
        <v>76953951</v>
      </c>
      <c r="F1548" s="7" t="s">
        <v>4216</v>
      </c>
      <c r="G1548" s="7" t="s">
        <v>4211</v>
      </c>
      <c r="H1548" s="7" t="s">
        <v>4217</v>
      </c>
      <c r="I1548" s="9">
        <v>45348</v>
      </c>
    </row>
    <row r="1549" spans="1:9" ht="27" x14ac:dyDescent="0.15">
      <c r="A1549" s="6">
        <v>1548</v>
      </c>
      <c r="B1549" s="7" t="s">
        <v>8</v>
      </c>
      <c r="C1549" s="8">
        <v>1887</v>
      </c>
      <c r="D1549" s="9">
        <v>45425</v>
      </c>
      <c r="E1549" s="13" t="str">
        <f>+HYPERLINK("http://trademark.i-assist.jp/data/china/image_1887th/76953962.pdf","76953962")</f>
        <v>76953962</v>
      </c>
      <c r="F1549" s="7" t="s">
        <v>4218</v>
      </c>
      <c r="G1549" s="7" t="s">
        <v>4211</v>
      </c>
      <c r="H1549" s="7" t="s">
        <v>4219</v>
      </c>
      <c r="I1549" s="9">
        <v>45348</v>
      </c>
    </row>
    <row r="1550" spans="1:9" ht="27" x14ac:dyDescent="0.15">
      <c r="A1550" s="6">
        <v>1549</v>
      </c>
      <c r="B1550" s="7" t="s">
        <v>8</v>
      </c>
      <c r="C1550" s="8">
        <v>1887</v>
      </c>
      <c r="D1550" s="9">
        <v>45425</v>
      </c>
      <c r="E1550" s="13" t="str">
        <f>+HYPERLINK("http://trademark.i-assist.jp/data/china/image_1887th/76953985.pdf","76953985")</f>
        <v>76953985</v>
      </c>
      <c r="F1550" s="7" t="s">
        <v>4220</v>
      </c>
      <c r="G1550" s="7" t="s">
        <v>4211</v>
      </c>
      <c r="H1550" s="7" t="s">
        <v>4221</v>
      </c>
      <c r="I1550" s="9">
        <v>45348</v>
      </c>
    </row>
    <row r="1551" spans="1:9" ht="27" x14ac:dyDescent="0.15">
      <c r="A1551" s="6">
        <v>1550</v>
      </c>
      <c r="B1551" s="7" t="s">
        <v>8</v>
      </c>
      <c r="C1551" s="8">
        <v>1887</v>
      </c>
      <c r="D1551" s="9">
        <v>45425</v>
      </c>
      <c r="E1551" s="13" t="str">
        <f>+HYPERLINK("http://trademark.i-assist.jp/data/china/image_1887th/76954050.pdf","76954050")</f>
        <v>76954050</v>
      </c>
      <c r="F1551" s="7" t="s">
        <v>4222</v>
      </c>
      <c r="G1551" s="7" t="s">
        <v>4223</v>
      </c>
      <c r="H1551" s="7" t="s">
        <v>4224</v>
      </c>
      <c r="I1551" s="9">
        <v>45348</v>
      </c>
    </row>
    <row r="1552" spans="1:9" x14ac:dyDescent="0.15">
      <c r="A1552" s="6">
        <v>1551</v>
      </c>
      <c r="B1552" s="7" t="s">
        <v>8</v>
      </c>
      <c r="C1552" s="8">
        <v>1887</v>
      </c>
      <c r="D1552" s="9">
        <v>45425</v>
      </c>
      <c r="E1552" s="13" t="str">
        <f>+HYPERLINK("http://trademark.i-assist.jp/data/china/image_1887th/76954186.pdf","76954186")</f>
        <v>76954186</v>
      </c>
      <c r="F1552" s="7" t="s">
        <v>4225</v>
      </c>
      <c r="G1552" s="7" t="s">
        <v>4226</v>
      </c>
      <c r="H1552" s="7" t="s">
        <v>4227</v>
      </c>
      <c r="I1552" s="9">
        <v>45348</v>
      </c>
    </row>
    <row r="1553" spans="1:9" ht="27" x14ac:dyDescent="0.15">
      <c r="A1553" s="6">
        <v>1552</v>
      </c>
      <c r="B1553" s="7" t="s">
        <v>8</v>
      </c>
      <c r="C1553" s="8">
        <v>1887</v>
      </c>
      <c r="D1553" s="9">
        <v>45425</v>
      </c>
      <c r="E1553" s="13" t="str">
        <f>+HYPERLINK("http://trademark.i-assist.jp/data/china/image_1887th/76954355.pdf","76954355")</f>
        <v>76954355</v>
      </c>
      <c r="F1553" s="7" t="s">
        <v>4228</v>
      </c>
      <c r="G1553" s="7" t="s">
        <v>4229</v>
      </c>
      <c r="H1553" s="7" t="s">
        <v>4230</v>
      </c>
      <c r="I1553" s="9">
        <v>45348</v>
      </c>
    </row>
    <row r="1554" spans="1:9" x14ac:dyDescent="0.15">
      <c r="A1554" s="6">
        <v>1553</v>
      </c>
      <c r="B1554" s="7" t="s">
        <v>8</v>
      </c>
      <c r="C1554" s="8">
        <v>1887</v>
      </c>
      <c r="D1554" s="9">
        <v>45425</v>
      </c>
      <c r="E1554" s="13" t="str">
        <f>+HYPERLINK("http://trademark.i-assist.jp/data/china/image_1887th/76954486.pdf","76954486")</f>
        <v>76954486</v>
      </c>
      <c r="F1554" s="7" t="s">
        <v>4231</v>
      </c>
      <c r="G1554" s="7" t="s">
        <v>4232</v>
      </c>
      <c r="H1554" s="7" t="s">
        <v>4233</v>
      </c>
      <c r="I1554" s="9">
        <v>45348</v>
      </c>
    </row>
    <row r="1555" spans="1:9" x14ac:dyDescent="0.15">
      <c r="A1555" s="6">
        <v>1554</v>
      </c>
      <c r="B1555" s="7" t="s">
        <v>8</v>
      </c>
      <c r="C1555" s="8">
        <v>1887</v>
      </c>
      <c r="D1555" s="9">
        <v>45425</v>
      </c>
      <c r="E1555" s="13" t="str">
        <f>+HYPERLINK("http://trademark.i-assist.jp/data/china/image_1887th/76954597.pdf","76954597")</f>
        <v>76954597</v>
      </c>
      <c r="F1555" s="7" t="s">
        <v>4234</v>
      </c>
      <c r="G1555" s="7" t="s">
        <v>4235</v>
      </c>
      <c r="H1555" s="7" t="s">
        <v>4236</v>
      </c>
      <c r="I1555" s="9">
        <v>45348</v>
      </c>
    </row>
    <row r="1556" spans="1:9" x14ac:dyDescent="0.15">
      <c r="A1556" s="6">
        <v>1555</v>
      </c>
      <c r="B1556" s="7" t="s">
        <v>8</v>
      </c>
      <c r="C1556" s="8">
        <v>1887</v>
      </c>
      <c r="D1556" s="9">
        <v>45425</v>
      </c>
      <c r="E1556" s="13" t="str">
        <f>+HYPERLINK("http://trademark.i-assist.jp/data/china/image_1887th/76954775.pdf","76954775")</f>
        <v>76954775</v>
      </c>
      <c r="F1556" s="7" t="s">
        <v>4237</v>
      </c>
      <c r="G1556" s="7" t="s">
        <v>4238</v>
      </c>
      <c r="H1556" s="7" t="s">
        <v>4239</v>
      </c>
      <c r="I1556" s="9">
        <v>45348</v>
      </c>
    </row>
    <row r="1557" spans="1:9" ht="27" x14ac:dyDescent="0.15">
      <c r="A1557" s="6">
        <v>1556</v>
      </c>
      <c r="B1557" s="7" t="s">
        <v>8</v>
      </c>
      <c r="C1557" s="8">
        <v>1887</v>
      </c>
      <c r="D1557" s="9">
        <v>45425</v>
      </c>
      <c r="E1557" s="13" t="str">
        <f>+HYPERLINK("http://trademark.i-assist.jp/data/china/image_1887th/76954897.pdf","76954897")</f>
        <v>76954897</v>
      </c>
      <c r="F1557" s="7" t="s">
        <v>4240</v>
      </c>
      <c r="G1557" s="7" t="s">
        <v>4241</v>
      </c>
      <c r="H1557" s="7" t="s">
        <v>4242</v>
      </c>
      <c r="I1557" s="9">
        <v>45348</v>
      </c>
    </row>
    <row r="1558" spans="1:9" x14ac:dyDescent="0.15">
      <c r="A1558" s="6">
        <v>1557</v>
      </c>
      <c r="B1558" s="7" t="s">
        <v>8</v>
      </c>
      <c r="C1558" s="8">
        <v>1887</v>
      </c>
      <c r="D1558" s="9">
        <v>45425</v>
      </c>
      <c r="E1558" s="13" t="str">
        <f>+HYPERLINK("http://trademark.i-assist.jp/data/china/image_1887th/76955169.pdf","76955169")</f>
        <v>76955169</v>
      </c>
      <c r="F1558" s="7" t="s">
        <v>4243</v>
      </c>
      <c r="G1558" s="7" t="s">
        <v>4244</v>
      </c>
      <c r="H1558" s="7" t="s">
        <v>4245</v>
      </c>
      <c r="I1558" s="9">
        <v>45348</v>
      </c>
    </row>
    <row r="1559" spans="1:9" x14ac:dyDescent="0.15">
      <c r="A1559" s="6">
        <v>1558</v>
      </c>
      <c r="B1559" s="7" t="s">
        <v>8</v>
      </c>
      <c r="C1559" s="8">
        <v>1887</v>
      </c>
      <c r="D1559" s="9">
        <v>45425</v>
      </c>
      <c r="E1559" s="13" t="str">
        <f>+HYPERLINK("http://trademark.i-assist.jp/data/china/image_1887th/76955433.pdf","76955433")</f>
        <v>76955433</v>
      </c>
      <c r="F1559" s="7" t="s">
        <v>4246</v>
      </c>
      <c r="G1559" s="7" t="s">
        <v>4247</v>
      </c>
      <c r="H1559" s="7" t="s">
        <v>4248</v>
      </c>
      <c r="I1559" s="9">
        <v>45348</v>
      </c>
    </row>
    <row r="1560" spans="1:9" x14ac:dyDescent="0.15">
      <c r="A1560" s="6">
        <v>1559</v>
      </c>
      <c r="B1560" s="7" t="s">
        <v>8</v>
      </c>
      <c r="C1560" s="8">
        <v>1887</v>
      </c>
      <c r="D1560" s="9">
        <v>45425</v>
      </c>
      <c r="E1560" s="13" t="str">
        <f>+HYPERLINK("http://trademark.i-assist.jp/data/china/image_1887th/76955495.pdf","76955495")</f>
        <v>76955495</v>
      </c>
      <c r="F1560" s="7" t="s">
        <v>4249</v>
      </c>
      <c r="G1560" s="7" t="s">
        <v>4250</v>
      </c>
      <c r="H1560" s="7" t="s">
        <v>4251</v>
      </c>
      <c r="I1560" s="9">
        <v>45348</v>
      </c>
    </row>
    <row r="1561" spans="1:9" ht="27" x14ac:dyDescent="0.15">
      <c r="A1561" s="6">
        <v>1560</v>
      </c>
      <c r="B1561" s="7" t="s">
        <v>8</v>
      </c>
      <c r="C1561" s="8">
        <v>1887</v>
      </c>
      <c r="D1561" s="9">
        <v>45425</v>
      </c>
      <c r="E1561" s="13" t="str">
        <f>+HYPERLINK("http://trademark.i-assist.jp/data/china/image_1887th/76955563.pdf","76955563")</f>
        <v>76955563</v>
      </c>
      <c r="F1561" s="7" t="s">
        <v>4252</v>
      </c>
      <c r="G1561" s="7" t="s">
        <v>4253</v>
      </c>
      <c r="H1561" s="7" t="s">
        <v>4254</v>
      </c>
      <c r="I1561" s="9">
        <v>45348</v>
      </c>
    </row>
    <row r="1562" spans="1:9" x14ac:dyDescent="0.15">
      <c r="A1562" s="6">
        <v>1561</v>
      </c>
      <c r="B1562" s="7" t="s">
        <v>8</v>
      </c>
      <c r="C1562" s="8">
        <v>1887</v>
      </c>
      <c r="D1562" s="9">
        <v>45425</v>
      </c>
      <c r="E1562" s="13" t="str">
        <f>+HYPERLINK("http://trademark.i-assist.jp/data/china/image_1887th/76955621.pdf","76955621")</f>
        <v>76955621</v>
      </c>
      <c r="F1562" s="7" t="s">
        <v>4255</v>
      </c>
      <c r="G1562" s="7" t="s">
        <v>4256</v>
      </c>
      <c r="H1562" s="7" t="s">
        <v>4257</v>
      </c>
      <c r="I1562" s="9">
        <v>45348</v>
      </c>
    </row>
    <row r="1563" spans="1:9" x14ac:dyDescent="0.15">
      <c r="A1563" s="6">
        <v>1562</v>
      </c>
      <c r="B1563" s="7" t="s">
        <v>8</v>
      </c>
      <c r="C1563" s="8">
        <v>1887</v>
      </c>
      <c r="D1563" s="9">
        <v>45425</v>
      </c>
      <c r="E1563" s="13" t="str">
        <f>+HYPERLINK("http://trademark.i-assist.jp/data/china/image_1887th/76955657.pdf","76955657")</f>
        <v>76955657</v>
      </c>
      <c r="F1563" s="7" t="s">
        <v>4258</v>
      </c>
      <c r="G1563" s="7" t="s">
        <v>4259</v>
      </c>
      <c r="H1563" s="7" t="s">
        <v>4260</v>
      </c>
      <c r="I1563" s="9">
        <v>45348</v>
      </c>
    </row>
    <row r="1564" spans="1:9" x14ac:dyDescent="0.15">
      <c r="A1564" s="6">
        <v>1563</v>
      </c>
      <c r="B1564" s="7" t="s">
        <v>8</v>
      </c>
      <c r="C1564" s="8">
        <v>1887</v>
      </c>
      <c r="D1564" s="9">
        <v>45425</v>
      </c>
      <c r="E1564" s="13" t="str">
        <f>+HYPERLINK("http://trademark.i-assist.jp/data/china/image_1887th/76955811.pdf","76955811")</f>
        <v>76955811</v>
      </c>
      <c r="F1564" s="7" t="s">
        <v>4261</v>
      </c>
      <c r="G1564" s="7" t="s">
        <v>4262</v>
      </c>
      <c r="H1564" s="7" t="s">
        <v>4263</v>
      </c>
      <c r="I1564" s="9">
        <v>45348</v>
      </c>
    </row>
    <row r="1565" spans="1:9" ht="27" x14ac:dyDescent="0.15">
      <c r="A1565" s="6">
        <v>1564</v>
      </c>
      <c r="B1565" s="7" t="s">
        <v>8</v>
      </c>
      <c r="C1565" s="8">
        <v>1887</v>
      </c>
      <c r="D1565" s="9">
        <v>45425</v>
      </c>
      <c r="E1565" s="13" t="str">
        <f>+HYPERLINK("http://trademark.i-assist.jp/data/china/image_1887th/76956117.pdf","76956117")</f>
        <v>76956117</v>
      </c>
      <c r="F1565" s="7" t="s">
        <v>4264</v>
      </c>
      <c r="G1565" s="7" t="s">
        <v>4211</v>
      </c>
      <c r="H1565" s="7" t="s">
        <v>4265</v>
      </c>
      <c r="I1565" s="9">
        <v>45348</v>
      </c>
    </row>
    <row r="1566" spans="1:9" ht="27" x14ac:dyDescent="0.15">
      <c r="A1566" s="6">
        <v>1565</v>
      </c>
      <c r="B1566" s="7" t="s">
        <v>8</v>
      </c>
      <c r="C1566" s="8">
        <v>1887</v>
      </c>
      <c r="D1566" s="9">
        <v>45425</v>
      </c>
      <c r="E1566" s="13" t="str">
        <f>+HYPERLINK("http://trademark.i-assist.jp/data/china/image_1887th/76956288.pdf","76956288")</f>
        <v>76956288</v>
      </c>
      <c r="F1566" s="7" t="s">
        <v>4266</v>
      </c>
      <c r="G1566" s="7" t="s">
        <v>4267</v>
      </c>
      <c r="H1566" s="7" t="s">
        <v>4268</v>
      </c>
      <c r="I1566" s="9">
        <v>45348</v>
      </c>
    </row>
    <row r="1567" spans="1:9" ht="27" x14ac:dyDescent="0.15">
      <c r="A1567" s="6">
        <v>1566</v>
      </c>
      <c r="B1567" s="7" t="s">
        <v>8</v>
      </c>
      <c r="C1567" s="8">
        <v>1887</v>
      </c>
      <c r="D1567" s="9">
        <v>45425</v>
      </c>
      <c r="E1567" s="13" t="str">
        <f>+HYPERLINK("http://trademark.i-assist.jp/data/china/image_1887th/76956299.pdf","76956299")</f>
        <v>76956299</v>
      </c>
      <c r="F1567" s="7" t="s">
        <v>4269</v>
      </c>
      <c r="G1567" s="7" t="s">
        <v>4270</v>
      </c>
      <c r="H1567" s="7" t="s">
        <v>4271</v>
      </c>
      <c r="I1567" s="9">
        <v>45348</v>
      </c>
    </row>
    <row r="1568" spans="1:9" x14ac:dyDescent="0.15">
      <c r="A1568" s="6">
        <v>1567</v>
      </c>
      <c r="B1568" s="7" t="s">
        <v>8</v>
      </c>
      <c r="C1568" s="8">
        <v>1887</v>
      </c>
      <c r="D1568" s="9">
        <v>45425</v>
      </c>
      <c r="E1568" s="13" t="str">
        <f>+HYPERLINK("http://trademark.i-assist.jp/data/china/image_1887th/76956310.pdf","76956310")</f>
        <v>76956310</v>
      </c>
      <c r="F1568" s="7" t="s">
        <v>4272</v>
      </c>
      <c r="G1568" s="7" t="s">
        <v>4273</v>
      </c>
      <c r="H1568" s="7" t="s">
        <v>4274</v>
      </c>
      <c r="I1568" s="9">
        <v>45348</v>
      </c>
    </row>
    <row r="1569" spans="1:9" x14ac:dyDescent="0.15">
      <c r="A1569" s="6">
        <v>1568</v>
      </c>
      <c r="B1569" s="7" t="s">
        <v>8</v>
      </c>
      <c r="C1569" s="8">
        <v>1887</v>
      </c>
      <c r="D1569" s="9">
        <v>45425</v>
      </c>
      <c r="E1569" s="13" t="str">
        <f>+HYPERLINK("http://trademark.i-assist.jp/data/china/image_1887th/76956379.pdf","76956379")</f>
        <v>76956379</v>
      </c>
      <c r="F1569" s="7" t="s">
        <v>4275</v>
      </c>
      <c r="G1569" s="7" t="s">
        <v>4276</v>
      </c>
      <c r="H1569" s="7" t="s">
        <v>4277</v>
      </c>
      <c r="I1569" s="9">
        <v>45348</v>
      </c>
    </row>
    <row r="1570" spans="1:9" x14ac:dyDescent="0.15">
      <c r="A1570" s="6">
        <v>1569</v>
      </c>
      <c r="B1570" s="7" t="s">
        <v>8</v>
      </c>
      <c r="C1570" s="8">
        <v>1887</v>
      </c>
      <c r="D1570" s="9">
        <v>45425</v>
      </c>
      <c r="E1570" s="13" t="str">
        <f>+HYPERLINK("http://trademark.i-assist.jp/data/china/image_1887th/76956491.pdf","76956491")</f>
        <v>76956491</v>
      </c>
      <c r="F1570" s="7" t="s">
        <v>4278</v>
      </c>
      <c r="G1570" s="7" t="s">
        <v>4279</v>
      </c>
      <c r="H1570" s="7" t="s">
        <v>4280</v>
      </c>
      <c r="I1570" s="9">
        <v>45348</v>
      </c>
    </row>
    <row r="1571" spans="1:9" ht="27" x14ac:dyDescent="0.15">
      <c r="A1571" s="6">
        <v>1570</v>
      </c>
      <c r="B1571" s="7" t="s">
        <v>8</v>
      </c>
      <c r="C1571" s="8">
        <v>1887</v>
      </c>
      <c r="D1571" s="9">
        <v>45425</v>
      </c>
      <c r="E1571" s="13" t="str">
        <f>+HYPERLINK("http://trademark.i-assist.jp/data/china/image_1887th/76956551.pdf","76956551")</f>
        <v>76956551</v>
      </c>
      <c r="F1571" s="7" t="s">
        <v>4281</v>
      </c>
      <c r="G1571" s="7" t="s">
        <v>4282</v>
      </c>
      <c r="H1571" s="7" t="s">
        <v>4283</v>
      </c>
      <c r="I1571" s="9">
        <v>45348</v>
      </c>
    </row>
    <row r="1572" spans="1:9" x14ac:dyDescent="0.15">
      <c r="A1572" s="6">
        <v>1571</v>
      </c>
      <c r="B1572" s="7" t="s">
        <v>8</v>
      </c>
      <c r="C1572" s="8">
        <v>1887</v>
      </c>
      <c r="D1572" s="9">
        <v>45425</v>
      </c>
      <c r="E1572" s="13" t="str">
        <f>+HYPERLINK("http://trademark.i-assist.jp/data/china/image_1887th/76956712.pdf","76956712")</f>
        <v>76956712</v>
      </c>
      <c r="F1572" s="7" t="s">
        <v>4284</v>
      </c>
      <c r="G1572" s="7" t="s">
        <v>4285</v>
      </c>
      <c r="H1572" s="7" t="s">
        <v>4286</v>
      </c>
      <c r="I1572" s="9">
        <v>45348</v>
      </c>
    </row>
    <row r="1573" spans="1:9" x14ac:dyDescent="0.15">
      <c r="A1573" s="6">
        <v>1572</v>
      </c>
      <c r="B1573" s="7" t="s">
        <v>8</v>
      </c>
      <c r="C1573" s="8">
        <v>1887</v>
      </c>
      <c r="D1573" s="9">
        <v>45425</v>
      </c>
      <c r="E1573" s="13" t="str">
        <f>+HYPERLINK("http://trademark.i-assist.jp/data/china/image_1887th/76956942.pdf","76956942")</f>
        <v>76956942</v>
      </c>
      <c r="F1573" s="7" t="s">
        <v>4287</v>
      </c>
      <c r="G1573" s="7" t="s">
        <v>3631</v>
      </c>
      <c r="H1573" s="7" t="s">
        <v>4288</v>
      </c>
      <c r="I1573" s="9">
        <v>45348</v>
      </c>
    </row>
    <row r="1574" spans="1:9" x14ac:dyDescent="0.15">
      <c r="A1574" s="6">
        <v>1573</v>
      </c>
      <c r="B1574" s="7" t="s">
        <v>8</v>
      </c>
      <c r="C1574" s="8">
        <v>1887</v>
      </c>
      <c r="D1574" s="9">
        <v>45425</v>
      </c>
      <c r="E1574" s="13" t="str">
        <f>+HYPERLINK("http://trademark.i-assist.jp/data/china/image_1887th/76956967.pdf","76956967")</f>
        <v>76956967</v>
      </c>
      <c r="F1574" s="7" t="s">
        <v>4289</v>
      </c>
      <c r="G1574" s="7" t="s">
        <v>4290</v>
      </c>
      <c r="H1574" s="7" t="s">
        <v>4291</v>
      </c>
      <c r="I1574" s="9">
        <v>45348</v>
      </c>
    </row>
    <row r="1575" spans="1:9" x14ac:dyDescent="0.15">
      <c r="A1575" s="6">
        <v>1574</v>
      </c>
      <c r="B1575" s="7" t="s">
        <v>8</v>
      </c>
      <c r="C1575" s="8">
        <v>1887</v>
      </c>
      <c r="D1575" s="9">
        <v>45425</v>
      </c>
      <c r="E1575" s="13" t="str">
        <f>+HYPERLINK("http://trademark.i-assist.jp/data/china/image_1887th/76957002.pdf","76957002")</f>
        <v>76957002</v>
      </c>
      <c r="F1575" s="7" t="s">
        <v>54</v>
      </c>
      <c r="G1575" s="7" t="s">
        <v>4292</v>
      </c>
      <c r="H1575" s="7" t="s">
        <v>4293</v>
      </c>
      <c r="I1575" s="9">
        <v>45348</v>
      </c>
    </row>
    <row r="1576" spans="1:9" x14ac:dyDescent="0.15">
      <c r="A1576" s="6">
        <v>1575</v>
      </c>
      <c r="B1576" s="7" t="s">
        <v>8</v>
      </c>
      <c r="C1576" s="8">
        <v>1887</v>
      </c>
      <c r="D1576" s="9">
        <v>45425</v>
      </c>
      <c r="E1576" s="13" t="str">
        <f>+HYPERLINK("http://trademark.i-assist.jp/data/china/image_1887th/76957012.pdf","76957012")</f>
        <v>76957012</v>
      </c>
      <c r="F1576" s="7" t="s">
        <v>4294</v>
      </c>
      <c r="G1576" s="7" t="s">
        <v>4292</v>
      </c>
      <c r="H1576" s="7" t="s">
        <v>4295</v>
      </c>
      <c r="I1576" s="9">
        <v>45348</v>
      </c>
    </row>
    <row r="1577" spans="1:9" x14ac:dyDescent="0.15">
      <c r="A1577" s="6">
        <v>1576</v>
      </c>
      <c r="B1577" s="7" t="s">
        <v>8</v>
      </c>
      <c r="C1577" s="8">
        <v>1887</v>
      </c>
      <c r="D1577" s="9">
        <v>45425</v>
      </c>
      <c r="E1577" s="13" t="str">
        <f>+HYPERLINK("http://trademark.i-assist.jp/data/china/image_1887th/76957150.pdf","76957150")</f>
        <v>76957150</v>
      </c>
      <c r="F1577" s="7" t="s">
        <v>4296</v>
      </c>
      <c r="G1577" s="7" t="s">
        <v>4297</v>
      </c>
      <c r="H1577" s="7" t="s">
        <v>4298</v>
      </c>
      <c r="I1577" s="9">
        <v>45348</v>
      </c>
    </row>
    <row r="1578" spans="1:9" x14ac:dyDescent="0.15">
      <c r="A1578" s="6">
        <v>1577</v>
      </c>
      <c r="B1578" s="7" t="s">
        <v>8</v>
      </c>
      <c r="C1578" s="8">
        <v>1887</v>
      </c>
      <c r="D1578" s="9">
        <v>45425</v>
      </c>
      <c r="E1578" s="13" t="str">
        <f>+HYPERLINK("http://trademark.i-assist.jp/data/china/image_1887th/76957426.pdf","76957426")</f>
        <v>76957426</v>
      </c>
      <c r="F1578" s="7" t="s">
        <v>4299</v>
      </c>
      <c r="G1578" s="7" t="s">
        <v>4300</v>
      </c>
      <c r="H1578" s="7" t="s">
        <v>4301</v>
      </c>
      <c r="I1578" s="9">
        <v>45348</v>
      </c>
    </row>
    <row r="1579" spans="1:9" x14ac:dyDescent="0.15">
      <c r="A1579" s="6">
        <v>1578</v>
      </c>
      <c r="B1579" s="7" t="s">
        <v>8</v>
      </c>
      <c r="C1579" s="8">
        <v>1887</v>
      </c>
      <c r="D1579" s="9">
        <v>45425</v>
      </c>
      <c r="E1579" s="13" t="str">
        <f>+HYPERLINK("http://trademark.i-assist.jp/data/china/image_1887th/76957463.pdf","76957463")</f>
        <v>76957463</v>
      </c>
      <c r="F1579" s="7" t="s">
        <v>4302</v>
      </c>
      <c r="G1579" s="7" t="s">
        <v>4303</v>
      </c>
      <c r="H1579" s="7" t="s">
        <v>4304</v>
      </c>
      <c r="I1579" s="9">
        <v>45348</v>
      </c>
    </row>
    <row r="1580" spans="1:9" ht="27" x14ac:dyDescent="0.15">
      <c r="A1580" s="6">
        <v>1579</v>
      </c>
      <c r="B1580" s="7" t="s">
        <v>8</v>
      </c>
      <c r="C1580" s="8">
        <v>1887</v>
      </c>
      <c r="D1580" s="9">
        <v>45425</v>
      </c>
      <c r="E1580" s="13" t="str">
        <f>+HYPERLINK("http://trademark.i-assist.jp/data/china/image_1887th/76957538.pdf","76957538")</f>
        <v>76957538</v>
      </c>
      <c r="F1580" s="7" t="s">
        <v>4305</v>
      </c>
      <c r="G1580" s="7" t="s">
        <v>4306</v>
      </c>
      <c r="H1580" s="7" t="s">
        <v>4307</v>
      </c>
      <c r="I1580" s="9">
        <v>45348</v>
      </c>
    </row>
    <row r="1581" spans="1:9" x14ac:dyDescent="0.15">
      <c r="A1581" s="6">
        <v>1580</v>
      </c>
      <c r="B1581" s="7" t="s">
        <v>8</v>
      </c>
      <c r="C1581" s="8">
        <v>1887</v>
      </c>
      <c r="D1581" s="9">
        <v>45425</v>
      </c>
      <c r="E1581" s="13" t="str">
        <f>+HYPERLINK("http://trademark.i-assist.jp/data/china/image_1887th/76957749.pdf","76957749")</f>
        <v>76957749</v>
      </c>
      <c r="F1581" s="7" t="s">
        <v>4308</v>
      </c>
      <c r="G1581" s="7" t="s">
        <v>4309</v>
      </c>
      <c r="H1581" s="7" t="s">
        <v>4310</v>
      </c>
      <c r="I1581" s="9">
        <v>45348</v>
      </c>
    </row>
    <row r="1582" spans="1:9" x14ac:dyDescent="0.15">
      <c r="A1582" s="6">
        <v>1581</v>
      </c>
      <c r="B1582" s="7" t="s">
        <v>8</v>
      </c>
      <c r="C1582" s="8">
        <v>1887</v>
      </c>
      <c r="D1582" s="9">
        <v>45425</v>
      </c>
      <c r="E1582" s="13" t="str">
        <f>+HYPERLINK("http://trademark.i-assist.jp/data/china/image_1887th/76958130.pdf","76958130")</f>
        <v>76958130</v>
      </c>
      <c r="F1582" s="7" t="s">
        <v>4311</v>
      </c>
      <c r="G1582" s="7" t="s">
        <v>4312</v>
      </c>
      <c r="H1582" s="7" t="s">
        <v>4313</v>
      </c>
      <c r="I1582" s="9">
        <v>45348</v>
      </c>
    </row>
    <row r="1583" spans="1:9" x14ac:dyDescent="0.15">
      <c r="A1583" s="6">
        <v>1582</v>
      </c>
      <c r="B1583" s="7" t="s">
        <v>8</v>
      </c>
      <c r="C1583" s="8">
        <v>1887</v>
      </c>
      <c r="D1583" s="9">
        <v>45425</v>
      </c>
      <c r="E1583" s="13" t="str">
        <f>+HYPERLINK("http://trademark.i-assist.jp/data/china/image_1887th/76958149.pdf","76958149")</f>
        <v>76958149</v>
      </c>
      <c r="F1583" s="7" t="s">
        <v>4314</v>
      </c>
      <c r="G1583" s="7" t="s">
        <v>4315</v>
      </c>
      <c r="H1583" s="7" t="s">
        <v>4316</v>
      </c>
      <c r="I1583" s="9">
        <v>45348</v>
      </c>
    </row>
    <row r="1584" spans="1:9" x14ac:dyDescent="0.15">
      <c r="A1584" s="6">
        <v>1583</v>
      </c>
      <c r="B1584" s="7" t="s">
        <v>8</v>
      </c>
      <c r="C1584" s="8">
        <v>1887</v>
      </c>
      <c r="D1584" s="9">
        <v>45425</v>
      </c>
      <c r="E1584" s="13" t="str">
        <f>+HYPERLINK("http://trademark.i-assist.jp/data/china/image_1887th/76958181.pdf","76958181")</f>
        <v>76958181</v>
      </c>
      <c r="F1584" s="7" t="s">
        <v>4317</v>
      </c>
      <c r="G1584" s="7" t="s">
        <v>4318</v>
      </c>
      <c r="H1584" s="7" t="s">
        <v>4319</v>
      </c>
      <c r="I1584" s="9">
        <v>45348</v>
      </c>
    </row>
    <row r="1585" spans="1:9" x14ac:dyDescent="0.15">
      <c r="A1585" s="6">
        <v>1584</v>
      </c>
      <c r="B1585" s="7" t="s">
        <v>8</v>
      </c>
      <c r="C1585" s="8">
        <v>1887</v>
      </c>
      <c r="D1585" s="9">
        <v>45425</v>
      </c>
      <c r="E1585" s="13" t="str">
        <f>+HYPERLINK("http://trademark.i-assist.jp/data/china/image_1887th/76958219.pdf","76958219")</f>
        <v>76958219</v>
      </c>
      <c r="F1585" s="7" t="s">
        <v>4320</v>
      </c>
      <c r="G1585" s="7" t="s">
        <v>4321</v>
      </c>
      <c r="H1585" s="7" t="s">
        <v>4322</v>
      </c>
      <c r="I1585" s="9">
        <v>45348</v>
      </c>
    </row>
    <row r="1586" spans="1:9" x14ac:dyDescent="0.15">
      <c r="A1586" s="6">
        <v>1585</v>
      </c>
      <c r="B1586" s="7" t="s">
        <v>8</v>
      </c>
      <c r="C1586" s="8">
        <v>1887</v>
      </c>
      <c r="D1586" s="9">
        <v>45425</v>
      </c>
      <c r="E1586" s="13" t="str">
        <f>+HYPERLINK("http://trademark.i-assist.jp/data/china/image_1887th/76958534.pdf","76958534")</f>
        <v>76958534</v>
      </c>
      <c r="F1586" s="7" t="s">
        <v>4323</v>
      </c>
      <c r="G1586" s="7" t="s">
        <v>4324</v>
      </c>
      <c r="H1586" s="7" t="s">
        <v>4325</v>
      </c>
      <c r="I1586" s="9">
        <v>45348</v>
      </c>
    </row>
    <row r="1587" spans="1:9" x14ac:dyDescent="0.15">
      <c r="A1587" s="6">
        <v>1586</v>
      </c>
      <c r="B1587" s="7" t="s">
        <v>8</v>
      </c>
      <c r="C1587" s="8">
        <v>1887</v>
      </c>
      <c r="D1587" s="9">
        <v>45425</v>
      </c>
      <c r="E1587" s="13" t="str">
        <f>+HYPERLINK("http://trademark.i-assist.jp/data/china/image_1887th/76958712.pdf","76958712")</f>
        <v>76958712</v>
      </c>
      <c r="F1587" s="7" t="s">
        <v>4326</v>
      </c>
      <c r="G1587" s="7" t="s">
        <v>4327</v>
      </c>
      <c r="H1587" s="7" t="s">
        <v>4328</v>
      </c>
      <c r="I1587" s="9">
        <v>45348</v>
      </c>
    </row>
    <row r="1588" spans="1:9" x14ac:dyDescent="0.15">
      <c r="A1588" s="6">
        <v>1587</v>
      </c>
      <c r="B1588" s="7" t="s">
        <v>8</v>
      </c>
      <c r="C1588" s="8">
        <v>1887</v>
      </c>
      <c r="D1588" s="9">
        <v>45425</v>
      </c>
      <c r="E1588" s="13" t="str">
        <f>+HYPERLINK("http://trademark.i-assist.jp/data/china/image_1887th/76958769.pdf","76958769")</f>
        <v>76958769</v>
      </c>
      <c r="F1588" s="7" t="s">
        <v>4329</v>
      </c>
      <c r="G1588" s="7" t="s">
        <v>4330</v>
      </c>
      <c r="H1588" s="7" t="s">
        <v>4331</v>
      </c>
      <c r="I1588" s="9">
        <v>45348</v>
      </c>
    </row>
    <row r="1589" spans="1:9" x14ac:dyDescent="0.15">
      <c r="A1589" s="6">
        <v>1588</v>
      </c>
      <c r="B1589" s="7" t="s">
        <v>8</v>
      </c>
      <c r="C1589" s="8">
        <v>1887</v>
      </c>
      <c r="D1589" s="9">
        <v>45425</v>
      </c>
      <c r="E1589" s="13" t="str">
        <f>+HYPERLINK("http://trademark.i-assist.jp/data/china/image_1887th/76958969.pdf","76958969")</f>
        <v>76958969</v>
      </c>
      <c r="F1589" s="7" t="s">
        <v>4332</v>
      </c>
      <c r="G1589" s="7" t="s">
        <v>4333</v>
      </c>
      <c r="H1589" s="7" t="s">
        <v>4334</v>
      </c>
      <c r="I1589" s="9">
        <v>45348</v>
      </c>
    </row>
    <row r="1590" spans="1:9" x14ac:dyDescent="0.15">
      <c r="A1590" s="6">
        <v>1589</v>
      </c>
      <c r="B1590" s="7" t="s">
        <v>8</v>
      </c>
      <c r="C1590" s="8">
        <v>1887</v>
      </c>
      <c r="D1590" s="9">
        <v>45425</v>
      </c>
      <c r="E1590" s="13" t="str">
        <f>+HYPERLINK("http://trademark.i-assist.jp/data/china/image_1887th/76959025.pdf","76959025")</f>
        <v>76959025</v>
      </c>
      <c r="F1590" s="7" t="s">
        <v>4335</v>
      </c>
      <c r="G1590" s="7" t="s">
        <v>4336</v>
      </c>
      <c r="H1590" s="7" t="s">
        <v>4337</v>
      </c>
      <c r="I1590" s="9">
        <v>45348</v>
      </c>
    </row>
    <row r="1591" spans="1:9" x14ac:dyDescent="0.15">
      <c r="A1591" s="6">
        <v>1590</v>
      </c>
      <c r="B1591" s="7" t="s">
        <v>8</v>
      </c>
      <c r="C1591" s="8">
        <v>1887</v>
      </c>
      <c r="D1591" s="9">
        <v>45425</v>
      </c>
      <c r="E1591" s="13" t="str">
        <f>+HYPERLINK("http://trademark.i-assist.jp/data/china/image_1887th/76959042.pdf","76959042")</f>
        <v>76959042</v>
      </c>
      <c r="F1591" s="7" t="s">
        <v>4338</v>
      </c>
      <c r="G1591" s="7" t="s">
        <v>4339</v>
      </c>
      <c r="H1591" s="7" t="s">
        <v>4340</v>
      </c>
      <c r="I1591" s="9">
        <v>45348</v>
      </c>
    </row>
    <row r="1592" spans="1:9" ht="27" x14ac:dyDescent="0.15">
      <c r="A1592" s="6">
        <v>1591</v>
      </c>
      <c r="B1592" s="7" t="s">
        <v>8</v>
      </c>
      <c r="C1592" s="8">
        <v>1887</v>
      </c>
      <c r="D1592" s="9">
        <v>45425</v>
      </c>
      <c r="E1592" s="13" t="str">
        <f>+HYPERLINK("http://trademark.i-assist.jp/data/china/image_1887th/76959109.pdf","76959109")</f>
        <v>76959109</v>
      </c>
      <c r="F1592" s="7" t="s">
        <v>4341</v>
      </c>
      <c r="G1592" s="7" t="s">
        <v>4342</v>
      </c>
      <c r="H1592" s="7" t="s">
        <v>4343</v>
      </c>
      <c r="I1592" s="9">
        <v>45348</v>
      </c>
    </row>
    <row r="1593" spans="1:9" x14ac:dyDescent="0.15">
      <c r="A1593" s="6">
        <v>1592</v>
      </c>
      <c r="B1593" s="7" t="s">
        <v>8</v>
      </c>
      <c r="C1593" s="8">
        <v>1887</v>
      </c>
      <c r="D1593" s="9">
        <v>45425</v>
      </c>
      <c r="E1593" s="13" t="str">
        <f>+HYPERLINK("http://trademark.i-assist.jp/data/china/image_1887th/76959686.pdf","76959686")</f>
        <v>76959686</v>
      </c>
      <c r="F1593" s="7" t="s">
        <v>4344</v>
      </c>
      <c r="G1593" s="7" t="s">
        <v>4344</v>
      </c>
      <c r="H1593" s="7" t="s">
        <v>4345</v>
      </c>
      <c r="I1593" s="9">
        <v>45348</v>
      </c>
    </row>
    <row r="1594" spans="1:9" x14ac:dyDescent="0.15">
      <c r="A1594" s="6">
        <v>1593</v>
      </c>
      <c r="B1594" s="7" t="s">
        <v>8</v>
      </c>
      <c r="C1594" s="8">
        <v>1887</v>
      </c>
      <c r="D1594" s="9">
        <v>45425</v>
      </c>
      <c r="E1594" s="13" t="str">
        <f>+HYPERLINK("http://trademark.i-assist.jp/data/china/image_1887th/76959691.pdf","76959691")</f>
        <v>76959691</v>
      </c>
      <c r="F1594" s="7" t="s">
        <v>4346</v>
      </c>
      <c r="G1594" s="7" t="s">
        <v>4347</v>
      </c>
      <c r="H1594" s="7" t="s">
        <v>4348</v>
      </c>
      <c r="I1594" s="9">
        <v>45348</v>
      </c>
    </row>
    <row r="1595" spans="1:9" x14ac:dyDescent="0.15">
      <c r="A1595" s="6">
        <v>1594</v>
      </c>
      <c r="B1595" s="7" t="s">
        <v>8</v>
      </c>
      <c r="C1595" s="8">
        <v>1887</v>
      </c>
      <c r="D1595" s="9">
        <v>45425</v>
      </c>
      <c r="E1595" s="13" t="str">
        <f>+HYPERLINK("http://trademark.i-assist.jp/data/china/image_1887th/76959722.pdf","76959722")</f>
        <v>76959722</v>
      </c>
      <c r="F1595" s="7" t="s">
        <v>4349</v>
      </c>
      <c r="G1595" s="7" t="s">
        <v>4350</v>
      </c>
      <c r="H1595" s="7" t="s">
        <v>4351</v>
      </c>
      <c r="I1595" s="9">
        <v>45348</v>
      </c>
    </row>
    <row r="1596" spans="1:9" x14ac:dyDescent="0.15">
      <c r="A1596" s="6">
        <v>1595</v>
      </c>
      <c r="B1596" s="7" t="s">
        <v>8</v>
      </c>
      <c r="C1596" s="8">
        <v>1887</v>
      </c>
      <c r="D1596" s="9">
        <v>45425</v>
      </c>
      <c r="E1596" s="13" t="str">
        <f>+HYPERLINK("http://trademark.i-assist.jp/data/china/image_1887th/76959792.pdf","76959792")</f>
        <v>76959792</v>
      </c>
      <c r="F1596" s="7" t="s">
        <v>4352</v>
      </c>
      <c r="G1596" s="7" t="s">
        <v>4353</v>
      </c>
      <c r="H1596" s="7" t="s">
        <v>4354</v>
      </c>
      <c r="I1596" s="9">
        <v>45348</v>
      </c>
    </row>
    <row r="1597" spans="1:9" x14ac:dyDescent="0.15">
      <c r="A1597" s="6">
        <v>1596</v>
      </c>
      <c r="B1597" s="7" t="s">
        <v>8</v>
      </c>
      <c r="C1597" s="8">
        <v>1887</v>
      </c>
      <c r="D1597" s="9">
        <v>45425</v>
      </c>
      <c r="E1597" s="13" t="str">
        <f>+HYPERLINK("http://trademark.i-assist.jp/data/china/image_1887th/76959925.pdf","76959925")</f>
        <v>76959925</v>
      </c>
      <c r="F1597" s="7" t="s">
        <v>4355</v>
      </c>
      <c r="G1597" s="7" t="s">
        <v>4356</v>
      </c>
      <c r="H1597" s="7" t="s">
        <v>4357</v>
      </c>
      <c r="I1597" s="9">
        <v>45348</v>
      </c>
    </row>
    <row r="1598" spans="1:9" x14ac:dyDescent="0.15">
      <c r="A1598" s="6">
        <v>1597</v>
      </c>
      <c r="B1598" s="7" t="s">
        <v>8</v>
      </c>
      <c r="C1598" s="8">
        <v>1887</v>
      </c>
      <c r="D1598" s="9">
        <v>45425</v>
      </c>
      <c r="E1598" s="13" t="str">
        <f>+HYPERLINK("http://trademark.i-assist.jp/data/china/image_1887th/76959932.pdf","76959932")</f>
        <v>76959932</v>
      </c>
      <c r="F1598" s="7" t="s">
        <v>4358</v>
      </c>
      <c r="G1598" s="7" t="s">
        <v>4359</v>
      </c>
      <c r="H1598" s="7" t="s">
        <v>4360</v>
      </c>
      <c r="I1598" s="9">
        <v>45348</v>
      </c>
    </row>
    <row r="1599" spans="1:9" x14ac:dyDescent="0.15">
      <c r="A1599" s="6">
        <v>1598</v>
      </c>
      <c r="B1599" s="7" t="s">
        <v>8</v>
      </c>
      <c r="C1599" s="8">
        <v>1887</v>
      </c>
      <c r="D1599" s="9">
        <v>45425</v>
      </c>
      <c r="E1599" s="13" t="str">
        <f>+HYPERLINK("http://trademark.i-assist.jp/data/china/image_1887th/76959997.pdf","76959997")</f>
        <v>76959997</v>
      </c>
      <c r="F1599" s="7" t="s">
        <v>4361</v>
      </c>
      <c r="G1599" s="7" t="s">
        <v>4362</v>
      </c>
      <c r="H1599" s="7" t="s">
        <v>4363</v>
      </c>
      <c r="I1599" s="9">
        <v>45348</v>
      </c>
    </row>
    <row r="1600" spans="1:9" x14ac:dyDescent="0.15">
      <c r="A1600" s="6">
        <v>1599</v>
      </c>
      <c r="B1600" s="7" t="s">
        <v>8</v>
      </c>
      <c r="C1600" s="8">
        <v>1887</v>
      </c>
      <c r="D1600" s="9">
        <v>45425</v>
      </c>
      <c r="E1600" s="13" t="str">
        <f>+HYPERLINK("http://trademark.i-assist.jp/data/china/image_1887th/76960052.pdf","76960052")</f>
        <v>76960052</v>
      </c>
      <c r="F1600" s="7" t="s">
        <v>4364</v>
      </c>
      <c r="G1600" s="7" t="s">
        <v>4285</v>
      </c>
      <c r="H1600" s="7" t="s">
        <v>4365</v>
      </c>
      <c r="I1600" s="9">
        <v>45348</v>
      </c>
    </row>
    <row r="1601" spans="1:9" x14ac:dyDescent="0.15">
      <c r="A1601" s="6">
        <v>1600</v>
      </c>
      <c r="B1601" s="7" t="s">
        <v>8</v>
      </c>
      <c r="C1601" s="8">
        <v>1887</v>
      </c>
      <c r="D1601" s="9">
        <v>45425</v>
      </c>
      <c r="E1601" s="13" t="str">
        <f>+HYPERLINK("http://trademark.i-assist.jp/data/china/image_1887th/76960063.pdf","76960063")</f>
        <v>76960063</v>
      </c>
      <c r="F1601" s="7" t="s">
        <v>4366</v>
      </c>
      <c r="G1601" s="7" t="s">
        <v>4099</v>
      </c>
      <c r="H1601" s="7" t="s">
        <v>4367</v>
      </c>
      <c r="I1601" s="9">
        <v>45348</v>
      </c>
    </row>
    <row r="1602" spans="1:9" x14ac:dyDescent="0.15">
      <c r="A1602" s="6">
        <v>1601</v>
      </c>
      <c r="B1602" s="7" t="s">
        <v>8</v>
      </c>
      <c r="C1602" s="8">
        <v>1887</v>
      </c>
      <c r="D1602" s="9">
        <v>45425</v>
      </c>
      <c r="E1602" s="13" t="str">
        <f>+HYPERLINK("http://trademark.i-assist.jp/data/china/image_1887th/76960113.pdf","76960113")</f>
        <v>76960113</v>
      </c>
      <c r="F1602" s="7" t="s">
        <v>4368</v>
      </c>
      <c r="G1602" s="7" t="s">
        <v>4369</v>
      </c>
      <c r="H1602" s="7" t="s">
        <v>4370</v>
      </c>
      <c r="I1602" s="9">
        <v>45348</v>
      </c>
    </row>
    <row r="1603" spans="1:9" x14ac:dyDescent="0.15">
      <c r="A1603" s="6">
        <v>1602</v>
      </c>
      <c r="B1603" s="7" t="s">
        <v>8</v>
      </c>
      <c r="C1603" s="8">
        <v>1887</v>
      </c>
      <c r="D1603" s="9">
        <v>45425</v>
      </c>
      <c r="E1603" s="13" t="str">
        <f>+HYPERLINK("http://trademark.i-assist.jp/data/china/image_1887th/76960173.pdf","76960173")</f>
        <v>76960173</v>
      </c>
      <c r="F1603" s="7" t="s">
        <v>4371</v>
      </c>
      <c r="G1603" s="7" t="s">
        <v>4372</v>
      </c>
      <c r="H1603" s="7" t="s">
        <v>4373</v>
      </c>
      <c r="I1603" s="9">
        <v>45348</v>
      </c>
    </row>
    <row r="1604" spans="1:9" ht="27" x14ac:dyDescent="0.15">
      <c r="A1604" s="6">
        <v>1603</v>
      </c>
      <c r="B1604" s="7" t="s">
        <v>8</v>
      </c>
      <c r="C1604" s="8">
        <v>1887</v>
      </c>
      <c r="D1604" s="9">
        <v>45425</v>
      </c>
      <c r="E1604" s="13" t="str">
        <f>+HYPERLINK("http://trademark.i-assist.jp/data/china/image_1887th/76960491.pdf","76960491")</f>
        <v>76960491</v>
      </c>
      <c r="F1604" s="7" t="s">
        <v>4374</v>
      </c>
      <c r="G1604" s="7" t="s">
        <v>4375</v>
      </c>
      <c r="H1604" s="7" t="s">
        <v>4376</v>
      </c>
      <c r="I1604" s="9">
        <v>45348</v>
      </c>
    </row>
    <row r="1605" spans="1:9" x14ac:dyDescent="0.15">
      <c r="A1605" s="6">
        <v>1604</v>
      </c>
      <c r="B1605" s="7" t="s">
        <v>8</v>
      </c>
      <c r="C1605" s="8">
        <v>1887</v>
      </c>
      <c r="D1605" s="9">
        <v>45425</v>
      </c>
      <c r="E1605" s="13" t="str">
        <f>+HYPERLINK("http://trademark.i-assist.jp/data/china/image_1887th/76960636.pdf","76960636")</f>
        <v>76960636</v>
      </c>
      <c r="F1605" s="7" t="s">
        <v>4377</v>
      </c>
      <c r="G1605" s="7" t="s">
        <v>4378</v>
      </c>
      <c r="H1605" s="7" t="s">
        <v>4379</v>
      </c>
      <c r="I1605" s="9">
        <v>45348</v>
      </c>
    </row>
    <row r="1606" spans="1:9" x14ac:dyDescent="0.15">
      <c r="A1606" s="6">
        <v>1605</v>
      </c>
      <c r="B1606" s="7" t="s">
        <v>8</v>
      </c>
      <c r="C1606" s="8">
        <v>1887</v>
      </c>
      <c r="D1606" s="9">
        <v>45425</v>
      </c>
      <c r="E1606" s="13" t="str">
        <f>+HYPERLINK("http://trademark.i-assist.jp/data/china/image_1887th/76960701.pdf","76960701")</f>
        <v>76960701</v>
      </c>
      <c r="F1606" s="7" t="s">
        <v>4380</v>
      </c>
      <c r="G1606" s="7" t="s">
        <v>4381</v>
      </c>
      <c r="H1606" s="7" t="s">
        <v>4382</v>
      </c>
      <c r="I1606" s="9">
        <v>45348</v>
      </c>
    </row>
    <row r="1607" spans="1:9" x14ac:dyDescent="0.15">
      <c r="A1607" s="6">
        <v>1606</v>
      </c>
      <c r="B1607" s="7" t="s">
        <v>8</v>
      </c>
      <c r="C1607" s="8">
        <v>1887</v>
      </c>
      <c r="D1607" s="9">
        <v>45425</v>
      </c>
      <c r="E1607" s="13" t="str">
        <f>+HYPERLINK("http://trademark.i-assist.jp/data/china/image_1887th/76961029.pdf","76961029")</f>
        <v>76961029</v>
      </c>
      <c r="F1607" s="7" t="s">
        <v>4383</v>
      </c>
      <c r="G1607" s="7" t="s">
        <v>4162</v>
      </c>
      <c r="H1607" s="7" t="s">
        <v>4384</v>
      </c>
      <c r="I1607" s="9">
        <v>45348</v>
      </c>
    </row>
    <row r="1608" spans="1:9" x14ac:dyDescent="0.15">
      <c r="A1608" s="6">
        <v>1607</v>
      </c>
      <c r="B1608" s="7" t="s">
        <v>8</v>
      </c>
      <c r="C1608" s="8">
        <v>1887</v>
      </c>
      <c r="D1608" s="9">
        <v>45425</v>
      </c>
      <c r="E1608" s="13" t="str">
        <f>+HYPERLINK("http://trademark.i-assist.jp/data/china/image_1887th/76961100.pdf","76961100")</f>
        <v>76961100</v>
      </c>
      <c r="F1608" s="7" t="s">
        <v>4385</v>
      </c>
      <c r="G1608" s="7" t="s">
        <v>4386</v>
      </c>
      <c r="H1608" s="7" t="s">
        <v>4387</v>
      </c>
      <c r="I1608" s="9">
        <v>45348</v>
      </c>
    </row>
    <row r="1609" spans="1:9" x14ac:dyDescent="0.15">
      <c r="A1609" s="6">
        <v>1608</v>
      </c>
      <c r="B1609" s="7" t="s">
        <v>8</v>
      </c>
      <c r="C1609" s="8">
        <v>1887</v>
      </c>
      <c r="D1609" s="9">
        <v>45425</v>
      </c>
      <c r="E1609" s="13" t="str">
        <f>+HYPERLINK("http://trademark.i-assist.jp/data/china/image_1887th/76961341.pdf","76961341")</f>
        <v>76961341</v>
      </c>
      <c r="F1609" s="7" t="s">
        <v>4388</v>
      </c>
      <c r="G1609" s="7" t="s">
        <v>4389</v>
      </c>
      <c r="H1609" s="7" t="s">
        <v>4390</v>
      </c>
      <c r="I1609" s="9">
        <v>45348</v>
      </c>
    </row>
    <row r="1610" spans="1:9" ht="27" x14ac:dyDescent="0.15">
      <c r="A1610" s="6">
        <v>1609</v>
      </c>
      <c r="B1610" s="7" t="s">
        <v>8</v>
      </c>
      <c r="C1610" s="8">
        <v>1887</v>
      </c>
      <c r="D1610" s="9">
        <v>45425</v>
      </c>
      <c r="E1610" s="13" t="str">
        <f>+HYPERLINK("http://trademark.i-assist.jp/data/china/image_1887th/76962093.pdf","76962093")</f>
        <v>76962093</v>
      </c>
      <c r="F1610" s="7" t="s">
        <v>4391</v>
      </c>
      <c r="G1610" s="7" t="s">
        <v>4392</v>
      </c>
      <c r="H1610" s="7" t="s">
        <v>4393</v>
      </c>
      <c r="I1610" s="9">
        <v>45348</v>
      </c>
    </row>
    <row r="1611" spans="1:9" ht="27" x14ac:dyDescent="0.15">
      <c r="A1611" s="6">
        <v>1610</v>
      </c>
      <c r="B1611" s="7" t="s">
        <v>8</v>
      </c>
      <c r="C1611" s="8">
        <v>1887</v>
      </c>
      <c r="D1611" s="9">
        <v>45425</v>
      </c>
      <c r="E1611" s="13" t="str">
        <f>+HYPERLINK("http://trademark.i-assist.jp/data/china/image_1887th/76962275.pdf","76962275")</f>
        <v>76962275</v>
      </c>
      <c r="F1611" s="7" t="s">
        <v>4394</v>
      </c>
      <c r="G1611" s="7" t="s">
        <v>4087</v>
      </c>
      <c r="H1611" s="7" t="s">
        <v>4395</v>
      </c>
      <c r="I1611" s="9">
        <v>45348</v>
      </c>
    </row>
    <row r="1612" spans="1:9" x14ac:dyDescent="0.15">
      <c r="A1612" s="6">
        <v>1611</v>
      </c>
      <c r="B1612" s="7" t="s">
        <v>8</v>
      </c>
      <c r="C1612" s="8">
        <v>1887</v>
      </c>
      <c r="D1612" s="9">
        <v>45425</v>
      </c>
      <c r="E1612" s="13" t="str">
        <f>+HYPERLINK("http://trademark.i-assist.jp/data/china/image_1887th/76962370.pdf","76962370")</f>
        <v>76962370</v>
      </c>
      <c r="F1612" s="7" t="s">
        <v>4396</v>
      </c>
      <c r="G1612" s="7" t="s">
        <v>4397</v>
      </c>
      <c r="H1612" s="7" t="s">
        <v>4398</v>
      </c>
      <c r="I1612" s="9">
        <v>45348</v>
      </c>
    </row>
    <row r="1613" spans="1:9" x14ac:dyDescent="0.15">
      <c r="A1613" s="6">
        <v>1612</v>
      </c>
      <c r="B1613" s="7" t="s">
        <v>8</v>
      </c>
      <c r="C1613" s="8">
        <v>1887</v>
      </c>
      <c r="D1613" s="9">
        <v>45425</v>
      </c>
      <c r="E1613" s="13" t="str">
        <f>+HYPERLINK("http://trademark.i-assist.jp/data/china/image_1887th/76962415.pdf","76962415")</f>
        <v>76962415</v>
      </c>
      <c r="F1613" s="7" t="s">
        <v>4399</v>
      </c>
      <c r="G1613" s="7" t="s">
        <v>4400</v>
      </c>
      <c r="H1613" s="7" t="s">
        <v>4401</v>
      </c>
      <c r="I1613" s="9">
        <v>45348</v>
      </c>
    </row>
    <row r="1614" spans="1:9" ht="27" x14ac:dyDescent="0.15">
      <c r="A1614" s="6">
        <v>1613</v>
      </c>
      <c r="B1614" s="7" t="s">
        <v>8</v>
      </c>
      <c r="C1614" s="8">
        <v>1887</v>
      </c>
      <c r="D1614" s="9">
        <v>45425</v>
      </c>
      <c r="E1614" s="13" t="str">
        <f>+HYPERLINK("http://trademark.i-assist.jp/data/china/image_1887th/76962527.pdf","76962527")</f>
        <v>76962527</v>
      </c>
      <c r="F1614" s="7" t="s">
        <v>4402</v>
      </c>
      <c r="G1614" s="7" t="s">
        <v>4282</v>
      </c>
      <c r="H1614" s="7" t="s">
        <v>4403</v>
      </c>
      <c r="I1614" s="9">
        <v>45348</v>
      </c>
    </row>
    <row r="1615" spans="1:9" x14ac:dyDescent="0.15">
      <c r="A1615" s="6">
        <v>1614</v>
      </c>
      <c r="B1615" s="7" t="s">
        <v>8</v>
      </c>
      <c r="C1615" s="8">
        <v>1887</v>
      </c>
      <c r="D1615" s="9">
        <v>45425</v>
      </c>
      <c r="E1615" s="13" t="str">
        <f>+HYPERLINK("http://trademark.i-assist.jp/data/china/image_1887th/76962577.pdf","76962577")</f>
        <v>76962577</v>
      </c>
      <c r="F1615" s="7" t="s">
        <v>4404</v>
      </c>
      <c r="G1615" s="7" t="s">
        <v>4405</v>
      </c>
      <c r="H1615" s="7" t="s">
        <v>4406</v>
      </c>
      <c r="I1615" s="9">
        <v>45348</v>
      </c>
    </row>
    <row r="1616" spans="1:9" x14ac:dyDescent="0.15">
      <c r="A1616" s="6">
        <v>1615</v>
      </c>
      <c r="B1616" s="7" t="s">
        <v>8</v>
      </c>
      <c r="C1616" s="8">
        <v>1887</v>
      </c>
      <c r="D1616" s="9">
        <v>45425</v>
      </c>
      <c r="E1616" s="13" t="str">
        <f>+HYPERLINK("http://trademark.i-assist.jp/data/china/image_1887th/76962709.pdf","76962709")</f>
        <v>76962709</v>
      </c>
      <c r="F1616" s="7" t="s">
        <v>4407</v>
      </c>
      <c r="G1616" s="7" t="s">
        <v>4408</v>
      </c>
      <c r="H1616" s="7" t="s">
        <v>4409</v>
      </c>
      <c r="I1616" s="9">
        <v>45348</v>
      </c>
    </row>
    <row r="1617" spans="1:9" ht="27" x14ac:dyDescent="0.15">
      <c r="A1617" s="6">
        <v>1616</v>
      </c>
      <c r="B1617" s="7" t="s">
        <v>8</v>
      </c>
      <c r="C1617" s="8">
        <v>1887</v>
      </c>
      <c r="D1617" s="9">
        <v>45425</v>
      </c>
      <c r="E1617" s="13" t="str">
        <f>+HYPERLINK("http://trademark.i-assist.jp/data/china/image_1887th/76963056.pdf","76963056")</f>
        <v>76963056</v>
      </c>
      <c r="F1617" s="7" t="s">
        <v>4410</v>
      </c>
      <c r="G1617" s="7" t="s">
        <v>4223</v>
      </c>
      <c r="H1617" s="7" t="s">
        <v>4411</v>
      </c>
      <c r="I1617" s="9">
        <v>45348</v>
      </c>
    </row>
    <row r="1618" spans="1:9" ht="27" x14ac:dyDescent="0.15">
      <c r="A1618" s="6">
        <v>1617</v>
      </c>
      <c r="B1618" s="7" t="s">
        <v>8</v>
      </c>
      <c r="C1618" s="8">
        <v>1887</v>
      </c>
      <c r="D1618" s="9">
        <v>45425</v>
      </c>
      <c r="E1618" s="13" t="str">
        <f>+HYPERLINK("http://trademark.i-assist.jp/data/china/image_1887th/76963098.pdf","76963098")</f>
        <v>76963098</v>
      </c>
      <c r="F1618" s="7" t="s">
        <v>4412</v>
      </c>
      <c r="G1618" s="7" t="s">
        <v>4413</v>
      </c>
      <c r="H1618" s="7" t="s">
        <v>4414</v>
      </c>
      <c r="I1618" s="9">
        <v>45348</v>
      </c>
    </row>
    <row r="1619" spans="1:9" x14ac:dyDescent="0.15">
      <c r="A1619" s="6">
        <v>1618</v>
      </c>
      <c r="B1619" s="7" t="s">
        <v>8</v>
      </c>
      <c r="C1619" s="8">
        <v>1887</v>
      </c>
      <c r="D1619" s="9">
        <v>45425</v>
      </c>
      <c r="E1619" s="13" t="str">
        <f>+HYPERLINK("http://trademark.i-assist.jp/data/china/image_1887th/76963333.pdf","76963333")</f>
        <v>76963333</v>
      </c>
      <c r="F1619" s="7" t="s">
        <v>4415</v>
      </c>
      <c r="G1619" s="7" t="s">
        <v>4416</v>
      </c>
      <c r="H1619" s="7" t="s">
        <v>4417</v>
      </c>
      <c r="I1619" s="9">
        <v>45348</v>
      </c>
    </row>
    <row r="1620" spans="1:9" x14ac:dyDescent="0.15">
      <c r="A1620" s="6">
        <v>1619</v>
      </c>
      <c r="B1620" s="7" t="s">
        <v>8</v>
      </c>
      <c r="C1620" s="8">
        <v>1887</v>
      </c>
      <c r="D1620" s="9">
        <v>45425</v>
      </c>
      <c r="E1620" s="13" t="str">
        <f>+HYPERLINK("http://trademark.i-assist.jp/data/china/image_1887th/76963464.pdf","76963464")</f>
        <v>76963464</v>
      </c>
      <c r="F1620" s="7" t="s">
        <v>4418</v>
      </c>
      <c r="G1620" s="7" t="s">
        <v>4078</v>
      </c>
      <c r="H1620" s="7" t="s">
        <v>4419</v>
      </c>
      <c r="I1620" s="9">
        <v>45348</v>
      </c>
    </row>
    <row r="1621" spans="1:9" x14ac:dyDescent="0.15">
      <c r="A1621" s="6">
        <v>1620</v>
      </c>
      <c r="B1621" s="7" t="s">
        <v>8</v>
      </c>
      <c r="C1621" s="8">
        <v>1887</v>
      </c>
      <c r="D1621" s="9">
        <v>45425</v>
      </c>
      <c r="E1621" s="13" t="str">
        <f>+HYPERLINK("http://trademark.i-assist.jp/data/china/image_1887th/76963528.pdf","76963528")</f>
        <v>76963528</v>
      </c>
      <c r="F1621" s="7" t="s">
        <v>4420</v>
      </c>
      <c r="G1621" s="7" t="s">
        <v>4421</v>
      </c>
      <c r="H1621" s="7" t="s">
        <v>4422</v>
      </c>
      <c r="I1621" s="9">
        <v>45348</v>
      </c>
    </row>
    <row r="1622" spans="1:9" x14ac:dyDescent="0.15">
      <c r="A1622" s="6">
        <v>1621</v>
      </c>
      <c r="B1622" s="7" t="s">
        <v>8</v>
      </c>
      <c r="C1622" s="8">
        <v>1887</v>
      </c>
      <c r="D1622" s="9">
        <v>45425</v>
      </c>
      <c r="E1622" s="13" t="str">
        <f>+HYPERLINK("http://trademark.i-assist.jp/data/china/image_1887th/76963725.pdf","76963725")</f>
        <v>76963725</v>
      </c>
      <c r="F1622" s="7" t="s">
        <v>4423</v>
      </c>
      <c r="G1622" s="7" t="s">
        <v>4424</v>
      </c>
      <c r="H1622" s="7" t="s">
        <v>4425</v>
      </c>
      <c r="I1622" s="9">
        <v>45348</v>
      </c>
    </row>
    <row r="1623" spans="1:9" x14ac:dyDescent="0.15">
      <c r="A1623" s="6">
        <v>1622</v>
      </c>
      <c r="B1623" s="7" t="s">
        <v>8</v>
      </c>
      <c r="C1623" s="8">
        <v>1887</v>
      </c>
      <c r="D1623" s="9">
        <v>45425</v>
      </c>
      <c r="E1623" s="13" t="str">
        <f>+HYPERLINK("http://trademark.i-assist.jp/data/china/image_1887th/76963847.pdf","76963847")</f>
        <v>76963847</v>
      </c>
      <c r="F1623" s="7" t="s">
        <v>4426</v>
      </c>
      <c r="G1623" s="7" t="s">
        <v>4285</v>
      </c>
      <c r="H1623" s="7" t="s">
        <v>4427</v>
      </c>
      <c r="I1623" s="9">
        <v>45348</v>
      </c>
    </row>
    <row r="1624" spans="1:9" x14ac:dyDescent="0.15">
      <c r="A1624" s="6">
        <v>1623</v>
      </c>
      <c r="B1624" s="7" t="s">
        <v>8</v>
      </c>
      <c r="C1624" s="8">
        <v>1887</v>
      </c>
      <c r="D1624" s="9">
        <v>45425</v>
      </c>
      <c r="E1624" s="13" t="str">
        <f>+HYPERLINK("http://trademark.i-assist.jp/data/china/image_1887th/76963966.pdf","76963966")</f>
        <v>76963966</v>
      </c>
      <c r="F1624" s="7" t="s">
        <v>4428</v>
      </c>
      <c r="G1624" s="7" t="s">
        <v>4429</v>
      </c>
      <c r="H1624" s="7" t="s">
        <v>4430</v>
      </c>
      <c r="I1624" s="9">
        <v>45348</v>
      </c>
    </row>
    <row r="1625" spans="1:9" x14ac:dyDescent="0.15">
      <c r="A1625" s="6">
        <v>1624</v>
      </c>
      <c r="B1625" s="7" t="s">
        <v>8</v>
      </c>
      <c r="C1625" s="8">
        <v>1887</v>
      </c>
      <c r="D1625" s="9">
        <v>45425</v>
      </c>
      <c r="E1625" s="13" t="str">
        <f>+HYPERLINK("http://trademark.i-assist.jp/data/china/image_1887th/76964221.pdf","76964221")</f>
        <v>76964221</v>
      </c>
      <c r="F1625" s="7" t="s">
        <v>4431</v>
      </c>
      <c r="G1625" s="7" t="s">
        <v>4347</v>
      </c>
      <c r="H1625" s="7" t="s">
        <v>4432</v>
      </c>
      <c r="I1625" s="9">
        <v>45348</v>
      </c>
    </row>
    <row r="1626" spans="1:9" ht="27" x14ac:dyDescent="0.15">
      <c r="A1626" s="6">
        <v>1625</v>
      </c>
      <c r="B1626" s="7" t="s">
        <v>8</v>
      </c>
      <c r="C1626" s="8">
        <v>1887</v>
      </c>
      <c r="D1626" s="9">
        <v>45425</v>
      </c>
      <c r="E1626" s="13" t="str">
        <f>+HYPERLINK("http://trademark.i-assist.jp/data/china/image_1887th/76964600.pdf","76964600")</f>
        <v>76964600</v>
      </c>
      <c r="F1626" s="7" t="s">
        <v>4433</v>
      </c>
      <c r="G1626" s="7" t="s">
        <v>4434</v>
      </c>
      <c r="H1626" s="7" t="s">
        <v>4435</v>
      </c>
      <c r="I1626" s="9">
        <v>45348</v>
      </c>
    </row>
    <row r="1627" spans="1:9" x14ac:dyDescent="0.15">
      <c r="A1627" s="6">
        <v>1626</v>
      </c>
      <c r="B1627" s="7" t="s">
        <v>8</v>
      </c>
      <c r="C1627" s="8">
        <v>1887</v>
      </c>
      <c r="D1627" s="9">
        <v>45425</v>
      </c>
      <c r="E1627" s="13" t="str">
        <f>+HYPERLINK("http://trademark.i-assist.jp/data/china/image_1887th/76964689.pdf","76964689")</f>
        <v>76964689</v>
      </c>
      <c r="F1627" s="7" t="s">
        <v>4436</v>
      </c>
      <c r="G1627" s="7" t="s">
        <v>4437</v>
      </c>
      <c r="H1627" s="7" t="s">
        <v>4438</v>
      </c>
      <c r="I1627" s="9">
        <v>45348</v>
      </c>
    </row>
    <row r="1628" spans="1:9" x14ac:dyDescent="0.15">
      <c r="A1628" s="6">
        <v>1627</v>
      </c>
      <c r="B1628" s="7" t="s">
        <v>8</v>
      </c>
      <c r="C1628" s="8">
        <v>1887</v>
      </c>
      <c r="D1628" s="9">
        <v>45425</v>
      </c>
      <c r="E1628" s="13" t="str">
        <f>+HYPERLINK("http://trademark.i-assist.jp/data/china/image_1887th/76964861.pdf","76964861")</f>
        <v>76964861</v>
      </c>
      <c r="F1628" s="7" t="s">
        <v>4439</v>
      </c>
      <c r="G1628" s="7" t="s">
        <v>4440</v>
      </c>
      <c r="H1628" s="7" t="s">
        <v>4441</v>
      </c>
      <c r="I1628" s="9">
        <v>45348</v>
      </c>
    </row>
    <row r="1629" spans="1:9" x14ac:dyDescent="0.15">
      <c r="A1629" s="6">
        <v>1628</v>
      </c>
      <c r="B1629" s="7" t="s">
        <v>8</v>
      </c>
      <c r="C1629" s="8">
        <v>1887</v>
      </c>
      <c r="D1629" s="9">
        <v>45425</v>
      </c>
      <c r="E1629" s="13" t="str">
        <f>+HYPERLINK("http://trademark.i-assist.jp/data/china/image_1887th/76964927.pdf","76964927")</f>
        <v>76964927</v>
      </c>
      <c r="F1629" s="7" t="s">
        <v>4442</v>
      </c>
      <c r="G1629" s="7" t="s">
        <v>4443</v>
      </c>
      <c r="H1629" s="7" t="s">
        <v>4444</v>
      </c>
      <c r="I1629" s="9">
        <v>45348</v>
      </c>
    </row>
    <row r="1630" spans="1:9" x14ac:dyDescent="0.15">
      <c r="A1630" s="6">
        <v>1629</v>
      </c>
      <c r="B1630" s="7" t="s">
        <v>8</v>
      </c>
      <c r="C1630" s="8">
        <v>1887</v>
      </c>
      <c r="D1630" s="9">
        <v>45425</v>
      </c>
      <c r="E1630" s="13" t="str">
        <f>+HYPERLINK("http://trademark.i-assist.jp/data/china/image_1887th/76965044.pdf","76965044")</f>
        <v>76965044</v>
      </c>
      <c r="F1630" s="7" t="s">
        <v>4445</v>
      </c>
      <c r="G1630" s="7" t="s">
        <v>4214</v>
      </c>
      <c r="H1630" s="7" t="s">
        <v>4446</v>
      </c>
      <c r="I1630" s="9">
        <v>45348</v>
      </c>
    </row>
    <row r="1631" spans="1:9" ht="27" x14ac:dyDescent="0.15">
      <c r="A1631" s="6">
        <v>1630</v>
      </c>
      <c r="B1631" s="7" t="s">
        <v>8</v>
      </c>
      <c r="C1631" s="8">
        <v>1887</v>
      </c>
      <c r="D1631" s="9">
        <v>45425</v>
      </c>
      <c r="E1631" s="13" t="str">
        <f>+HYPERLINK("http://trademark.i-assist.jp/data/china/image_1887th/76965363.pdf","76965363")</f>
        <v>76965363</v>
      </c>
      <c r="F1631" s="7" t="s">
        <v>4447</v>
      </c>
      <c r="G1631" s="7" t="s">
        <v>4107</v>
      </c>
      <c r="H1631" s="7" t="s">
        <v>4448</v>
      </c>
      <c r="I1631" s="9">
        <v>45348</v>
      </c>
    </row>
    <row r="1632" spans="1:9" ht="27" x14ac:dyDescent="0.15">
      <c r="A1632" s="6">
        <v>1631</v>
      </c>
      <c r="B1632" s="7" t="s">
        <v>8</v>
      </c>
      <c r="C1632" s="8">
        <v>1887</v>
      </c>
      <c r="D1632" s="9">
        <v>45425</v>
      </c>
      <c r="E1632" s="13" t="str">
        <f>+HYPERLINK("http://trademark.i-assist.jp/data/china/image_1887th/76965775.pdf","76965775")</f>
        <v>76965775</v>
      </c>
      <c r="F1632" s="7" t="s">
        <v>4449</v>
      </c>
      <c r="G1632" s="7" t="s">
        <v>4282</v>
      </c>
      <c r="H1632" s="7" t="s">
        <v>4450</v>
      </c>
      <c r="I1632" s="9">
        <v>45348</v>
      </c>
    </row>
    <row r="1633" spans="1:9" ht="27" x14ac:dyDescent="0.15">
      <c r="A1633" s="6">
        <v>1632</v>
      </c>
      <c r="B1633" s="7" t="s">
        <v>8</v>
      </c>
      <c r="C1633" s="8">
        <v>1887</v>
      </c>
      <c r="D1633" s="9">
        <v>45425</v>
      </c>
      <c r="E1633" s="13" t="str">
        <f>+HYPERLINK("http://trademark.i-assist.jp/data/china/image_1887th/76966216.pdf","76966216")</f>
        <v>76966216</v>
      </c>
      <c r="F1633" s="7" t="s">
        <v>4451</v>
      </c>
      <c r="G1633" s="7" t="s">
        <v>4140</v>
      </c>
      <c r="H1633" s="7" t="s">
        <v>4452</v>
      </c>
      <c r="I1633" s="9">
        <v>45348</v>
      </c>
    </row>
    <row r="1634" spans="1:9" x14ac:dyDescent="0.15">
      <c r="A1634" s="6">
        <v>1633</v>
      </c>
      <c r="B1634" s="7" t="s">
        <v>8</v>
      </c>
      <c r="C1634" s="8">
        <v>1887</v>
      </c>
      <c r="D1634" s="9">
        <v>45425</v>
      </c>
      <c r="E1634" s="13" t="str">
        <f>+HYPERLINK("http://trademark.i-assist.jp/data/china/image_1887th/76966352.pdf","76966352")</f>
        <v>76966352</v>
      </c>
      <c r="F1634" s="7" t="s">
        <v>4453</v>
      </c>
      <c r="G1634" s="7" t="s">
        <v>4454</v>
      </c>
      <c r="H1634" s="7" t="s">
        <v>4455</v>
      </c>
      <c r="I1634" s="9">
        <v>45348</v>
      </c>
    </row>
    <row r="1635" spans="1:9" x14ac:dyDescent="0.15">
      <c r="A1635" s="6">
        <v>1634</v>
      </c>
      <c r="B1635" s="7" t="s">
        <v>8</v>
      </c>
      <c r="C1635" s="8">
        <v>1887</v>
      </c>
      <c r="D1635" s="9">
        <v>45425</v>
      </c>
      <c r="E1635" s="13" t="str">
        <f>+HYPERLINK("http://trademark.i-assist.jp/data/china/image_1887th/76966446.pdf","76966446")</f>
        <v>76966446</v>
      </c>
      <c r="F1635" s="7" t="s">
        <v>4456</v>
      </c>
      <c r="G1635" s="7" t="s">
        <v>4457</v>
      </c>
      <c r="H1635" s="7" t="s">
        <v>4458</v>
      </c>
      <c r="I1635" s="9">
        <v>45348</v>
      </c>
    </row>
    <row r="1636" spans="1:9" ht="27" x14ac:dyDescent="0.15">
      <c r="A1636" s="6">
        <v>1635</v>
      </c>
      <c r="B1636" s="7" t="s">
        <v>8</v>
      </c>
      <c r="C1636" s="8">
        <v>1887</v>
      </c>
      <c r="D1636" s="9">
        <v>45425</v>
      </c>
      <c r="E1636" s="13" t="str">
        <f>+HYPERLINK("http://trademark.i-assist.jp/data/china/image_1887th/76966746.pdf","76966746")</f>
        <v>76966746</v>
      </c>
      <c r="F1636" s="7" t="s">
        <v>4459</v>
      </c>
      <c r="G1636" s="7" t="s">
        <v>4165</v>
      </c>
      <c r="H1636" s="7" t="s">
        <v>4460</v>
      </c>
      <c r="I1636" s="9">
        <v>45348</v>
      </c>
    </row>
    <row r="1637" spans="1:9" x14ac:dyDescent="0.15">
      <c r="A1637" s="6">
        <v>1636</v>
      </c>
      <c r="B1637" s="7" t="s">
        <v>8</v>
      </c>
      <c r="C1637" s="8">
        <v>1887</v>
      </c>
      <c r="D1637" s="9">
        <v>45425</v>
      </c>
      <c r="E1637" s="13" t="str">
        <f>+HYPERLINK("http://trademark.i-assist.jp/data/china/image_1887th/76966795.pdf","76966795")</f>
        <v>76966795</v>
      </c>
      <c r="F1637" s="7" t="s">
        <v>4461</v>
      </c>
      <c r="G1637" s="7" t="s">
        <v>4462</v>
      </c>
      <c r="H1637" s="7" t="s">
        <v>4463</v>
      </c>
      <c r="I1637" s="9">
        <v>45348</v>
      </c>
    </row>
    <row r="1638" spans="1:9" x14ac:dyDescent="0.15">
      <c r="A1638" s="6">
        <v>1637</v>
      </c>
      <c r="B1638" s="7" t="s">
        <v>8</v>
      </c>
      <c r="C1638" s="8">
        <v>1887</v>
      </c>
      <c r="D1638" s="9">
        <v>45425</v>
      </c>
      <c r="E1638" s="13" t="str">
        <f>+HYPERLINK("http://trademark.i-assist.jp/data/china/image_1887th/76967262.pdf","76967262")</f>
        <v>76967262</v>
      </c>
      <c r="F1638" s="7" t="s">
        <v>4464</v>
      </c>
      <c r="G1638" s="7" t="s">
        <v>4465</v>
      </c>
      <c r="H1638" s="7" t="s">
        <v>4466</v>
      </c>
      <c r="I1638" s="9">
        <v>45348</v>
      </c>
    </row>
    <row r="1639" spans="1:9" x14ac:dyDescent="0.15">
      <c r="A1639" s="6">
        <v>1638</v>
      </c>
      <c r="B1639" s="7" t="s">
        <v>8</v>
      </c>
      <c r="C1639" s="8">
        <v>1887</v>
      </c>
      <c r="D1639" s="9">
        <v>45425</v>
      </c>
      <c r="E1639" s="13" t="str">
        <f>+HYPERLINK("http://trademark.i-assist.jp/data/china/image_1887th/76967663.pdf","76967663")</f>
        <v>76967663</v>
      </c>
      <c r="F1639" s="7" t="s">
        <v>4467</v>
      </c>
      <c r="G1639" s="7" t="s">
        <v>4468</v>
      </c>
      <c r="H1639" s="7" t="s">
        <v>4469</v>
      </c>
      <c r="I1639" s="9">
        <v>45348</v>
      </c>
    </row>
    <row r="1640" spans="1:9" x14ac:dyDescent="0.15">
      <c r="A1640" s="6">
        <v>1639</v>
      </c>
      <c r="B1640" s="7" t="s">
        <v>8</v>
      </c>
      <c r="C1640" s="8">
        <v>1887</v>
      </c>
      <c r="D1640" s="9">
        <v>45425</v>
      </c>
      <c r="E1640" s="13" t="str">
        <f>+HYPERLINK("http://trademark.i-assist.jp/data/china/image_1887th/76967737.pdf","76967737")</f>
        <v>76967737</v>
      </c>
      <c r="F1640" s="7" t="s">
        <v>4470</v>
      </c>
      <c r="G1640" s="7" t="s">
        <v>4471</v>
      </c>
      <c r="H1640" s="7" t="s">
        <v>4472</v>
      </c>
      <c r="I1640" s="9">
        <v>45348</v>
      </c>
    </row>
    <row r="1641" spans="1:9" x14ac:dyDescent="0.15">
      <c r="A1641" s="6">
        <v>1640</v>
      </c>
      <c r="B1641" s="7" t="s">
        <v>8</v>
      </c>
      <c r="C1641" s="8">
        <v>1887</v>
      </c>
      <c r="D1641" s="9">
        <v>45425</v>
      </c>
      <c r="E1641" s="13" t="str">
        <f>+HYPERLINK("http://trademark.i-assist.jp/data/china/image_1887th/76967741.pdf","76967741")</f>
        <v>76967741</v>
      </c>
      <c r="F1641" s="7" t="s">
        <v>4473</v>
      </c>
      <c r="G1641" s="7" t="s">
        <v>4084</v>
      </c>
      <c r="H1641" s="7" t="s">
        <v>4474</v>
      </c>
      <c r="I1641" s="9">
        <v>45348</v>
      </c>
    </row>
    <row r="1642" spans="1:9" x14ac:dyDescent="0.15">
      <c r="A1642" s="6">
        <v>1641</v>
      </c>
      <c r="B1642" s="7" t="s">
        <v>8</v>
      </c>
      <c r="C1642" s="8">
        <v>1887</v>
      </c>
      <c r="D1642" s="9">
        <v>45425</v>
      </c>
      <c r="E1642" s="13" t="str">
        <f>+HYPERLINK("http://trademark.i-assist.jp/data/china/image_1887th/76967758.pdf","76967758")</f>
        <v>76967758</v>
      </c>
      <c r="F1642" s="7" t="s">
        <v>4475</v>
      </c>
      <c r="G1642" s="7" t="s">
        <v>4084</v>
      </c>
      <c r="H1642" s="7" t="s">
        <v>4476</v>
      </c>
      <c r="I1642" s="9">
        <v>45348</v>
      </c>
    </row>
    <row r="1643" spans="1:9" x14ac:dyDescent="0.15">
      <c r="A1643" s="6">
        <v>1642</v>
      </c>
      <c r="B1643" s="7" t="s">
        <v>8</v>
      </c>
      <c r="C1643" s="8">
        <v>1887</v>
      </c>
      <c r="D1643" s="9">
        <v>45425</v>
      </c>
      <c r="E1643" s="13" t="str">
        <f>+HYPERLINK("http://trademark.i-assist.jp/data/china/image_1887th/76967762.pdf","76967762")</f>
        <v>76967762</v>
      </c>
      <c r="F1643" s="7" t="s">
        <v>4477</v>
      </c>
      <c r="G1643" s="7" t="s">
        <v>4478</v>
      </c>
      <c r="H1643" s="7" t="s">
        <v>4479</v>
      </c>
      <c r="I1643" s="9">
        <v>45348</v>
      </c>
    </row>
    <row r="1644" spans="1:9" ht="40.5" x14ac:dyDescent="0.15">
      <c r="A1644" s="6">
        <v>1643</v>
      </c>
      <c r="B1644" s="7" t="s">
        <v>8</v>
      </c>
      <c r="C1644" s="8">
        <v>1887</v>
      </c>
      <c r="D1644" s="9">
        <v>45425</v>
      </c>
      <c r="E1644" s="13" t="str">
        <f>+HYPERLINK("http://trademark.i-assist.jp/data/china/image_1887th/76968043.pdf","76968043")</f>
        <v>76968043</v>
      </c>
      <c r="F1644" s="7" t="s">
        <v>4480</v>
      </c>
      <c r="G1644" s="7" t="s">
        <v>4481</v>
      </c>
      <c r="H1644" s="7" t="s">
        <v>4482</v>
      </c>
      <c r="I1644" s="9">
        <v>45348</v>
      </c>
    </row>
    <row r="1645" spans="1:9" x14ac:dyDescent="0.15">
      <c r="A1645" s="6">
        <v>1644</v>
      </c>
      <c r="B1645" s="7" t="s">
        <v>8</v>
      </c>
      <c r="C1645" s="8">
        <v>1887</v>
      </c>
      <c r="D1645" s="9">
        <v>45425</v>
      </c>
      <c r="E1645" s="13" t="str">
        <f>+HYPERLINK("http://trademark.i-assist.jp/data/china/image_1887th/76968052.pdf","76968052")</f>
        <v>76968052</v>
      </c>
      <c r="F1645" s="7" t="s">
        <v>4483</v>
      </c>
      <c r="G1645" s="7" t="s">
        <v>4484</v>
      </c>
      <c r="H1645" s="7" t="s">
        <v>4485</v>
      </c>
      <c r="I1645" s="9">
        <v>45348</v>
      </c>
    </row>
    <row r="1646" spans="1:9" ht="27" x14ac:dyDescent="0.15">
      <c r="A1646" s="6">
        <v>1645</v>
      </c>
      <c r="B1646" s="7" t="s">
        <v>8</v>
      </c>
      <c r="C1646" s="8">
        <v>1887</v>
      </c>
      <c r="D1646" s="9">
        <v>45425</v>
      </c>
      <c r="E1646" s="13" t="str">
        <f>+HYPERLINK("http://trademark.i-assist.jp/data/china/image_1887th/76968180.pdf","76968180")</f>
        <v>76968180</v>
      </c>
      <c r="F1646" s="7" t="s">
        <v>4486</v>
      </c>
      <c r="G1646" s="7" t="s">
        <v>4487</v>
      </c>
      <c r="H1646" s="7" t="s">
        <v>4488</v>
      </c>
      <c r="I1646" s="9">
        <v>45348</v>
      </c>
    </row>
    <row r="1647" spans="1:9" x14ac:dyDescent="0.15">
      <c r="A1647" s="6">
        <v>1646</v>
      </c>
      <c r="B1647" s="7" t="s">
        <v>8</v>
      </c>
      <c r="C1647" s="8">
        <v>1887</v>
      </c>
      <c r="D1647" s="9">
        <v>45425</v>
      </c>
      <c r="E1647" s="13" t="str">
        <f>+HYPERLINK("http://trademark.i-assist.jp/data/china/image_1887th/76968235.pdf","76968235")</f>
        <v>76968235</v>
      </c>
      <c r="F1647" s="7" t="s">
        <v>4489</v>
      </c>
      <c r="G1647" s="7" t="s">
        <v>4490</v>
      </c>
      <c r="H1647" s="7" t="s">
        <v>4491</v>
      </c>
      <c r="I1647" s="9">
        <v>45348</v>
      </c>
    </row>
    <row r="1648" spans="1:9" x14ac:dyDescent="0.15">
      <c r="A1648" s="6">
        <v>1647</v>
      </c>
      <c r="B1648" s="7" t="s">
        <v>8</v>
      </c>
      <c r="C1648" s="8">
        <v>1887</v>
      </c>
      <c r="D1648" s="9">
        <v>45425</v>
      </c>
      <c r="E1648" s="13" t="str">
        <f>+HYPERLINK("http://trademark.i-assist.jp/data/china/image_1887th/76968462.pdf","76968462")</f>
        <v>76968462</v>
      </c>
      <c r="F1648" s="7" t="s">
        <v>4492</v>
      </c>
      <c r="G1648" s="7" t="s">
        <v>4493</v>
      </c>
      <c r="H1648" s="7" t="s">
        <v>4494</v>
      </c>
      <c r="I1648" s="9">
        <v>45348</v>
      </c>
    </row>
    <row r="1649" spans="1:9" x14ac:dyDescent="0.15">
      <c r="A1649" s="6">
        <v>1648</v>
      </c>
      <c r="B1649" s="7" t="s">
        <v>8</v>
      </c>
      <c r="C1649" s="8">
        <v>1887</v>
      </c>
      <c r="D1649" s="9">
        <v>45425</v>
      </c>
      <c r="E1649" s="13" t="str">
        <f>+HYPERLINK("http://trademark.i-assist.jp/data/china/image_1887th/76968511.pdf","76968511")</f>
        <v>76968511</v>
      </c>
      <c r="F1649" s="7" t="s">
        <v>4495</v>
      </c>
      <c r="G1649" s="7" t="s">
        <v>4356</v>
      </c>
      <c r="H1649" s="7" t="s">
        <v>4496</v>
      </c>
      <c r="I1649" s="9">
        <v>45348</v>
      </c>
    </row>
    <row r="1650" spans="1:9" ht="27" x14ac:dyDescent="0.15">
      <c r="A1650" s="6">
        <v>1649</v>
      </c>
      <c r="B1650" s="7" t="s">
        <v>8</v>
      </c>
      <c r="C1650" s="8">
        <v>1887</v>
      </c>
      <c r="D1650" s="9">
        <v>45425</v>
      </c>
      <c r="E1650" s="13" t="str">
        <f>+HYPERLINK("http://trademark.i-assist.jp/data/china/image_1887th/76968883.pdf","76968883")</f>
        <v>76968883</v>
      </c>
      <c r="F1650" s="7" t="s">
        <v>4497</v>
      </c>
      <c r="G1650" s="7" t="s">
        <v>4498</v>
      </c>
      <c r="H1650" s="7" t="s">
        <v>4499</v>
      </c>
      <c r="I1650" s="9">
        <v>45348</v>
      </c>
    </row>
    <row r="1651" spans="1:9" x14ac:dyDescent="0.15">
      <c r="A1651" s="6">
        <v>1650</v>
      </c>
      <c r="B1651" s="7" t="s">
        <v>8</v>
      </c>
      <c r="C1651" s="8">
        <v>1887</v>
      </c>
      <c r="D1651" s="9">
        <v>45425</v>
      </c>
      <c r="E1651" s="13" t="str">
        <f>+HYPERLINK("http://trademark.i-assist.jp/data/china/image_1887th/76968899.pdf","76968899")</f>
        <v>76968899</v>
      </c>
      <c r="F1651" s="7" t="s">
        <v>4500</v>
      </c>
      <c r="G1651" s="7" t="s">
        <v>4501</v>
      </c>
      <c r="H1651" s="7" t="s">
        <v>4502</v>
      </c>
      <c r="I1651" s="9">
        <v>45348</v>
      </c>
    </row>
    <row r="1652" spans="1:9" x14ac:dyDescent="0.15">
      <c r="A1652" s="6">
        <v>1651</v>
      </c>
      <c r="B1652" s="7" t="s">
        <v>8</v>
      </c>
      <c r="C1652" s="8">
        <v>1887</v>
      </c>
      <c r="D1652" s="9">
        <v>45425</v>
      </c>
      <c r="E1652" s="13" t="str">
        <f>+HYPERLINK("http://trademark.i-assist.jp/data/china/image_1887th/76969023.pdf","76969023")</f>
        <v>76969023</v>
      </c>
      <c r="F1652" s="7" t="s">
        <v>54</v>
      </c>
      <c r="G1652" s="7" t="s">
        <v>4503</v>
      </c>
      <c r="H1652" s="7" t="s">
        <v>4504</v>
      </c>
      <c r="I1652" s="9">
        <v>45348</v>
      </c>
    </row>
    <row r="1653" spans="1:9" x14ac:dyDescent="0.15">
      <c r="A1653" s="6">
        <v>1652</v>
      </c>
      <c r="B1653" s="7" t="s">
        <v>8</v>
      </c>
      <c r="C1653" s="8">
        <v>1887</v>
      </c>
      <c r="D1653" s="9">
        <v>45425</v>
      </c>
      <c r="E1653" s="13" t="str">
        <f>+HYPERLINK("http://trademark.i-assist.jp/data/china/image_1887th/76969191.pdf","76969191")</f>
        <v>76969191</v>
      </c>
      <c r="F1653" s="7" t="s">
        <v>4505</v>
      </c>
      <c r="G1653" s="7" t="s">
        <v>4506</v>
      </c>
      <c r="H1653" s="7" t="s">
        <v>4507</v>
      </c>
      <c r="I1653" s="9">
        <v>45348</v>
      </c>
    </row>
    <row r="1654" spans="1:9" ht="27" x14ac:dyDescent="0.15">
      <c r="A1654" s="6">
        <v>1653</v>
      </c>
      <c r="B1654" s="7" t="s">
        <v>8</v>
      </c>
      <c r="C1654" s="8">
        <v>1887</v>
      </c>
      <c r="D1654" s="9">
        <v>45425</v>
      </c>
      <c r="E1654" s="13" t="str">
        <f>+HYPERLINK("http://trademark.i-assist.jp/data/china/image_1887th/76969271.pdf","76969271")</f>
        <v>76969271</v>
      </c>
      <c r="F1654" s="7" t="s">
        <v>4508</v>
      </c>
      <c r="G1654" s="7" t="s">
        <v>4241</v>
      </c>
      <c r="H1654" s="7" t="s">
        <v>4509</v>
      </c>
      <c r="I1654" s="9">
        <v>45348</v>
      </c>
    </row>
    <row r="1655" spans="1:9" ht="27" x14ac:dyDescent="0.15">
      <c r="A1655" s="6">
        <v>1654</v>
      </c>
      <c r="B1655" s="7" t="s">
        <v>8</v>
      </c>
      <c r="C1655" s="8">
        <v>1887</v>
      </c>
      <c r="D1655" s="9">
        <v>45425</v>
      </c>
      <c r="E1655" s="13" t="str">
        <f>+HYPERLINK("http://trademark.i-assist.jp/data/china/image_1887th/76969400.pdf","76969400")</f>
        <v>76969400</v>
      </c>
      <c r="F1655" s="7" t="s">
        <v>4510</v>
      </c>
      <c r="G1655" s="7" t="s">
        <v>4211</v>
      </c>
      <c r="H1655" s="7" t="s">
        <v>4511</v>
      </c>
      <c r="I1655" s="9">
        <v>45348</v>
      </c>
    </row>
    <row r="1656" spans="1:9" ht="27" x14ac:dyDescent="0.15">
      <c r="A1656" s="6">
        <v>1655</v>
      </c>
      <c r="B1656" s="7" t="s">
        <v>8</v>
      </c>
      <c r="C1656" s="8">
        <v>1887</v>
      </c>
      <c r="D1656" s="9">
        <v>45425</v>
      </c>
      <c r="E1656" s="13" t="str">
        <f>+HYPERLINK("http://trademark.i-assist.jp/data/china/image_1887th/76969414.pdf","76969414")</f>
        <v>76969414</v>
      </c>
      <c r="F1656" s="7" t="s">
        <v>4512</v>
      </c>
      <c r="G1656" s="7" t="s">
        <v>4211</v>
      </c>
      <c r="H1656" s="7" t="s">
        <v>4513</v>
      </c>
      <c r="I1656" s="9">
        <v>45348</v>
      </c>
    </row>
    <row r="1657" spans="1:9" x14ac:dyDescent="0.15">
      <c r="A1657" s="6">
        <v>1656</v>
      </c>
      <c r="B1657" s="7" t="s">
        <v>8</v>
      </c>
      <c r="C1657" s="8">
        <v>1887</v>
      </c>
      <c r="D1657" s="9">
        <v>45425</v>
      </c>
      <c r="E1657" s="13" t="str">
        <f>+HYPERLINK("http://trademark.i-assist.jp/data/china/image_1887th/76969464.pdf","76969464")</f>
        <v>76969464</v>
      </c>
      <c r="F1657" s="7" t="s">
        <v>4514</v>
      </c>
      <c r="G1657" s="7" t="s">
        <v>2384</v>
      </c>
      <c r="H1657" s="7" t="s">
        <v>4515</v>
      </c>
      <c r="I1657" s="9">
        <v>45348</v>
      </c>
    </row>
    <row r="1658" spans="1:9" ht="27" x14ac:dyDescent="0.15">
      <c r="A1658" s="6">
        <v>1657</v>
      </c>
      <c r="B1658" s="7" t="s">
        <v>8</v>
      </c>
      <c r="C1658" s="8">
        <v>1887</v>
      </c>
      <c r="D1658" s="9">
        <v>45425</v>
      </c>
      <c r="E1658" s="13" t="str">
        <f>+HYPERLINK("http://trademark.i-assist.jp/data/china/image_1887th/76969666.pdf","76969666")</f>
        <v>76969666</v>
      </c>
      <c r="F1658" s="7" t="s">
        <v>4516</v>
      </c>
      <c r="G1658" s="7" t="s">
        <v>4487</v>
      </c>
      <c r="H1658" s="7" t="s">
        <v>4517</v>
      </c>
      <c r="I1658" s="9">
        <v>45348</v>
      </c>
    </row>
    <row r="1659" spans="1:9" x14ac:dyDescent="0.15">
      <c r="A1659" s="6">
        <v>1658</v>
      </c>
      <c r="B1659" s="7" t="s">
        <v>8</v>
      </c>
      <c r="C1659" s="8">
        <v>1887</v>
      </c>
      <c r="D1659" s="9">
        <v>45425</v>
      </c>
      <c r="E1659" s="13" t="str">
        <f>+HYPERLINK("http://trademark.i-assist.jp/data/china/image_1887th/76969860.pdf","76969860")</f>
        <v>76969860</v>
      </c>
      <c r="F1659" s="7" t="s">
        <v>4518</v>
      </c>
      <c r="G1659" s="7" t="s">
        <v>4192</v>
      </c>
      <c r="H1659" s="7" t="s">
        <v>4519</v>
      </c>
      <c r="I1659" s="9">
        <v>45348</v>
      </c>
    </row>
    <row r="1660" spans="1:9" x14ac:dyDescent="0.15">
      <c r="A1660" s="6">
        <v>1659</v>
      </c>
      <c r="B1660" s="7" t="s">
        <v>8</v>
      </c>
      <c r="C1660" s="8">
        <v>1887</v>
      </c>
      <c r="D1660" s="9">
        <v>45425</v>
      </c>
      <c r="E1660" s="13" t="str">
        <f>+HYPERLINK("http://trademark.i-assist.jp/data/china/image_1887th/76970064.pdf","76970064")</f>
        <v>76970064</v>
      </c>
      <c r="F1660" s="7" t="s">
        <v>4520</v>
      </c>
      <c r="G1660" s="7" t="s">
        <v>4336</v>
      </c>
      <c r="H1660" s="7" t="s">
        <v>4521</v>
      </c>
      <c r="I1660" s="9">
        <v>45348</v>
      </c>
    </row>
    <row r="1661" spans="1:9" ht="27" x14ac:dyDescent="0.15">
      <c r="A1661" s="6">
        <v>1660</v>
      </c>
      <c r="B1661" s="7" t="s">
        <v>8</v>
      </c>
      <c r="C1661" s="8">
        <v>1887</v>
      </c>
      <c r="D1661" s="9">
        <v>45425</v>
      </c>
      <c r="E1661" s="13" t="str">
        <f>+HYPERLINK("http://trademark.i-assist.jp/data/china/image_1887th/76970227.pdf","76970227")</f>
        <v>76970227</v>
      </c>
      <c r="F1661" s="7" t="s">
        <v>4522</v>
      </c>
      <c r="G1661" s="7" t="s">
        <v>4211</v>
      </c>
      <c r="H1661" s="7" t="s">
        <v>4523</v>
      </c>
      <c r="I1661" s="9">
        <v>45348</v>
      </c>
    </row>
    <row r="1662" spans="1:9" x14ac:dyDescent="0.15">
      <c r="A1662" s="6">
        <v>1661</v>
      </c>
      <c r="B1662" s="7" t="s">
        <v>8</v>
      </c>
      <c r="C1662" s="8">
        <v>1887</v>
      </c>
      <c r="D1662" s="9">
        <v>45425</v>
      </c>
      <c r="E1662" s="13" t="str">
        <f>+HYPERLINK("http://trademark.i-assist.jp/data/china/image_1887th/76970433.pdf","76970433")</f>
        <v>76970433</v>
      </c>
      <c r="F1662" s="7" t="s">
        <v>4524</v>
      </c>
      <c r="G1662" s="7" t="s">
        <v>4525</v>
      </c>
      <c r="H1662" s="7" t="s">
        <v>4526</v>
      </c>
      <c r="I1662" s="9">
        <v>45349</v>
      </c>
    </row>
    <row r="1663" spans="1:9" x14ac:dyDescent="0.15">
      <c r="A1663" s="6">
        <v>1662</v>
      </c>
      <c r="B1663" s="7" t="s">
        <v>8</v>
      </c>
      <c r="C1663" s="8">
        <v>1887</v>
      </c>
      <c r="D1663" s="9">
        <v>45425</v>
      </c>
      <c r="E1663" s="13" t="str">
        <f>+HYPERLINK("http://trademark.i-assist.jp/data/china/image_1887th/76970444.pdf","76970444")</f>
        <v>76970444</v>
      </c>
      <c r="F1663" s="7" t="s">
        <v>4527</v>
      </c>
      <c r="G1663" s="7" t="s">
        <v>4525</v>
      </c>
      <c r="H1663" s="7" t="s">
        <v>4528</v>
      </c>
      <c r="I1663" s="9">
        <v>45349</v>
      </c>
    </row>
    <row r="1664" spans="1:9" ht="27" x14ac:dyDescent="0.15">
      <c r="A1664" s="6">
        <v>1663</v>
      </c>
      <c r="B1664" s="7" t="s">
        <v>8</v>
      </c>
      <c r="C1664" s="8">
        <v>1887</v>
      </c>
      <c r="D1664" s="9">
        <v>45425</v>
      </c>
      <c r="E1664" s="13" t="str">
        <f>+HYPERLINK("http://trademark.i-assist.jp/data/china/image_1887th/76970513.pdf","76970513")</f>
        <v>76970513</v>
      </c>
      <c r="F1664" s="7" t="s">
        <v>4529</v>
      </c>
      <c r="G1664" s="7" t="s">
        <v>4530</v>
      </c>
      <c r="H1664" s="7" t="s">
        <v>4531</v>
      </c>
      <c r="I1664" s="9">
        <v>45349</v>
      </c>
    </row>
    <row r="1665" spans="1:9" x14ac:dyDescent="0.15">
      <c r="A1665" s="6">
        <v>1664</v>
      </c>
      <c r="B1665" s="7" t="s">
        <v>8</v>
      </c>
      <c r="C1665" s="8">
        <v>1887</v>
      </c>
      <c r="D1665" s="9">
        <v>45425</v>
      </c>
      <c r="E1665" s="13" t="str">
        <f>+HYPERLINK("http://trademark.i-assist.jp/data/china/image_1887th/76970542.pdf","76970542")</f>
        <v>76970542</v>
      </c>
      <c r="F1665" s="7" t="s">
        <v>4532</v>
      </c>
      <c r="G1665" s="7" t="s">
        <v>4533</v>
      </c>
      <c r="H1665" s="7" t="s">
        <v>4534</v>
      </c>
      <c r="I1665" s="9">
        <v>45349</v>
      </c>
    </row>
    <row r="1666" spans="1:9" x14ac:dyDescent="0.15">
      <c r="A1666" s="6">
        <v>1665</v>
      </c>
      <c r="B1666" s="7" t="s">
        <v>8</v>
      </c>
      <c r="C1666" s="8">
        <v>1887</v>
      </c>
      <c r="D1666" s="9">
        <v>45425</v>
      </c>
      <c r="E1666" s="13" t="str">
        <f>+HYPERLINK("http://trademark.i-assist.jp/data/china/image_1887th/76970588.pdf","76970588")</f>
        <v>76970588</v>
      </c>
      <c r="F1666" s="7" t="s">
        <v>4535</v>
      </c>
      <c r="G1666" s="7" t="s">
        <v>4536</v>
      </c>
      <c r="H1666" s="7" t="s">
        <v>4537</v>
      </c>
      <c r="I1666" s="9">
        <v>45349</v>
      </c>
    </row>
    <row r="1667" spans="1:9" ht="27" x14ac:dyDescent="0.15">
      <c r="A1667" s="6">
        <v>1666</v>
      </c>
      <c r="B1667" s="7" t="s">
        <v>8</v>
      </c>
      <c r="C1667" s="8">
        <v>1887</v>
      </c>
      <c r="D1667" s="9">
        <v>45425</v>
      </c>
      <c r="E1667" s="13" t="str">
        <f>+HYPERLINK("http://trademark.i-assist.jp/data/china/image_1887th/76970936.pdf","76970936")</f>
        <v>76970936</v>
      </c>
      <c r="F1667" s="7" t="s">
        <v>4538</v>
      </c>
      <c r="G1667" s="7" t="s">
        <v>4539</v>
      </c>
      <c r="H1667" s="7" t="s">
        <v>4540</v>
      </c>
      <c r="I1667" s="9">
        <v>45349</v>
      </c>
    </row>
    <row r="1668" spans="1:9" x14ac:dyDescent="0.15">
      <c r="A1668" s="6">
        <v>1667</v>
      </c>
      <c r="B1668" s="7" t="s">
        <v>8</v>
      </c>
      <c r="C1668" s="8">
        <v>1887</v>
      </c>
      <c r="D1668" s="9">
        <v>45425</v>
      </c>
      <c r="E1668" s="13" t="str">
        <f>+HYPERLINK("http://trademark.i-assist.jp/data/china/image_1887th/76971085.pdf","76971085")</f>
        <v>76971085</v>
      </c>
      <c r="F1668" s="7" t="s">
        <v>4541</v>
      </c>
      <c r="G1668" s="7" t="s">
        <v>4542</v>
      </c>
      <c r="H1668" s="7" t="s">
        <v>4543</v>
      </c>
      <c r="I1668" s="9">
        <v>45349</v>
      </c>
    </row>
    <row r="1669" spans="1:9" x14ac:dyDescent="0.15">
      <c r="A1669" s="6">
        <v>1668</v>
      </c>
      <c r="B1669" s="7" t="s">
        <v>8</v>
      </c>
      <c r="C1669" s="8">
        <v>1887</v>
      </c>
      <c r="D1669" s="9">
        <v>45425</v>
      </c>
      <c r="E1669" s="13" t="str">
        <f>+HYPERLINK("http://trademark.i-assist.jp/data/china/image_1887th/76971251.pdf","76971251")</f>
        <v>76971251</v>
      </c>
      <c r="F1669" s="7" t="s">
        <v>4544</v>
      </c>
      <c r="G1669" s="7" t="s">
        <v>4545</v>
      </c>
      <c r="H1669" s="7" t="s">
        <v>4546</v>
      </c>
      <c r="I1669" s="9">
        <v>45349</v>
      </c>
    </row>
    <row r="1670" spans="1:9" x14ac:dyDescent="0.15">
      <c r="A1670" s="6">
        <v>1669</v>
      </c>
      <c r="B1670" s="7" t="s">
        <v>8</v>
      </c>
      <c r="C1670" s="8">
        <v>1887</v>
      </c>
      <c r="D1670" s="9">
        <v>45425</v>
      </c>
      <c r="E1670" s="13" t="str">
        <f>+HYPERLINK("http://trademark.i-assist.jp/data/china/image_1887th/76971320.pdf","76971320")</f>
        <v>76971320</v>
      </c>
      <c r="F1670" s="7" t="s">
        <v>4547</v>
      </c>
      <c r="G1670" s="7" t="s">
        <v>4548</v>
      </c>
      <c r="H1670" s="7" t="s">
        <v>4549</v>
      </c>
      <c r="I1670" s="9">
        <v>45349</v>
      </c>
    </row>
    <row r="1671" spans="1:9" x14ac:dyDescent="0.15">
      <c r="A1671" s="6">
        <v>1670</v>
      </c>
      <c r="B1671" s="7" t="s">
        <v>8</v>
      </c>
      <c r="C1671" s="8">
        <v>1887</v>
      </c>
      <c r="D1671" s="9">
        <v>45425</v>
      </c>
      <c r="E1671" s="13" t="str">
        <f>+HYPERLINK("http://trademark.i-assist.jp/data/china/image_1887th/76971375.pdf","76971375")</f>
        <v>76971375</v>
      </c>
      <c r="F1671" s="7" t="s">
        <v>4550</v>
      </c>
      <c r="G1671" s="7" t="s">
        <v>4551</v>
      </c>
      <c r="H1671" s="7" t="s">
        <v>4552</v>
      </c>
      <c r="I1671" s="9">
        <v>45349</v>
      </c>
    </row>
    <row r="1672" spans="1:9" x14ac:dyDescent="0.15">
      <c r="A1672" s="6">
        <v>1671</v>
      </c>
      <c r="B1672" s="7" t="s">
        <v>8</v>
      </c>
      <c r="C1672" s="8">
        <v>1887</v>
      </c>
      <c r="D1672" s="9">
        <v>45425</v>
      </c>
      <c r="E1672" s="13" t="str">
        <f>+HYPERLINK("http://trademark.i-assist.jp/data/china/image_1887th/76971377.pdf","76971377")</f>
        <v>76971377</v>
      </c>
      <c r="F1672" s="7" t="s">
        <v>4553</v>
      </c>
      <c r="G1672" s="7" t="s">
        <v>4554</v>
      </c>
      <c r="H1672" s="7" t="s">
        <v>4555</v>
      </c>
      <c r="I1672" s="9">
        <v>45349</v>
      </c>
    </row>
    <row r="1673" spans="1:9" x14ac:dyDescent="0.15">
      <c r="A1673" s="6">
        <v>1672</v>
      </c>
      <c r="B1673" s="7" t="s">
        <v>8</v>
      </c>
      <c r="C1673" s="8">
        <v>1887</v>
      </c>
      <c r="D1673" s="9">
        <v>45425</v>
      </c>
      <c r="E1673" s="13" t="str">
        <f>+HYPERLINK("http://trademark.i-assist.jp/data/china/image_1887th/76971423.pdf","76971423")</f>
        <v>76971423</v>
      </c>
      <c r="F1673" s="7" t="s">
        <v>4556</v>
      </c>
      <c r="G1673" s="7" t="s">
        <v>4557</v>
      </c>
      <c r="H1673" s="7" t="s">
        <v>4558</v>
      </c>
      <c r="I1673" s="9">
        <v>45349</v>
      </c>
    </row>
    <row r="1674" spans="1:9" x14ac:dyDescent="0.15">
      <c r="A1674" s="6">
        <v>1673</v>
      </c>
      <c r="B1674" s="7" t="s">
        <v>8</v>
      </c>
      <c r="C1674" s="8">
        <v>1887</v>
      </c>
      <c r="D1674" s="9">
        <v>45425</v>
      </c>
      <c r="E1674" s="13" t="str">
        <f>+HYPERLINK("http://trademark.i-assist.jp/data/china/image_1887th/76971498.pdf","76971498")</f>
        <v>76971498</v>
      </c>
      <c r="F1674" s="7" t="s">
        <v>4559</v>
      </c>
      <c r="G1674" s="7" t="s">
        <v>4560</v>
      </c>
      <c r="H1674" s="7" t="s">
        <v>4561</v>
      </c>
      <c r="I1674" s="9">
        <v>45349</v>
      </c>
    </row>
    <row r="1675" spans="1:9" ht="27" x14ac:dyDescent="0.15">
      <c r="A1675" s="6">
        <v>1674</v>
      </c>
      <c r="B1675" s="7" t="s">
        <v>8</v>
      </c>
      <c r="C1675" s="8">
        <v>1887</v>
      </c>
      <c r="D1675" s="9">
        <v>45425</v>
      </c>
      <c r="E1675" s="13" t="str">
        <f>+HYPERLINK("http://trademark.i-assist.jp/data/china/image_1887th/76971521.pdf","76971521")</f>
        <v>76971521</v>
      </c>
      <c r="F1675" s="7" t="s">
        <v>4562</v>
      </c>
      <c r="G1675" s="7" t="s">
        <v>4563</v>
      </c>
      <c r="H1675" s="7" t="s">
        <v>4564</v>
      </c>
      <c r="I1675" s="9">
        <v>45349</v>
      </c>
    </row>
    <row r="1676" spans="1:9" ht="27" x14ac:dyDescent="0.15">
      <c r="A1676" s="6">
        <v>1675</v>
      </c>
      <c r="B1676" s="7" t="s">
        <v>8</v>
      </c>
      <c r="C1676" s="8">
        <v>1887</v>
      </c>
      <c r="D1676" s="9">
        <v>45425</v>
      </c>
      <c r="E1676" s="13" t="str">
        <f>+HYPERLINK("http://trademark.i-assist.jp/data/china/image_1887th/76971548.pdf","76971548")</f>
        <v>76971548</v>
      </c>
      <c r="F1676" s="7" t="s">
        <v>4565</v>
      </c>
      <c r="G1676" s="7" t="s">
        <v>4563</v>
      </c>
      <c r="H1676" s="7" t="s">
        <v>4566</v>
      </c>
      <c r="I1676" s="9">
        <v>45349</v>
      </c>
    </row>
    <row r="1677" spans="1:9" ht="27" x14ac:dyDescent="0.15">
      <c r="A1677" s="6">
        <v>1676</v>
      </c>
      <c r="B1677" s="7" t="s">
        <v>8</v>
      </c>
      <c r="C1677" s="8">
        <v>1887</v>
      </c>
      <c r="D1677" s="9">
        <v>45425</v>
      </c>
      <c r="E1677" s="13" t="str">
        <f>+HYPERLINK("http://trademark.i-assist.jp/data/china/image_1887th/76971560.pdf","76971560")</f>
        <v>76971560</v>
      </c>
      <c r="F1677" s="7" t="s">
        <v>4567</v>
      </c>
      <c r="G1677" s="7" t="s">
        <v>4563</v>
      </c>
      <c r="H1677" s="7" t="s">
        <v>4568</v>
      </c>
      <c r="I1677" s="9">
        <v>45349</v>
      </c>
    </row>
    <row r="1678" spans="1:9" ht="27" x14ac:dyDescent="0.15">
      <c r="A1678" s="6">
        <v>1677</v>
      </c>
      <c r="B1678" s="7" t="s">
        <v>8</v>
      </c>
      <c r="C1678" s="8">
        <v>1887</v>
      </c>
      <c r="D1678" s="9">
        <v>45425</v>
      </c>
      <c r="E1678" s="13" t="str">
        <f>+HYPERLINK("http://trademark.i-assist.jp/data/china/image_1887th/76971567.pdf","76971567")</f>
        <v>76971567</v>
      </c>
      <c r="F1678" s="7" t="s">
        <v>54</v>
      </c>
      <c r="G1678" s="7" t="s">
        <v>4563</v>
      </c>
      <c r="H1678" s="7" t="s">
        <v>4569</v>
      </c>
      <c r="I1678" s="9">
        <v>45349</v>
      </c>
    </row>
    <row r="1679" spans="1:9" x14ac:dyDescent="0.15">
      <c r="A1679" s="6">
        <v>1678</v>
      </c>
      <c r="B1679" s="7" t="s">
        <v>8</v>
      </c>
      <c r="C1679" s="8">
        <v>1887</v>
      </c>
      <c r="D1679" s="9">
        <v>45425</v>
      </c>
      <c r="E1679" s="13" t="str">
        <f>+HYPERLINK("http://trademark.i-assist.jp/data/china/image_1887th/76971633.pdf","76971633")</f>
        <v>76971633</v>
      </c>
      <c r="F1679" s="7" t="s">
        <v>4570</v>
      </c>
      <c r="G1679" s="7" t="s">
        <v>4571</v>
      </c>
      <c r="H1679" s="7" t="s">
        <v>4572</v>
      </c>
      <c r="I1679" s="9">
        <v>45349</v>
      </c>
    </row>
    <row r="1680" spans="1:9" x14ac:dyDescent="0.15">
      <c r="A1680" s="6">
        <v>1679</v>
      </c>
      <c r="B1680" s="7" t="s">
        <v>8</v>
      </c>
      <c r="C1680" s="8">
        <v>1887</v>
      </c>
      <c r="D1680" s="9">
        <v>45425</v>
      </c>
      <c r="E1680" s="13" t="str">
        <f>+HYPERLINK("http://trademark.i-assist.jp/data/china/image_1887th/76971670.pdf","76971670")</f>
        <v>76971670</v>
      </c>
      <c r="F1680" s="7" t="s">
        <v>4573</v>
      </c>
      <c r="G1680" s="7" t="s">
        <v>4574</v>
      </c>
      <c r="H1680" s="7" t="s">
        <v>4575</v>
      </c>
      <c r="I1680" s="9">
        <v>45349</v>
      </c>
    </row>
    <row r="1681" spans="1:9" ht="27" x14ac:dyDescent="0.15">
      <c r="A1681" s="6">
        <v>1680</v>
      </c>
      <c r="B1681" s="7" t="s">
        <v>8</v>
      </c>
      <c r="C1681" s="8">
        <v>1887</v>
      </c>
      <c r="D1681" s="9">
        <v>45425</v>
      </c>
      <c r="E1681" s="13" t="str">
        <f>+HYPERLINK("http://trademark.i-assist.jp/data/china/image_1887th/76971712.pdf","76971712")</f>
        <v>76971712</v>
      </c>
      <c r="F1681" s="7" t="s">
        <v>4576</v>
      </c>
      <c r="G1681" s="7" t="s">
        <v>4577</v>
      </c>
      <c r="H1681" s="7" t="s">
        <v>4578</v>
      </c>
      <c r="I1681" s="9">
        <v>45349</v>
      </c>
    </row>
    <row r="1682" spans="1:9" x14ac:dyDescent="0.15">
      <c r="A1682" s="6">
        <v>1681</v>
      </c>
      <c r="B1682" s="7" t="s">
        <v>8</v>
      </c>
      <c r="C1682" s="8">
        <v>1887</v>
      </c>
      <c r="D1682" s="9">
        <v>45425</v>
      </c>
      <c r="E1682" s="13" t="str">
        <f>+HYPERLINK("http://trademark.i-assist.jp/data/china/image_1887th/76971782.pdf","76971782")</f>
        <v>76971782</v>
      </c>
      <c r="F1682" s="7" t="s">
        <v>4579</v>
      </c>
      <c r="G1682" s="7" t="s">
        <v>4580</v>
      </c>
      <c r="H1682" s="7" t="s">
        <v>4581</v>
      </c>
      <c r="I1682" s="9">
        <v>45349</v>
      </c>
    </row>
    <row r="1683" spans="1:9" x14ac:dyDescent="0.15">
      <c r="A1683" s="6">
        <v>1682</v>
      </c>
      <c r="B1683" s="7" t="s">
        <v>8</v>
      </c>
      <c r="C1683" s="8">
        <v>1887</v>
      </c>
      <c r="D1683" s="9">
        <v>45425</v>
      </c>
      <c r="E1683" s="13" t="str">
        <f>+HYPERLINK("http://trademark.i-assist.jp/data/china/image_1887th/76971917.pdf","76971917")</f>
        <v>76971917</v>
      </c>
      <c r="F1683" s="7" t="s">
        <v>4582</v>
      </c>
      <c r="G1683" s="7" t="s">
        <v>4583</v>
      </c>
      <c r="H1683" s="7" t="s">
        <v>4584</v>
      </c>
      <c r="I1683" s="9">
        <v>45349</v>
      </c>
    </row>
    <row r="1684" spans="1:9" x14ac:dyDescent="0.15">
      <c r="A1684" s="6">
        <v>1683</v>
      </c>
      <c r="B1684" s="7" t="s">
        <v>8</v>
      </c>
      <c r="C1684" s="8">
        <v>1887</v>
      </c>
      <c r="D1684" s="9">
        <v>45425</v>
      </c>
      <c r="E1684" s="13" t="str">
        <f>+HYPERLINK("http://trademark.i-assist.jp/data/china/image_1887th/76971928.pdf","76971928")</f>
        <v>76971928</v>
      </c>
      <c r="F1684" s="7" t="s">
        <v>4585</v>
      </c>
      <c r="G1684" s="7" t="s">
        <v>4586</v>
      </c>
      <c r="H1684" s="7" t="s">
        <v>4587</v>
      </c>
      <c r="I1684" s="9">
        <v>45349</v>
      </c>
    </row>
    <row r="1685" spans="1:9" x14ac:dyDescent="0.15">
      <c r="A1685" s="6">
        <v>1684</v>
      </c>
      <c r="B1685" s="7" t="s">
        <v>8</v>
      </c>
      <c r="C1685" s="8">
        <v>1887</v>
      </c>
      <c r="D1685" s="9">
        <v>45425</v>
      </c>
      <c r="E1685" s="13" t="str">
        <f>+HYPERLINK("http://trademark.i-assist.jp/data/china/image_1887th/76972062.pdf","76972062")</f>
        <v>76972062</v>
      </c>
      <c r="F1685" s="7" t="s">
        <v>4588</v>
      </c>
      <c r="G1685" s="7" t="s">
        <v>4589</v>
      </c>
      <c r="H1685" s="7" t="s">
        <v>4590</v>
      </c>
      <c r="I1685" s="9">
        <v>45349</v>
      </c>
    </row>
    <row r="1686" spans="1:9" x14ac:dyDescent="0.15">
      <c r="A1686" s="6">
        <v>1685</v>
      </c>
      <c r="B1686" s="7" t="s">
        <v>8</v>
      </c>
      <c r="C1686" s="8">
        <v>1887</v>
      </c>
      <c r="D1686" s="9">
        <v>45425</v>
      </c>
      <c r="E1686" s="13" t="str">
        <f>+HYPERLINK("http://trademark.i-assist.jp/data/china/image_1887th/76972122.pdf","76972122")</f>
        <v>76972122</v>
      </c>
      <c r="F1686" s="7" t="s">
        <v>4591</v>
      </c>
      <c r="G1686" s="7" t="s">
        <v>4592</v>
      </c>
      <c r="H1686" s="7" t="s">
        <v>4593</v>
      </c>
      <c r="I1686" s="9">
        <v>45349</v>
      </c>
    </row>
    <row r="1687" spans="1:9" x14ac:dyDescent="0.15">
      <c r="A1687" s="6">
        <v>1686</v>
      </c>
      <c r="B1687" s="7" t="s">
        <v>8</v>
      </c>
      <c r="C1687" s="8">
        <v>1887</v>
      </c>
      <c r="D1687" s="9">
        <v>45425</v>
      </c>
      <c r="E1687" s="13" t="str">
        <f>+HYPERLINK("http://trademark.i-assist.jp/data/china/image_1887th/76972395.pdf","76972395")</f>
        <v>76972395</v>
      </c>
      <c r="F1687" s="7" t="s">
        <v>4594</v>
      </c>
      <c r="G1687" s="7" t="s">
        <v>4595</v>
      </c>
      <c r="H1687" s="7" t="s">
        <v>4596</v>
      </c>
      <c r="I1687" s="9">
        <v>45349</v>
      </c>
    </row>
    <row r="1688" spans="1:9" ht="27" x14ac:dyDescent="0.15">
      <c r="A1688" s="6">
        <v>1687</v>
      </c>
      <c r="B1688" s="7" t="s">
        <v>8</v>
      </c>
      <c r="C1688" s="8">
        <v>1887</v>
      </c>
      <c r="D1688" s="9">
        <v>45425</v>
      </c>
      <c r="E1688" s="13" t="str">
        <f>+HYPERLINK("http://trademark.i-assist.jp/data/china/image_1887th/76972524.pdf","76972524")</f>
        <v>76972524</v>
      </c>
      <c r="F1688" s="7" t="s">
        <v>4597</v>
      </c>
      <c r="G1688" s="7" t="s">
        <v>4598</v>
      </c>
      <c r="H1688" s="7" t="s">
        <v>4599</v>
      </c>
      <c r="I1688" s="9">
        <v>45349</v>
      </c>
    </row>
    <row r="1689" spans="1:9" x14ac:dyDescent="0.15">
      <c r="A1689" s="6">
        <v>1688</v>
      </c>
      <c r="B1689" s="7" t="s">
        <v>8</v>
      </c>
      <c r="C1689" s="8">
        <v>1887</v>
      </c>
      <c r="D1689" s="9">
        <v>45425</v>
      </c>
      <c r="E1689" s="13" t="str">
        <f>+HYPERLINK("http://trademark.i-assist.jp/data/china/image_1887th/76972573.pdf","76972573")</f>
        <v>76972573</v>
      </c>
      <c r="F1689" s="7" t="s">
        <v>4600</v>
      </c>
      <c r="G1689" s="7" t="s">
        <v>1781</v>
      </c>
      <c r="H1689" s="7" t="s">
        <v>4601</v>
      </c>
      <c r="I1689" s="9">
        <v>45349</v>
      </c>
    </row>
    <row r="1690" spans="1:9" x14ac:dyDescent="0.15">
      <c r="A1690" s="6">
        <v>1689</v>
      </c>
      <c r="B1690" s="7" t="s">
        <v>8</v>
      </c>
      <c r="C1690" s="8">
        <v>1887</v>
      </c>
      <c r="D1690" s="9">
        <v>45425</v>
      </c>
      <c r="E1690" s="13" t="str">
        <f>+HYPERLINK("http://trademark.i-assist.jp/data/china/image_1887th/76973016.pdf","76973016")</f>
        <v>76973016</v>
      </c>
      <c r="F1690" s="7" t="s">
        <v>4602</v>
      </c>
      <c r="G1690" s="7" t="s">
        <v>4603</v>
      </c>
      <c r="H1690" s="7" t="s">
        <v>4604</v>
      </c>
      <c r="I1690" s="9">
        <v>45349</v>
      </c>
    </row>
    <row r="1691" spans="1:9" x14ac:dyDescent="0.15">
      <c r="A1691" s="6">
        <v>1690</v>
      </c>
      <c r="B1691" s="7" t="s">
        <v>8</v>
      </c>
      <c r="C1691" s="8">
        <v>1887</v>
      </c>
      <c r="D1691" s="9">
        <v>45425</v>
      </c>
      <c r="E1691" s="13" t="str">
        <f>+HYPERLINK("http://trademark.i-assist.jp/data/china/image_1887th/76973295.pdf","76973295")</f>
        <v>76973295</v>
      </c>
      <c r="F1691" s="7" t="s">
        <v>4605</v>
      </c>
      <c r="G1691" s="7" t="s">
        <v>4606</v>
      </c>
      <c r="H1691" s="7" t="s">
        <v>4607</v>
      </c>
      <c r="I1691" s="9">
        <v>45349</v>
      </c>
    </row>
    <row r="1692" spans="1:9" x14ac:dyDescent="0.15">
      <c r="A1692" s="6">
        <v>1691</v>
      </c>
      <c r="B1692" s="7" t="s">
        <v>8</v>
      </c>
      <c r="C1692" s="8">
        <v>1887</v>
      </c>
      <c r="D1692" s="9">
        <v>45425</v>
      </c>
      <c r="E1692" s="13" t="str">
        <f>+HYPERLINK("http://trademark.i-assist.jp/data/china/image_1887th/76973399.pdf","76973399")</f>
        <v>76973399</v>
      </c>
      <c r="F1692" s="7" t="s">
        <v>4608</v>
      </c>
      <c r="G1692" s="7" t="s">
        <v>4609</v>
      </c>
      <c r="H1692" s="7" t="s">
        <v>4610</v>
      </c>
      <c r="I1692" s="9">
        <v>45349</v>
      </c>
    </row>
    <row r="1693" spans="1:9" x14ac:dyDescent="0.15">
      <c r="A1693" s="6">
        <v>1692</v>
      </c>
      <c r="B1693" s="7" t="s">
        <v>8</v>
      </c>
      <c r="C1693" s="8">
        <v>1887</v>
      </c>
      <c r="D1693" s="9">
        <v>45425</v>
      </c>
      <c r="E1693" s="13" t="str">
        <f>+HYPERLINK("http://trademark.i-assist.jp/data/china/image_1887th/76973691.pdf","76973691")</f>
        <v>76973691</v>
      </c>
      <c r="F1693" s="7" t="s">
        <v>4611</v>
      </c>
      <c r="G1693" s="7" t="s">
        <v>4612</v>
      </c>
      <c r="H1693" s="7" t="s">
        <v>4613</v>
      </c>
      <c r="I1693" s="9">
        <v>45349</v>
      </c>
    </row>
    <row r="1694" spans="1:9" ht="27" x14ac:dyDescent="0.15">
      <c r="A1694" s="6">
        <v>1693</v>
      </c>
      <c r="B1694" s="7" t="s">
        <v>8</v>
      </c>
      <c r="C1694" s="8">
        <v>1887</v>
      </c>
      <c r="D1694" s="9">
        <v>45425</v>
      </c>
      <c r="E1694" s="13" t="str">
        <f>+HYPERLINK("http://trademark.i-assist.jp/data/china/image_1887th/76974134.pdf","76974134")</f>
        <v>76974134</v>
      </c>
      <c r="F1694" s="7" t="s">
        <v>4614</v>
      </c>
      <c r="G1694" s="7" t="s">
        <v>4563</v>
      </c>
      <c r="H1694" s="7" t="s">
        <v>4615</v>
      </c>
      <c r="I1694" s="9">
        <v>45349</v>
      </c>
    </row>
    <row r="1695" spans="1:9" x14ac:dyDescent="0.15">
      <c r="A1695" s="6">
        <v>1694</v>
      </c>
      <c r="B1695" s="7" t="s">
        <v>8</v>
      </c>
      <c r="C1695" s="8">
        <v>1887</v>
      </c>
      <c r="D1695" s="9">
        <v>45425</v>
      </c>
      <c r="E1695" s="13" t="str">
        <f>+HYPERLINK("http://trademark.i-assist.jp/data/china/image_1887th/76974649.pdf","76974649")</f>
        <v>76974649</v>
      </c>
      <c r="F1695" s="7" t="s">
        <v>4616</v>
      </c>
      <c r="G1695" s="7" t="s">
        <v>4617</v>
      </c>
      <c r="H1695" s="7" t="s">
        <v>4618</v>
      </c>
      <c r="I1695" s="9">
        <v>45349</v>
      </c>
    </row>
    <row r="1696" spans="1:9" ht="27" x14ac:dyDescent="0.15">
      <c r="A1696" s="6">
        <v>1695</v>
      </c>
      <c r="B1696" s="7" t="s">
        <v>8</v>
      </c>
      <c r="C1696" s="8">
        <v>1887</v>
      </c>
      <c r="D1696" s="9">
        <v>45425</v>
      </c>
      <c r="E1696" s="13" t="str">
        <f>+HYPERLINK("http://trademark.i-assist.jp/data/china/image_1887th/76974954.pdf","76974954")</f>
        <v>76974954</v>
      </c>
      <c r="F1696" s="7" t="s">
        <v>4619</v>
      </c>
      <c r="G1696" s="7" t="s">
        <v>4620</v>
      </c>
      <c r="H1696" s="7" t="s">
        <v>4621</v>
      </c>
      <c r="I1696" s="9">
        <v>45349</v>
      </c>
    </row>
    <row r="1697" spans="1:9" ht="27" x14ac:dyDescent="0.15">
      <c r="A1697" s="6">
        <v>1696</v>
      </c>
      <c r="B1697" s="7" t="s">
        <v>8</v>
      </c>
      <c r="C1697" s="8">
        <v>1887</v>
      </c>
      <c r="D1697" s="9">
        <v>45425</v>
      </c>
      <c r="E1697" s="13" t="str">
        <f>+HYPERLINK("http://trademark.i-assist.jp/data/china/image_1887th/76974958.pdf","76974958")</f>
        <v>76974958</v>
      </c>
      <c r="F1697" s="7" t="s">
        <v>4622</v>
      </c>
      <c r="G1697" s="7" t="s">
        <v>967</v>
      </c>
      <c r="H1697" s="7" t="s">
        <v>4623</v>
      </c>
      <c r="I1697" s="9">
        <v>45349</v>
      </c>
    </row>
    <row r="1698" spans="1:9" x14ac:dyDescent="0.15">
      <c r="A1698" s="6">
        <v>1697</v>
      </c>
      <c r="B1698" s="7" t="s">
        <v>8</v>
      </c>
      <c r="C1698" s="8">
        <v>1887</v>
      </c>
      <c r="D1698" s="9">
        <v>45425</v>
      </c>
      <c r="E1698" s="13" t="str">
        <f>+HYPERLINK("http://trademark.i-assist.jp/data/china/image_1887th/76975028.pdf","76975028")</f>
        <v>76975028</v>
      </c>
      <c r="F1698" s="7" t="s">
        <v>4624</v>
      </c>
      <c r="G1698" s="7" t="s">
        <v>4625</v>
      </c>
      <c r="H1698" s="7" t="s">
        <v>4626</v>
      </c>
      <c r="I1698" s="9">
        <v>45349</v>
      </c>
    </row>
    <row r="1699" spans="1:9" x14ac:dyDescent="0.15">
      <c r="A1699" s="6">
        <v>1698</v>
      </c>
      <c r="B1699" s="7" t="s">
        <v>8</v>
      </c>
      <c r="C1699" s="8">
        <v>1887</v>
      </c>
      <c r="D1699" s="9">
        <v>45425</v>
      </c>
      <c r="E1699" s="13" t="str">
        <f>+HYPERLINK("http://trademark.i-assist.jp/data/china/image_1887th/76975330.pdf","76975330")</f>
        <v>76975330</v>
      </c>
      <c r="F1699" s="7" t="s">
        <v>4532</v>
      </c>
      <c r="G1699" s="7" t="s">
        <v>4533</v>
      </c>
      <c r="H1699" s="7" t="s">
        <v>4627</v>
      </c>
      <c r="I1699" s="9">
        <v>45349</v>
      </c>
    </row>
    <row r="1700" spans="1:9" x14ac:dyDescent="0.15">
      <c r="A1700" s="6">
        <v>1699</v>
      </c>
      <c r="B1700" s="7" t="s">
        <v>8</v>
      </c>
      <c r="C1700" s="8">
        <v>1887</v>
      </c>
      <c r="D1700" s="9">
        <v>45425</v>
      </c>
      <c r="E1700" s="13" t="str">
        <f>+HYPERLINK("http://trademark.i-assist.jp/data/china/image_1887th/76975349.pdf","76975349")</f>
        <v>76975349</v>
      </c>
      <c r="F1700" s="7" t="s">
        <v>4628</v>
      </c>
      <c r="G1700" s="7" t="s">
        <v>4533</v>
      </c>
      <c r="H1700" s="7" t="s">
        <v>4629</v>
      </c>
      <c r="I1700" s="9">
        <v>45349</v>
      </c>
    </row>
    <row r="1701" spans="1:9" ht="27" x14ac:dyDescent="0.15">
      <c r="A1701" s="6">
        <v>1700</v>
      </c>
      <c r="B1701" s="7" t="s">
        <v>8</v>
      </c>
      <c r="C1701" s="8">
        <v>1887</v>
      </c>
      <c r="D1701" s="9">
        <v>45425</v>
      </c>
      <c r="E1701" s="13" t="str">
        <f>+HYPERLINK("http://trademark.i-assist.jp/data/china/image_1887th/76975476.pdf","76975476")</f>
        <v>76975476</v>
      </c>
      <c r="F1701" s="7" t="s">
        <v>4630</v>
      </c>
      <c r="G1701" s="7" t="s">
        <v>4631</v>
      </c>
      <c r="H1701" s="7" t="s">
        <v>4632</v>
      </c>
      <c r="I1701" s="9">
        <v>45349</v>
      </c>
    </row>
    <row r="1702" spans="1:9" x14ac:dyDescent="0.15">
      <c r="A1702" s="6">
        <v>1701</v>
      </c>
      <c r="B1702" s="7" t="s">
        <v>8</v>
      </c>
      <c r="C1702" s="8">
        <v>1887</v>
      </c>
      <c r="D1702" s="9">
        <v>45425</v>
      </c>
      <c r="E1702" s="13" t="str">
        <f>+HYPERLINK("http://trademark.i-assist.jp/data/china/image_1887th/76975479.pdf","76975479")</f>
        <v>76975479</v>
      </c>
      <c r="F1702" s="7" t="s">
        <v>4633</v>
      </c>
      <c r="G1702" s="7" t="s">
        <v>4634</v>
      </c>
      <c r="H1702" s="7" t="s">
        <v>4635</v>
      </c>
      <c r="I1702" s="9">
        <v>45349</v>
      </c>
    </row>
    <row r="1703" spans="1:9" ht="27" x14ac:dyDescent="0.15">
      <c r="A1703" s="6">
        <v>1702</v>
      </c>
      <c r="B1703" s="7" t="s">
        <v>8</v>
      </c>
      <c r="C1703" s="8">
        <v>1887</v>
      </c>
      <c r="D1703" s="9">
        <v>45425</v>
      </c>
      <c r="E1703" s="13" t="str">
        <f>+HYPERLINK("http://trademark.i-assist.jp/data/china/image_1887th/76976031.pdf","76976031")</f>
        <v>76976031</v>
      </c>
      <c r="F1703" s="7" t="s">
        <v>4636</v>
      </c>
      <c r="G1703" s="7" t="s">
        <v>4637</v>
      </c>
      <c r="H1703" s="7" t="s">
        <v>4638</v>
      </c>
      <c r="I1703" s="9">
        <v>45349</v>
      </c>
    </row>
    <row r="1704" spans="1:9" ht="27" x14ac:dyDescent="0.15">
      <c r="A1704" s="6">
        <v>1703</v>
      </c>
      <c r="B1704" s="7" t="s">
        <v>8</v>
      </c>
      <c r="C1704" s="8">
        <v>1887</v>
      </c>
      <c r="D1704" s="9">
        <v>45425</v>
      </c>
      <c r="E1704" s="13" t="str">
        <f>+HYPERLINK("http://trademark.i-assist.jp/data/china/image_1887th/76976036.pdf","76976036")</f>
        <v>76976036</v>
      </c>
      <c r="F1704" s="7" t="s">
        <v>4639</v>
      </c>
      <c r="G1704" s="7" t="s">
        <v>4598</v>
      </c>
      <c r="H1704" s="7" t="s">
        <v>4640</v>
      </c>
      <c r="I1704" s="9">
        <v>45349</v>
      </c>
    </row>
    <row r="1705" spans="1:9" x14ac:dyDescent="0.15">
      <c r="A1705" s="6">
        <v>1704</v>
      </c>
      <c r="B1705" s="7" t="s">
        <v>8</v>
      </c>
      <c r="C1705" s="8">
        <v>1887</v>
      </c>
      <c r="D1705" s="9">
        <v>45425</v>
      </c>
      <c r="E1705" s="13" t="str">
        <f>+HYPERLINK("http://trademark.i-assist.jp/data/china/image_1887th/76976105.pdf","76976105")</f>
        <v>76976105</v>
      </c>
      <c r="F1705" s="7" t="s">
        <v>4641</v>
      </c>
      <c r="G1705" s="7" t="s">
        <v>4642</v>
      </c>
      <c r="H1705" s="7" t="s">
        <v>4643</v>
      </c>
      <c r="I1705" s="9">
        <v>45349</v>
      </c>
    </row>
    <row r="1706" spans="1:9" x14ac:dyDescent="0.15">
      <c r="A1706" s="6">
        <v>1705</v>
      </c>
      <c r="B1706" s="7" t="s">
        <v>8</v>
      </c>
      <c r="C1706" s="8">
        <v>1887</v>
      </c>
      <c r="D1706" s="9">
        <v>45425</v>
      </c>
      <c r="E1706" s="13" t="str">
        <f>+HYPERLINK("http://trademark.i-assist.jp/data/china/image_1887th/76976202.pdf","76976202")</f>
        <v>76976202</v>
      </c>
      <c r="F1706" s="7" t="s">
        <v>4644</v>
      </c>
      <c r="G1706" s="7" t="s">
        <v>4645</v>
      </c>
      <c r="H1706" s="7" t="s">
        <v>4646</v>
      </c>
      <c r="I1706" s="9">
        <v>45349</v>
      </c>
    </row>
    <row r="1707" spans="1:9" x14ac:dyDescent="0.15">
      <c r="A1707" s="6">
        <v>1706</v>
      </c>
      <c r="B1707" s="7" t="s">
        <v>8</v>
      </c>
      <c r="C1707" s="8">
        <v>1887</v>
      </c>
      <c r="D1707" s="9">
        <v>45425</v>
      </c>
      <c r="E1707" s="13" t="str">
        <f>+HYPERLINK("http://trademark.i-assist.jp/data/china/image_1887th/76976693.pdf","76976693")</f>
        <v>76976693</v>
      </c>
      <c r="F1707" s="7" t="s">
        <v>4647</v>
      </c>
      <c r="G1707" s="7" t="s">
        <v>4648</v>
      </c>
      <c r="H1707" s="7" t="s">
        <v>4649</v>
      </c>
      <c r="I1707" s="9">
        <v>45349</v>
      </c>
    </row>
    <row r="1708" spans="1:9" x14ac:dyDescent="0.15">
      <c r="A1708" s="6">
        <v>1707</v>
      </c>
      <c r="B1708" s="7" t="s">
        <v>8</v>
      </c>
      <c r="C1708" s="8">
        <v>1887</v>
      </c>
      <c r="D1708" s="9">
        <v>45425</v>
      </c>
      <c r="E1708" s="13" t="str">
        <f>+HYPERLINK("http://trademark.i-assist.jp/data/china/image_1887th/76976709.pdf","76976709")</f>
        <v>76976709</v>
      </c>
      <c r="F1708" s="7" t="s">
        <v>4650</v>
      </c>
      <c r="G1708" s="7" t="s">
        <v>4648</v>
      </c>
      <c r="H1708" s="7" t="s">
        <v>4651</v>
      </c>
      <c r="I1708" s="9">
        <v>45349</v>
      </c>
    </row>
    <row r="1709" spans="1:9" x14ac:dyDescent="0.15">
      <c r="A1709" s="6">
        <v>1708</v>
      </c>
      <c r="B1709" s="7" t="s">
        <v>8</v>
      </c>
      <c r="C1709" s="8">
        <v>1887</v>
      </c>
      <c r="D1709" s="9">
        <v>45425</v>
      </c>
      <c r="E1709" s="13" t="str">
        <f>+HYPERLINK("http://trademark.i-assist.jp/data/china/image_1887th/76976757.pdf","76976757")</f>
        <v>76976757</v>
      </c>
      <c r="F1709" s="7" t="s">
        <v>4652</v>
      </c>
      <c r="G1709" s="7" t="s">
        <v>4653</v>
      </c>
      <c r="H1709" s="7" t="s">
        <v>4654</v>
      </c>
      <c r="I1709" s="9">
        <v>45349</v>
      </c>
    </row>
    <row r="1710" spans="1:9" x14ac:dyDescent="0.15">
      <c r="A1710" s="6">
        <v>1709</v>
      </c>
      <c r="B1710" s="7" t="s">
        <v>8</v>
      </c>
      <c r="C1710" s="8">
        <v>1887</v>
      </c>
      <c r="D1710" s="9">
        <v>45425</v>
      </c>
      <c r="E1710" s="13" t="str">
        <f>+HYPERLINK("http://trademark.i-assist.jp/data/china/image_1887th/76976918.pdf","76976918")</f>
        <v>76976918</v>
      </c>
      <c r="F1710" s="7" t="s">
        <v>4655</v>
      </c>
      <c r="G1710" s="7" t="s">
        <v>4656</v>
      </c>
      <c r="H1710" s="7" t="s">
        <v>4657</v>
      </c>
      <c r="I1710" s="9">
        <v>45349</v>
      </c>
    </row>
    <row r="1711" spans="1:9" x14ac:dyDescent="0.15">
      <c r="A1711" s="6">
        <v>1710</v>
      </c>
      <c r="B1711" s="7" t="s">
        <v>8</v>
      </c>
      <c r="C1711" s="8">
        <v>1887</v>
      </c>
      <c r="D1711" s="9">
        <v>45425</v>
      </c>
      <c r="E1711" s="13" t="str">
        <f>+HYPERLINK("http://trademark.i-assist.jp/data/china/image_1887th/76976987.pdf","76976987")</f>
        <v>76976987</v>
      </c>
      <c r="F1711" s="7" t="s">
        <v>4658</v>
      </c>
      <c r="G1711" s="7" t="s">
        <v>4659</v>
      </c>
      <c r="H1711" s="7" t="s">
        <v>4660</v>
      </c>
      <c r="I1711" s="9">
        <v>45349</v>
      </c>
    </row>
    <row r="1712" spans="1:9" x14ac:dyDescent="0.15">
      <c r="A1712" s="6">
        <v>1711</v>
      </c>
      <c r="B1712" s="7" t="s">
        <v>8</v>
      </c>
      <c r="C1712" s="8">
        <v>1887</v>
      </c>
      <c r="D1712" s="9">
        <v>45425</v>
      </c>
      <c r="E1712" s="13" t="str">
        <f>+HYPERLINK("http://trademark.i-assist.jp/data/china/image_1887th/76977110.pdf","76977110")</f>
        <v>76977110</v>
      </c>
      <c r="F1712" s="7" t="s">
        <v>4661</v>
      </c>
      <c r="G1712" s="7" t="s">
        <v>4656</v>
      </c>
      <c r="H1712" s="7" t="s">
        <v>4662</v>
      </c>
      <c r="I1712" s="9">
        <v>45349</v>
      </c>
    </row>
    <row r="1713" spans="1:9" x14ac:dyDescent="0.15">
      <c r="A1713" s="6">
        <v>1712</v>
      </c>
      <c r="B1713" s="7" t="s">
        <v>8</v>
      </c>
      <c r="C1713" s="8">
        <v>1887</v>
      </c>
      <c r="D1713" s="9">
        <v>45425</v>
      </c>
      <c r="E1713" s="13" t="str">
        <f>+HYPERLINK("http://trademark.i-assist.jp/data/china/image_1887th/76977185.pdf","76977185")</f>
        <v>76977185</v>
      </c>
      <c r="F1713" s="7" t="s">
        <v>4663</v>
      </c>
      <c r="G1713" s="7" t="s">
        <v>4664</v>
      </c>
      <c r="H1713" s="7" t="s">
        <v>4665</v>
      </c>
      <c r="I1713" s="9">
        <v>45349</v>
      </c>
    </row>
    <row r="1714" spans="1:9" x14ac:dyDescent="0.15">
      <c r="A1714" s="6">
        <v>1713</v>
      </c>
      <c r="B1714" s="7" t="s">
        <v>8</v>
      </c>
      <c r="C1714" s="8">
        <v>1887</v>
      </c>
      <c r="D1714" s="9">
        <v>45425</v>
      </c>
      <c r="E1714" s="13" t="str">
        <f>+HYPERLINK("http://trademark.i-assist.jp/data/china/image_1887th/76977390.pdf","76977390")</f>
        <v>76977390</v>
      </c>
      <c r="F1714" s="7" t="s">
        <v>4532</v>
      </c>
      <c r="G1714" s="7" t="s">
        <v>4533</v>
      </c>
      <c r="H1714" s="7" t="s">
        <v>4666</v>
      </c>
      <c r="I1714" s="9">
        <v>45349</v>
      </c>
    </row>
    <row r="1715" spans="1:9" ht="27" x14ac:dyDescent="0.15">
      <c r="A1715" s="6">
        <v>1714</v>
      </c>
      <c r="B1715" s="7" t="s">
        <v>8</v>
      </c>
      <c r="C1715" s="8">
        <v>1887</v>
      </c>
      <c r="D1715" s="9">
        <v>45425</v>
      </c>
      <c r="E1715" s="13" t="str">
        <f>+HYPERLINK("http://trademark.i-assist.jp/data/china/image_1887th/76977638.pdf","76977638")</f>
        <v>76977638</v>
      </c>
      <c r="F1715" s="7" t="s">
        <v>4667</v>
      </c>
      <c r="G1715" s="7" t="s">
        <v>4668</v>
      </c>
      <c r="H1715" s="7" t="s">
        <v>4669</v>
      </c>
      <c r="I1715" s="9">
        <v>45349</v>
      </c>
    </row>
    <row r="1716" spans="1:9" ht="27" x14ac:dyDescent="0.15">
      <c r="A1716" s="6">
        <v>1715</v>
      </c>
      <c r="B1716" s="7" t="s">
        <v>8</v>
      </c>
      <c r="C1716" s="8">
        <v>1887</v>
      </c>
      <c r="D1716" s="9">
        <v>45425</v>
      </c>
      <c r="E1716" s="13" t="str">
        <f>+HYPERLINK("http://trademark.i-assist.jp/data/china/image_1887th/76977650.pdf","76977650")</f>
        <v>76977650</v>
      </c>
      <c r="F1716" s="7" t="s">
        <v>4670</v>
      </c>
      <c r="G1716" s="7" t="s">
        <v>967</v>
      </c>
      <c r="H1716" s="7" t="s">
        <v>4671</v>
      </c>
      <c r="I1716" s="9">
        <v>45349</v>
      </c>
    </row>
    <row r="1717" spans="1:9" x14ac:dyDescent="0.15">
      <c r="A1717" s="6">
        <v>1716</v>
      </c>
      <c r="B1717" s="7" t="s">
        <v>8</v>
      </c>
      <c r="C1717" s="8">
        <v>1887</v>
      </c>
      <c r="D1717" s="9">
        <v>45425</v>
      </c>
      <c r="E1717" s="13" t="str">
        <f>+HYPERLINK("http://trademark.i-assist.jp/data/china/image_1887th/76977772.pdf","76977772")</f>
        <v>76977772</v>
      </c>
      <c r="F1717" s="7" t="s">
        <v>4672</v>
      </c>
      <c r="G1717" s="7" t="s">
        <v>4673</v>
      </c>
      <c r="H1717" s="7" t="s">
        <v>4674</v>
      </c>
      <c r="I1717" s="9">
        <v>45349</v>
      </c>
    </row>
    <row r="1718" spans="1:9" x14ac:dyDescent="0.15">
      <c r="A1718" s="6">
        <v>1717</v>
      </c>
      <c r="B1718" s="7" t="s">
        <v>8</v>
      </c>
      <c r="C1718" s="8">
        <v>1887</v>
      </c>
      <c r="D1718" s="9">
        <v>45425</v>
      </c>
      <c r="E1718" s="13" t="str">
        <f>+HYPERLINK("http://trademark.i-assist.jp/data/china/image_1887th/76977835.pdf","76977835")</f>
        <v>76977835</v>
      </c>
      <c r="F1718" s="7" t="s">
        <v>4675</v>
      </c>
      <c r="G1718" s="7" t="s">
        <v>4676</v>
      </c>
      <c r="H1718" s="7" t="s">
        <v>4677</v>
      </c>
      <c r="I1718" s="9">
        <v>45349</v>
      </c>
    </row>
    <row r="1719" spans="1:9" x14ac:dyDescent="0.15">
      <c r="A1719" s="6">
        <v>1718</v>
      </c>
      <c r="B1719" s="7" t="s">
        <v>8</v>
      </c>
      <c r="C1719" s="8">
        <v>1887</v>
      </c>
      <c r="D1719" s="9">
        <v>45425</v>
      </c>
      <c r="E1719" s="13" t="str">
        <f>+HYPERLINK("http://trademark.i-assist.jp/data/china/image_1887th/76977936.pdf","76977936")</f>
        <v>76977936</v>
      </c>
      <c r="F1719" s="7" t="s">
        <v>4678</v>
      </c>
      <c r="G1719" s="7" t="s">
        <v>4679</v>
      </c>
      <c r="H1719" s="7" t="s">
        <v>4680</v>
      </c>
      <c r="I1719" s="9">
        <v>45349</v>
      </c>
    </row>
    <row r="1720" spans="1:9" x14ac:dyDescent="0.15">
      <c r="A1720" s="6">
        <v>1719</v>
      </c>
      <c r="B1720" s="7" t="s">
        <v>8</v>
      </c>
      <c r="C1720" s="8">
        <v>1887</v>
      </c>
      <c r="D1720" s="9">
        <v>45425</v>
      </c>
      <c r="E1720" s="13" t="str">
        <f>+HYPERLINK("http://trademark.i-assist.jp/data/china/image_1887th/76978086.pdf","76978086")</f>
        <v>76978086</v>
      </c>
      <c r="F1720" s="7" t="s">
        <v>4681</v>
      </c>
      <c r="G1720" s="7" t="s">
        <v>4682</v>
      </c>
      <c r="H1720" s="7" t="s">
        <v>4683</v>
      </c>
      <c r="I1720" s="9">
        <v>45349</v>
      </c>
    </row>
    <row r="1721" spans="1:9" x14ac:dyDescent="0.15">
      <c r="A1721" s="6">
        <v>1720</v>
      </c>
      <c r="B1721" s="7" t="s">
        <v>8</v>
      </c>
      <c r="C1721" s="8">
        <v>1887</v>
      </c>
      <c r="D1721" s="9">
        <v>45425</v>
      </c>
      <c r="E1721" s="13" t="str">
        <f>+HYPERLINK("http://trademark.i-assist.jp/data/china/image_1887th/76978099.pdf","76978099")</f>
        <v>76978099</v>
      </c>
      <c r="F1721" s="7" t="s">
        <v>4684</v>
      </c>
      <c r="G1721" s="7" t="s">
        <v>4583</v>
      </c>
      <c r="H1721" s="7" t="s">
        <v>4685</v>
      </c>
      <c r="I1721" s="9">
        <v>45349</v>
      </c>
    </row>
    <row r="1722" spans="1:9" x14ac:dyDescent="0.15">
      <c r="A1722" s="6">
        <v>1721</v>
      </c>
      <c r="B1722" s="7" t="s">
        <v>8</v>
      </c>
      <c r="C1722" s="8">
        <v>1887</v>
      </c>
      <c r="D1722" s="9">
        <v>45425</v>
      </c>
      <c r="E1722" s="13" t="str">
        <f>+HYPERLINK("http://trademark.i-assist.jp/data/china/image_1887th/76978121.pdf","76978121")</f>
        <v>76978121</v>
      </c>
      <c r="F1722" s="7" t="s">
        <v>4686</v>
      </c>
      <c r="G1722" s="7" t="s">
        <v>4687</v>
      </c>
      <c r="H1722" s="7" t="s">
        <v>4688</v>
      </c>
      <c r="I1722" s="9">
        <v>45349</v>
      </c>
    </row>
    <row r="1723" spans="1:9" x14ac:dyDescent="0.15">
      <c r="A1723" s="6">
        <v>1722</v>
      </c>
      <c r="B1723" s="7" t="s">
        <v>8</v>
      </c>
      <c r="C1723" s="8">
        <v>1887</v>
      </c>
      <c r="D1723" s="9">
        <v>45425</v>
      </c>
      <c r="E1723" s="13" t="str">
        <f>+HYPERLINK("http://trademark.i-assist.jp/data/china/image_1887th/76978163.pdf","76978163")</f>
        <v>76978163</v>
      </c>
      <c r="F1723" s="7" t="s">
        <v>4689</v>
      </c>
      <c r="G1723" s="7" t="s">
        <v>2729</v>
      </c>
      <c r="H1723" s="7" t="s">
        <v>4690</v>
      </c>
      <c r="I1723" s="9">
        <v>45349</v>
      </c>
    </row>
    <row r="1724" spans="1:9" x14ac:dyDescent="0.15">
      <c r="A1724" s="6">
        <v>1723</v>
      </c>
      <c r="B1724" s="7" t="s">
        <v>8</v>
      </c>
      <c r="C1724" s="8">
        <v>1887</v>
      </c>
      <c r="D1724" s="9">
        <v>45425</v>
      </c>
      <c r="E1724" s="13" t="str">
        <f>+HYPERLINK("http://trademark.i-assist.jp/data/china/image_1887th/76978270.pdf","76978270")</f>
        <v>76978270</v>
      </c>
      <c r="F1724" s="7" t="s">
        <v>4691</v>
      </c>
      <c r="G1724" s="7" t="s">
        <v>4692</v>
      </c>
      <c r="H1724" s="7" t="s">
        <v>4693</v>
      </c>
      <c r="I1724" s="9">
        <v>45349</v>
      </c>
    </row>
    <row r="1725" spans="1:9" x14ac:dyDescent="0.15">
      <c r="A1725" s="6">
        <v>1724</v>
      </c>
      <c r="B1725" s="7" t="s">
        <v>8</v>
      </c>
      <c r="C1725" s="8">
        <v>1887</v>
      </c>
      <c r="D1725" s="9">
        <v>45425</v>
      </c>
      <c r="E1725" s="13" t="str">
        <f>+HYPERLINK("http://trademark.i-assist.jp/data/china/image_1887th/76978287.pdf","76978287")</f>
        <v>76978287</v>
      </c>
      <c r="F1725" s="7" t="s">
        <v>4694</v>
      </c>
      <c r="G1725" s="7" t="s">
        <v>4695</v>
      </c>
      <c r="H1725" s="7" t="s">
        <v>4696</v>
      </c>
      <c r="I1725" s="9">
        <v>45349</v>
      </c>
    </row>
    <row r="1726" spans="1:9" x14ac:dyDescent="0.15">
      <c r="A1726" s="6">
        <v>1725</v>
      </c>
      <c r="B1726" s="7" t="s">
        <v>8</v>
      </c>
      <c r="C1726" s="8">
        <v>1887</v>
      </c>
      <c r="D1726" s="9">
        <v>45425</v>
      </c>
      <c r="E1726" s="13" t="str">
        <f>+HYPERLINK("http://trademark.i-assist.jp/data/china/image_1887th/76978344.pdf","76978344")</f>
        <v>76978344</v>
      </c>
      <c r="F1726" s="7" t="s">
        <v>4697</v>
      </c>
      <c r="G1726" s="7" t="s">
        <v>4698</v>
      </c>
      <c r="H1726" s="7" t="s">
        <v>4699</v>
      </c>
      <c r="I1726" s="9">
        <v>45349</v>
      </c>
    </row>
    <row r="1727" spans="1:9" x14ac:dyDescent="0.15">
      <c r="A1727" s="6">
        <v>1726</v>
      </c>
      <c r="B1727" s="7" t="s">
        <v>8</v>
      </c>
      <c r="C1727" s="8">
        <v>1887</v>
      </c>
      <c r="D1727" s="9">
        <v>45425</v>
      </c>
      <c r="E1727" s="13" t="str">
        <f>+HYPERLINK("http://trademark.i-assist.jp/data/china/image_1887th/76978442.pdf","76978442")</f>
        <v>76978442</v>
      </c>
      <c r="F1727" s="7" t="s">
        <v>54</v>
      </c>
      <c r="G1727" s="7" t="s">
        <v>4700</v>
      </c>
      <c r="H1727" s="7" t="s">
        <v>4701</v>
      </c>
      <c r="I1727" s="9">
        <v>45349</v>
      </c>
    </row>
    <row r="1728" spans="1:9" x14ac:dyDescent="0.15">
      <c r="A1728" s="6">
        <v>1727</v>
      </c>
      <c r="B1728" s="7" t="s">
        <v>8</v>
      </c>
      <c r="C1728" s="8">
        <v>1887</v>
      </c>
      <c r="D1728" s="9">
        <v>45425</v>
      </c>
      <c r="E1728" s="13" t="str">
        <f>+HYPERLINK("http://trademark.i-assist.jp/data/china/image_1887th/76978638.pdf","76978638")</f>
        <v>76978638</v>
      </c>
      <c r="F1728" s="7" t="s">
        <v>4702</v>
      </c>
      <c r="G1728" s="7" t="s">
        <v>4703</v>
      </c>
      <c r="H1728" s="7" t="s">
        <v>4704</v>
      </c>
      <c r="I1728" s="9">
        <v>45349</v>
      </c>
    </row>
    <row r="1729" spans="1:9" ht="27" x14ac:dyDescent="0.15">
      <c r="A1729" s="6">
        <v>1728</v>
      </c>
      <c r="B1729" s="7" t="s">
        <v>8</v>
      </c>
      <c r="C1729" s="8">
        <v>1887</v>
      </c>
      <c r="D1729" s="9">
        <v>45425</v>
      </c>
      <c r="E1729" s="13" t="str">
        <f>+HYPERLINK("http://trademark.i-assist.jp/data/china/image_1887th/76978756.pdf","76978756")</f>
        <v>76978756</v>
      </c>
      <c r="F1729" s="7" t="s">
        <v>4705</v>
      </c>
      <c r="G1729" s="7" t="s">
        <v>4706</v>
      </c>
      <c r="H1729" s="7" t="s">
        <v>4707</v>
      </c>
      <c r="I1729" s="9">
        <v>45349</v>
      </c>
    </row>
    <row r="1730" spans="1:9" ht="27" x14ac:dyDescent="0.15">
      <c r="A1730" s="6">
        <v>1729</v>
      </c>
      <c r="B1730" s="7" t="s">
        <v>8</v>
      </c>
      <c r="C1730" s="8">
        <v>1887</v>
      </c>
      <c r="D1730" s="9">
        <v>45425</v>
      </c>
      <c r="E1730" s="13" t="str">
        <f>+HYPERLINK("http://trademark.i-assist.jp/data/china/image_1887th/76979030.pdf","76979030")</f>
        <v>76979030</v>
      </c>
      <c r="F1730" s="7" t="s">
        <v>4708</v>
      </c>
      <c r="G1730" s="7" t="s">
        <v>4563</v>
      </c>
      <c r="H1730" s="7" t="s">
        <v>4709</v>
      </c>
      <c r="I1730" s="9">
        <v>45349</v>
      </c>
    </row>
    <row r="1731" spans="1:9" x14ac:dyDescent="0.15">
      <c r="A1731" s="6">
        <v>1730</v>
      </c>
      <c r="B1731" s="7" t="s">
        <v>8</v>
      </c>
      <c r="C1731" s="8">
        <v>1887</v>
      </c>
      <c r="D1731" s="9">
        <v>45425</v>
      </c>
      <c r="E1731" s="13" t="str">
        <f>+HYPERLINK("http://trademark.i-assist.jp/data/china/image_1887th/76979045.pdf","76979045")</f>
        <v>76979045</v>
      </c>
      <c r="F1731" s="7" t="s">
        <v>4710</v>
      </c>
      <c r="G1731" s="7" t="s">
        <v>4711</v>
      </c>
      <c r="H1731" s="7" t="s">
        <v>4712</v>
      </c>
      <c r="I1731" s="9">
        <v>45349</v>
      </c>
    </row>
    <row r="1732" spans="1:9" x14ac:dyDescent="0.15">
      <c r="A1732" s="6">
        <v>1731</v>
      </c>
      <c r="B1732" s="7" t="s">
        <v>8</v>
      </c>
      <c r="C1732" s="8">
        <v>1887</v>
      </c>
      <c r="D1732" s="9">
        <v>45425</v>
      </c>
      <c r="E1732" s="13" t="str">
        <f>+HYPERLINK("http://trademark.i-assist.jp/data/china/image_1887th/76979153.pdf","76979153")</f>
        <v>76979153</v>
      </c>
      <c r="F1732" s="7" t="s">
        <v>4713</v>
      </c>
      <c r="G1732" s="7" t="s">
        <v>4714</v>
      </c>
      <c r="H1732" s="7" t="s">
        <v>4715</v>
      </c>
      <c r="I1732" s="9">
        <v>45349</v>
      </c>
    </row>
    <row r="1733" spans="1:9" ht="27" x14ac:dyDescent="0.15">
      <c r="A1733" s="6">
        <v>1732</v>
      </c>
      <c r="B1733" s="7" t="s">
        <v>8</v>
      </c>
      <c r="C1733" s="8">
        <v>1887</v>
      </c>
      <c r="D1733" s="9">
        <v>45425</v>
      </c>
      <c r="E1733" s="13" t="str">
        <f>+HYPERLINK("http://trademark.i-assist.jp/data/china/image_1887th/76979230.pdf","76979230")</f>
        <v>76979230</v>
      </c>
      <c r="F1733" s="7" t="s">
        <v>4716</v>
      </c>
      <c r="G1733" s="7" t="s">
        <v>4717</v>
      </c>
      <c r="H1733" s="7" t="s">
        <v>4718</v>
      </c>
      <c r="I1733" s="9">
        <v>45349</v>
      </c>
    </row>
    <row r="1734" spans="1:9" ht="27" x14ac:dyDescent="0.15">
      <c r="A1734" s="6">
        <v>1733</v>
      </c>
      <c r="B1734" s="7" t="s">
        <v>8</v>
      </c>
      <c r="C1734" s="8">
        <v>1887</v>
      </c>
      <c r="D1734" s="9">
        <v>45425</v>
      </c>
      <c r="E1734" s="13" t="str">
        <f>+HYPERLINK("http://trademark.i-assist.jp/data/china/image_1887th/76979441.pdf","76979441")</f>
        <v>76979441</v>
      </c>
      <c r="F1734" s="7" t="s">
        <v>4719</v>
      </c>
      <c r="G1734" s="7" t="s">
        <v>4720</v>
      </c>
      <c r="H1734" s="7" t="s">
        <v>4721</v>
      </c>
      <c r="I1734" s="9">
        <v>45349</v>
      </c>
    </row>
    <row r="1735" spans="1:9" x14ac:dyDescent="0.15">
      <c r="A1735" s="6">
        <v>1734</v>
      </c>
      <c r="B1735" s="7" t="s">
        <v>8</v>
      </c>
      <c r="C1735" s="8">
        <v>1887</v>
      </c>
      <c r="D1735" s="9">
        <v>45425</v>
      </c>
      <c r="E1735" s="13" t="str">
        <f>+HYPERLINK("http://trademark.i-assist.jp/data/china/image_1887th/76979691.pdf","76979691")</f>
        <v>76979691</v>
      </c>
      <c r="F1735" s="7" t="s">
        <v>4722</v>
      </c>
      <c r="G1735" s="7" t="s">
        <v>4723</v>
      </c>
      <c r="H1735" s="7" t="s">
        <v>349</v>
      </c>
      <c r="I1735" s="9">
        <v>45349</v>
      </c>
    </row>
    <row r="1736" spans="1:9" ht="27" x14ac:dyDescent="0.15">
      <c r="A1736" s="6">
        <v>1735</v>
      </c>
      <c r="B1736" s="7" t="s">
        <v>8</v>
      </c>
      <c r="C1736" s="8">
        <v>1887</v>
      </c>
      <c r="D1736" s="9">
        <v>45425</v>
      </c>
      <c r="E1736" s="13" t="str">
        <f>+HYPERLINK("http://trademark.i-assist.jp/data/china/image_1887th/76979694.pdf","76979694")</f>
        <v>76979694</v>
      </c>
      <c r="F1736" s="7" t="s">
        <v>4724</v>
      </c>
      <c r="G1736" s="7" t="s">
        <v>4725</v>
      </c>
      <c r="H1736" s="7" t="s">
        <v>4726</v>
      </c>
      <c r="I1736" s="9">
        <v>45349</v>
      </c>
    </row>
    <row r="1737" spans="1:9" x14ac:dyDescent="0.15">
      <c r="A1737" s="6">
        <v>1736</v>
      </c>
      <c r="B1737" s="7" t="s">
        <v>8</v>
      </c>
      <c r="C1737" s="8">
        <v>1887</v>
      </c>
      <c r="D1737" s="9">
        <v>45425</v>
      </c>
      <c r="E1737" s="13" t="str">
        <f>+HYPERLINK("http://trademark.i-assist.jp/data/china/image_1887th/76979749.pdf","76979749")</f>
        <v>76979749</v>
      </c>
      <c r="F1737" s="7" t="s">
        <v>4727</v>
      </c>
      <c r="G1737" s="7" t="s">
        <v>4728</v>
      </c>
      <c r="H1737" s="7" t="s">
        <v>4729</v>
      </c>
      <c r="I1737" s="9">
        <v>45349</v>
      </c>
    </row>
    <row r="1738" spans="1:9" ht="27" x14ac:dyDescent="0.15">
      <c r="A1738" s="6">
        <v>1737</v>
      </c>
      <c r="B1738" s="7" t="s">
        <v>8</v>
      </c>
      <c r="C1738" s="8">
        <v>1887</v>
      </c>
      <c r="D1738" s="9">
        <v>45425</v>
      </c>
      <c r="E1738" s="13" t="str">
        <f>+HYPERLINK("http://trademark.i-assist.jp/data/china/image_1887th/76979768.pdf","76979768")</f>
        <v>76979768</v>
      </c>
      <c r="F1738" s="7" t="s">
        <v>4730</v>
      </c>
      <c r="G1738" s="7" t="s">
        <v>4563</v>
      </c>
      <c r="H1738" s="7" t="s">
        <v>4731</v>
      </c>
      <c r="I1738" s="9">
        <v>45349</v>
      </c>
    </row>
    <row r="1739" spans="1:9" ht="27" x14ac:dyDescent="0.15">
      <c r="A1739" s="6">
        <v>1738</v>
      </c>
      <c r="B1739" s="7" t="s">
        <v>8</v>
      </c>
      <c r="C1739" s="8">
        <v>1887</v>
      </c>
      <c r="D1739" s="9">
        <v>45425</v>
      </c>
      <c r="E1739" s="13" t="str">
        <f>+HYPERLINK("http://trademark.i-assist.jp/data/china/image_1887th/76979782.pdf","76979782")</f>
        <v>76979782</v>
      </c>
      <c r="F1739" s="7" t="s">
        <v>4732</v>
      </c>
      <c r="G1739" s="7" t="s">
        <v>4563</v>
      </c>
      <c r="H1739" s="7" t="s">
        <v>4733</v>
      </c>
      <c r="I1739" s="9">
        <v>45349</v>
      </c>
    </row>
    <row r="1740" spans="1:9" ht="27" x14ac:dyDescent="0.15">
      <c r="A1740" s="6">
        <v>1739</v>
      </c>
      <c r="B1740" s="7" t="s">
        <v>8</v>
      </c>
      <c r="C1740" s="8">
        <v>1887</v>
      </c>
      <c r="D1740" s="9">
        <v>45425</v>
      </c>
      <c r="E1740" s="13" t="str">
        <f>+HYPERLINK("http://trademark.i-assist.jp/data/china/image_1887th/76979787.pdf","76979787")</f>
        <v>76979787</v>
      </c>
      <c r="F1740" s="7" t="s">
        <v>4734</v>
      </c>
      <c r="G1740" s="7" t="s">
        <v>4563</v>
      </c>
      <c r="H1740" s="7" t="s">
        <v>4735</v>
      </c>
      <c r="I1740" s="9">
        <v>45349</v>
      </c>
    </row>
    <row r="1741" spans="1:9" ht="27" x14ac:dyDescent="0.15">
      <c r="A1741" s="6">
        <v>1740</v>
      </c>
      <c r="B1741" s="7" t="s">
        <v>8</v>
      </c>
      <c r="C1741" s="8">
        <v>1887</v>
      </c>
      <c r="D1741" s="9">
        <v>45425</v>
      </c>
      <c r="E1741" s="13" t="str">
        <f>+HYPERLINK("http://trademark.i-assist.jp/data/china/image_1887th/76979791.pdf","76979791")</f>
        <v>76979791</v>
      </c>
      <c r="F1741" s="7" t="s">
        <v>4736</v>
      </c>
      <c r="G1741" s="7" t="s">
        <v>4563</v>
      </c>
      <c r="H1741" s="7" t="s">
        <v>4737</v>
      </c>
      <c r="I1741" s="9">
        <v>45349</v>
      </c>
    </row>
    <row r="1742" spans="1:9" ht="27" x14ac:dyDescent="0.15">
      <c r="A1742" s="6">
        <v>1741</v>
      </c>
      <c r="B1742" s="7" t="s">
        <v>8</v>
      </c>
      <c r="C1742" s="8">
        <v>1887</v>
      </c>
      <c r="D1742" s="9">
        <v>45425</v>
      </c>
      <c r="E1742" s="13" t="str">
        <f>+HYPERLINK("http://trademark.i-assist.jp/data/china/image_1887th/76979812.pdf","76979812")</f>
        <v>76979812</v>
      </c>
      <c r="F1742" s="7" t="s">
        <v>4738</v>
      </c>
      <c r="G1742" s="7" t="s">
        <v>4563</v>
      </c>
      <c r="H1742" s="7" t="s">
        <v>4739</v>
      </c>
      <c r="I1742" s="9">
        <v>45349</v>
      </c>
    </row>
    <row r="1743" spans="1:9" x14ac:dyDescent="0.15">
      <c r="A1743" s="6">
        <v>1742</v>
      </c>
      <c r="B1743" s="7" t="s">
        <v>8</v>
      </c>
      <c r="C1743" s="8">
        <v>1887</v>
      </c>
      <c r="D1743" s="9">
        <v>45425</v>
      </c>
      <c r="E1743" s="13" t="str">
        <f>+HYPERLINK("http://trademark.i-assist.jp/data/china/image_1887th/76979907.pdf","76979907")</f>
        <v>76979907</v>
      </c>
      <c r="F1743" s="7" t="s">
        <v>4740</v>
      </c>
      <c r="G1743" s="7" t="s">
        <v>4741</v>
      </c>
      <c r="H1743" s="7" t="s">
        <v>4742</v>
      </c>
      <c r="I1743" s="9">
        <v>45349</v>
      </c>
    </row>
    <row r="1744" spans="1:9" ht="27" x14ac:dyDescent="0.15">
      <c r="A1744" s="6">
        <v>1743</v>
      </c>
      <c r="B1744" s="7" t="s">
        <v>8</v>
      </c>
      <c r="C1744" s="8">
        <v>1887</v>
      </c>
      <c r="D1744" s="9">
        <v>45425</v>
      </c>
      <c r="E1744" s="13" t="str">
        <f>+HYPERLINK("http://trademark.i-assist.jp/data/china/image_1887th/76979947.pdf","76979947")</f>
        <v>76979947</v>
      </c>
      <c r="F1744" s="7" t="s">
        <v>54</v>
      </c>
      <c r="G1744" s="7" t="s">
        <v>4743</v>
      </c>
      <c r="H1744" s="7" t="s">
        <v>4744</v>
      </c>
      <c r="I1744" s="9">
        <v>45349</v>
      </c>
    </row>
    <row r="1745" spans="1:9" x14ac:dyDescent="0.15">
      <c r="A1745" s="6">
        <v>1744</v>
      </c>
      <c r="B1745" s="7" t="s">
        <v>8</v>
      </c>
      <c r="C1745" s="8">
        <v>1887</v>
      </c>
      <c r="D1745" s="9">
        <v>45425</v>
      </c>
      <c r="E1745" s="13" t="str">
        <f>+HYPERLINK("http://trademark.i-assist.jp/data/china/image_1887th/76979984.pdf","76979984")</f>
        <v>76979984</v>
      </c>
      <c r="F1745" s="7" t="s">
        <v>4745</v>
      </c>
      <c r="G1745" s="7" t="s">
        <v>4746</v>
      </c>
      <c r="H1745" s="7" t="s">
        <v>4747</v>
      </c>
      <c r="I1745" s="9">
        <v>45349</v>
      </c>
    </row>
    <row r="1746" spans="1:9" ht="27" x14ac:dyDescent="0.15">
      <c r="A1746" s="6">
        <v>1745</v>
      </c>
      <c r="B1746" s="7" t="s">
        <v>8</v>
      </c>
      <c r="C1746" s="8">
        <v>1887</v>
      </c>
      <c r="D1746" s="9">
        <v>45425</v>
      </c>
      <c r="E1746" s="13" t="str">
        <f>+HYPERLINK("http://trademark.i-assist.jp/data/china/image_1887th/76980012.pdf","76980012")</f>
        <v>76980012</v>
      </c>
      <c r="F1746" s="7" t="s">
        <v>4748</v>
      </c>
      <c r="G1746" s="7" t="s">
        <v>4749</v>
      </c>
      <c r="H1746" s="7" t="s">
        <v>4750</v>
      </c>
      <c r="I1746" s="9">
        <v>45349</v>
      </c>
    </row>
    <row r="1747" spans="1:9" x14ac:dyDescent="0.15">
      <c r="A1747" s="6">
        <v>1746</v>
      </c>
      <c r="B1747" s="7" t="s">
        <v>8</v>
      </c>
      <c r="C1747" s="8">
        <v>1887</v>
      </c>
      <c r="D1747" s="9">
        <v>45425</v>
      </c>
      <c r="E1747" s="13" t="str">
        <f>+HYPERLINK("http://trademark.i-assist.jp/data/china/image_1887th/76980088.pdf","76980088")</f>
        <v>76980088</v>
      </c>
      <c r="F1747" s="7" t="s">
        <v>4751</v>
      </c>
      <c r="G1747" s="7" t="s">
        <v>4752</v>
      </c>
      <c r="H1747" s="7" t="s">
        <v>4753</v>
      </c>
      <c r="I1747" s="9">
        <v>45349</v>
      </c>
    </row>
    <row r="1748" spans="1:9" x14ac:dyDescent="0.15">
      <c r="A1748" s="6">
        <v>1747</v>
      </c>
      <c r="B1748" s="7" t="s">
        <v>8</v>
      </c>
      <c r="C1748" s="8">
        <v>1887</v>
      </c>
      <c r="D1748" s="9">
        <v>45425</v>
      </c>
      <c r="E1748" s="13" t="str">
        <f>+HYPERLINK("http://trademark.i-assist.jp/data/china/image_1887th/76980208.pdf","76980208")</f>
        <v>76980208</v>
      </c>
      <c r="F1748" s="7" t="s">
        <v>4754</v>
      </c>
      <c r="G1748" s="7" t="s">
        <v>4755</v>
      </c>
      <c r="H1748" s="7" t="s">
        <v>4756</v>
      </c>
      <c r="I1748" s="9">
        <v>45349</v>
      </c>
    </row>
    <row r="1749" spans="1:9" ht="27" x14ac:dyDescent="0.15">
      <c r="A1749" s="6">
        <v>1748</v>
      </c>
      <c r="B1749" s="7" t="s">
        <v>8</v>
      </c>
      <c r="C1749" s="8">
        <v>1887</v>
      </c>
      <c r="D1749" s="9">
        <v>45425</v>
      </c>
      <c r="E1749" s="13" t="str">
        <f>+HYPERLINK("http://trademark.i-assist.jp/data/china/image_1887th/76980388.pdf","76980388")</f>
        <v>76980388</v>
      </c>
      <c r="F1749" s="7" t="s">
        <v>4757</v>
      </c>
      <c r="G1749" s="7" t="s">
        <v>4637</v>
      </c>
      <c r="H1749" s="7" t="s">
        <v>4758</v>
      </c>
      <c r="I1749" s="9">
        <v>45349</v>
      </c>
    </row>
    <row r="1750" spans="1:9" x14ac:dyDescent="0.15">
      <c r="A1750" s="6">
        <v>1749</v>
      </c>
      <c r="B1750" s="7" t="s">
        <v>8</v>
      </c>
      <c r="C1750" s="8">
        <v>1887</v>
      </c>
      <c r="D1750" s="9">
        <v>45425</v>
      </c>
      <c r="E1750" s="13" t="str">
        <f>+HYPERLINK("http://trademark.i-assist.jp/data/china/image_1887th/76980401.pdf","76980401")</f>
        <v>76980401</v>
      </c>
      <c r="F1750" s="7" t="s">
        <v>4759</v>
      </c>
      <c r="G1750" s="7" t="s">
        <v>4760</v>
      </c>
      <c r="H1750" s="7" t="s">
        <v>4761</v>
      </c>
      <c r="I1750" s="9">
        <v>45349</v>
      </c>
    </row>
    <row r="1751" spans="1:9" x14ac:dyDescent="0.15">
      <c r="A1751" s="6">
        <v>1750</v>
      </c>
      <c r="B1751" s="7" t="s">
        <v>8</v>
      </c>
      <c r="C1751" s="8">
        <v>1887</v>
      </c>
      <c r="D1751" s="9">
        <v>45425</v>
      </c>
      <c r="E1751" s="13" t="str">
        <f>+HYPERLINK("http://trademark.i-assist.jp/data/china/image_1887th/76980500.pdf","76980500")</f>
        <v>76980500</v>
      </c>
      <c r="F1751" s="7" t="s">
        <v>4762</v>
      </c>
      <c r="G1751" s="7" t="s">
        <v>4763</v>
      </c>
      <c r="H1751" s="7" t="s">
        <v>4764</v>
      </c>
      <c r="I1751" s="9">
        <v>45349</v>
      </c>
    </row>
    <row r="1752" spans="1:9" x14ac:dyDescent="0.15">
      <c r="A1752" s="6">
        <v>1751</v>
      </c>
      <c r="B1752" s="7" t="s">
        <v>8</v>
      </c>
      <c r="C1752" s="8">
        <v>1887</v>
      </c>
      <c r="D1752" s="9">
        <v>45425</v>
      </c>
      <c r="E1752" s="13" t="str">
        <f>+HYPERLINK("http://trademark.i-assist.jp/data/china/image_1887th/76980559.pdf","76980559")</f>
        <v>76980559</v>
      </c>
      <c r="F1752" s="7" t="s">
        <v>4765</v>
      </c>
      <c r="G1752" s="7" t="s">
        <v>4766</v>
      </c>
      <c r="H1752" s="7" t="s">
        <v>4767</v>
      </c>
      <c r="I1752" s="9">
        <v>45349</v>
      </c>
    </row>
    <row r="1753" spans="1:9" x14ac:dyDescent="0.15">
      <c r="A1753" s="6">
        <v>1752</v>
      </c>
      <c r="B1753" s="7" t="s">
        <v>8</v>
      </c>
      <c r="C1753" s="8">
        <v>1887</v>
      </c>
      <c r="D1753" s="9">
        <v>45425</v>
      </c>
      <c r="E1753" s="13" t="str">
        <f>+HYPERLINK("http://trademark.i-assist.jp/data/china/image_1887th/76980580.pdf","76980580")</f>
        <v>76980580</v>
      </c>
      <c r="F1753" s="7" t="s">
        <v>4768</v>
      </c>
      <c r="G1753" s="7" t="s">
        <v>4769</v>
      </c>
      <c r="H1753" s="7" t="s">
        <v>4770</v>
      </c>
      <c r="I1753" s="9">
        <v>45349</v>
      </c>
    </row>
    <row r="1754" spans="1:9" x14ac:dyDescent="0.15">
      <c r="A1754" s="6">
        <v>1753</v>
      </c>
      <c r="B1754" s="7" t="s">
        <v>8</v>
      </c>
      <c r="C1754" s="8">
        <v>1887</v>
      </c>
      <c r="D1754" s="9">
        <v>45425</v>
      </c>
      <c r="E1754" s="13" t="str">
        <f>+HYPERLINK("http://trademark.i-assist.jp/data/china/image_1887th/76980626.pdf","76980626")</f>
        <v>76980626</v>
      </c>
      <c r="F1754" s="7" t="s">
        <v>4771</v>
      </c>
      <c r="G1754" s="7" t="s">
        <v>4772</v>
      </c>
      <c r="H1754" s="7" t="s">
        <v>4773</v>
      </c>
      <c r="I1754" s="9">
        <v>45349</v>
      </c>
    </row>
    <row r="1755" spans="1:9" x14ac:dyDescent="0.15">
      <c r="A1755" s="6">
        <v>1754</v>
      </c>
      <c r="B1755" s="7" t="s">
        <v>8</v>
      </c>
      <c r="C1755" s="8">
        <v>1887</v>
      </c>
      <c r="D1755" s="9">
        <v>45425</v>
      </c>
      <c r="E1755" s="13" t="str">
        <f>+HYPERLINK("http://trademark.i-assist.jp/data/china/image_1887th/76980723.pdf","76980723")</f>
        <v>76980723</v>
      </c>
      <c r="F1755" s="7" t="s">
        <v>4774</v>
      </c>
      <c r="G1755" s="7" t="s">
        <v>4775</v>
      </c>
      <c r="H1755" s="7" t="s">
        <v>4776</v>
      </c>
      <c r="I1755" s="9">
        <v>45349</v>
      </c>
    </row>
    <row r="1756" spans="1:9" x14ac:dyDescent="0.15">
      <c r="A1756" s="6">
        <v>1755</v>
      </c>
      <c r="B1756" s="7" t="s">
        <v>8</v>
      </c>
      <c r="C1756" s="8">
        <v>1887</v>
      </c>
      <c r="D1756" s="9">
        <v>45425</v>
      </c>
      <c r="E1756" s="13" t="str">
        <f>+HYPERLINK("http://trademark.i-assist.jp/data/china/image_1887th/76980835.pdf","76980835")</f>
        <v>76980835</v>
      </c>
      <c r="F1756" s="7" t="s">
        <v>4777</v>
      </c>
      <c r="G1756" s="7" t="s">
        <v>4778</v>
      </c>
      <c r="H1756" s="7" t="s">
        <v>4779</v>
      </c>
      <c r="I1756" s="9">
        <v>45349</v>
      </c>
    </row>
    <row r="1757" spans="1:9" x14ac:dyDescent="0.15">
      <c r="A1757" s="6">
        <v>1756</v>
      </c>
      <c r="B1757" s="7" t="s">
        <v>8</v>
      </c>
      <c r="C1757" s="8">
        <v>1887</v>
      </c>
      <c r="D1757" s="9">
        <v>45425</v>
      </c>
      <c r="E1757" s="13" t="str">
        <f>+HYPERLINK("http://trademark.i-assist.jp/data/china/image_1887th/76980979.pdf","76980979")</f>
        <v>76980979</v>
      </c>
      <c r="F1757" s="7" t="s">
        <v>4780</v>
      </c>
      <c r="G1757" s="7" t="s">
        <v>4781</v>
      </c>
      <c r="H1757" s="7" t="s">
        <v>4782</v>
      </c>
      <c r="I1757" s="9">
        <v>45349</v>
      </c>
    </row>
    <row r="1758" spans="1:9" x14ac:dyDescent="0.15">
      <c r="A1758" s="6">
        <v>1757</v>
      </c>
      <c r="B1758" s="7" t="s">
        <v>8</v>
      </c>
      <c r="C1758" s="8">
        <v>1887</v>
      </c>
      <c r="D1758" s="9">
        <v>45425</v>
      </c>
      <c r="E1758" s="13" t="str">
        <f>+HYPERLINK("http://trademark.i-assist.jp/data/china/image_1887th/76981004.pdf","76981004")</f>
        <v>76981004</v>
      </c>
      <c r="F1758" s="7" t="s">
        <v>4783</v>
      </c>
      <c r="G1758" s="7" t="s">
        <v>4784</v>
      </c>
      <c r="H1758" s="7" t="s">
        <v>4785</v>
      </c>
      <c r="I1758" s="9">
        <v>45349</v>
      </c>
    </row>
    <row r="1759" spans="1:9" x14ac:dyDescent="0.15">
      <c r="A1759" s="6">
        <v>1758</v>
      </c>
      <c r="B1759" s="7" t="s">
        <v>8</v>
      </c>
      <c r="C1759" s="8">
        <v>1887</v>
      </c>
      <c r="D1759" s="9">
        <v>45425</v>
      </c>
      <c r="E1759" s="13" t="str">
        <f>+HYPERLINK("http://trademark.i-assist.jp/data/china/image_1887th/76981497.pdf","76981497")</f>
        <v>76981497</v>
      </c>
      <c r="F1759" s="7" t="s">
        <v>4786</v>
      </c>
      <c r="G1759" s="7" t="s">
        <v>4787</v>
      </c>
      <c r="H1759" s="7" t="s">
        <v>4788</v>
      </c>
      <c r="I1759" s="9">
        <v>45349</v>
      </c>
    </row>
    <row r="1760" spans="1:9" x14ac:dyDescent="0.15">
      <c r="A1760" s="6">
        <v>1759</v>
      </c>
      <c r="B1760" s="7" t="s">
        <v>8</v>
      </c>
      <c r="C1760" s="8">
        <v>1887</v>
      </c>
      <c r="D1760" s="9">
        <v>45425</v>
      </c>
      <c r="E1760" s="13" t="str">
        <f>+HYPERLINK("http://trademark.i-assist.jp/data/china/image_1887th/76981671.pdf","76981671")</f>
        <v>76981671</v>
      </c>
      <c r="F1760" s="7" t="s">
        <v>4789</v>
      </c>
      <c r="G1760" s="7" t="s">
        <v>4790</v>
      </c>
      <c r="H1760" s="7" t="s">
        <v>4791</v>
      </c>
      <c r="I1760" s="9">
        <v>45349</v>
      </c>
    </row>
    <row r="1761" spans="1:9" x14ac:dyDescent="0.15">
      <c r="A1761" s="6">
        <v>1760</v>
      </c>
      <c r="B1761" s="7" t="s">
        <v>8</v>
      </c>
      <c r="C1761" s="8">
        <v>1887</v>
      </c>
      <c r="D1761" s="9">
        <v>45425</v>
      </c>
      <c r="E1761" s="13" t="str">
        <f>+HYPERLINK("http://trademark.i-assist.jp/data/china/image_1887th/76981742.pdf","76981742")</f>
        <v>76981742</v>
      </c>
      <c r="F1761" s="7" t="s">
        <v>4792</v>
      </c>
      <c r="G1761" s="7" t="s">
        <v>4741</v>
      </c>
      <c r="H1761" s="7" t="s">
        <v>4793</v>
      </c>
      <c r="I1761" s="9">
        <v>45349</v>
      </c>
    </row>
    <row r="1762" spans="1:9" x14ac:dyDescent="0.15">
      <c r="A1762" s="6">
        <v>1761</v>
      </c>
      <c r="B1762" s="7" t="s">
        <v>8</v>
      </c>
      <c r="C1762" s="8">
        <v>1887</v>
      </c>
      <c r="D1762" s="9">
        <v>45425</v>
      </c>
      <c r="E1762" s="13" t="str">
        <f>+HYPERLINK("http://trademark.i-assist.jp/data/china/image_1887th/76981778.pdf","76981778")</f>
        <v>76981778</v>
      </c>
      <c r="F1762" s="7" t="s">
        <v>4794</v>
      </c>
      <c r="G1762" s="7" t="s">
        <v>4648</v>
      </c>
      <c r="H1762" s="7" t="s">
        <v>4795</v>
      </c>
      <c r="I1762" s="9">
        <v>45349</v>
      </c>
    </row>
    <row r="1763" spans="1:9" x14ac:dyDescent="0.15">
      <c r="A1763" s="6">
        <v>1762</v>
      </c>
      <c r="B1763" s="7" t="s">
        <v>8</v>
      </c>
      <c r="C1763" s="8">
        <v>1887</v>
      </c>
      <c r="D1763" s="9">
        <v>45425</v>
      </c>
      <c r="E1763" s="13" t="str">
        <f>+HYPERLINK("http://trademark.i-assist.jp/data/china/image_1887th/76981830.pdf","76981830")</f>
        <v>76981830</v>
      </c>
      <c r="F1763" s="7" t="s">
        <v>4796</v>
      </c>
      <c r="G1763" s="7" t="s">
        <v>4797</v>
      </c>
      <c r="H1763" s="7" t="s">
        <v>4798</v>
      </c>
      <c r="I1763" s="9">
        <v>45349</v>
      </c>
    </row>
    <row r="1764" spans="1:9" ht="27" x14ac:dyDescent="0.15">
      <c r="A1764" s="6">
        <v>1763</v>
      </c>
      <c r="B1764" s="7" t="s">
        <v>8</v>
      </c>
      <c r="C1764" s="8">
        <v>1887</v>
      </c>
      <c r="D1764" s="9">
        <v>45425</v>
      </c>
      <c r="E1764" s="13" t="str">
        <f>+HYPERLINK("http://trademark.i-assist.jp/data/china/image_1887th/76981897.pdf","76981897")</f>
        <v>76981897</v>
      </c>
      <c r="F1764" s="7" t="s">
        <v>4799</v>
      </c>
      <c r="G1764" s="7" t="s">
        <v>4598</v>
      </c>
      <c r="H1764" s="7" t="s">
        <v>4800</v>
      </c>
      <c r="I1764" s="9">
        <v>45349</v>
      </c>
    </row>
    <row r="1765" spans="1:9" ht="27" x14ac:dyDescent="0.15">
      <c r="A1765" s="6">
        <v>1764</v>
      </c>
      <c r="B1765" s="7" t="s">
        <v>8</v>
      </c>
      <c r="C1765" s="8">
        <v>1887</v>
      </c>
      <c r="D1765" s="9">
        <v>45425</v>
      </c>
      <c r="E1765" s="13" t="str">
        <f>+HYPERLINK("http://trademark.i-assist.jp/data/china/image_1887th/76981973.pdf","76981973")</f>
        <v>76981973</v>
      </c>
      <c r="F1765" s="7" t="s">
        <v>4801</v>
      </c>
      <c r="G1765" s="7" t="s">
        <v>4563</v>
      </c>
      <c r="H1765" s="7" t="s">
        <v>4802</v>
      </c>
      <c r="I1765" s="9">
        <v>45349</v>
      </c>
    </row>
    <row r="1766" spans="1:9" ht="27" x14ac:dyDescent="0.15">
      <c r="A1766" s="6">
        <v>1765</v>
      </c>
      <c r="B1766" s="7" t="s">
        <v>8</v>
      </c>
      <c r="C1766" s="8">
        <v>1887</v>
      </c>
      <c r="D1766" s="9">
        <v>45425</v>
      </c>
      <c r="E1766" s="13" t="str">
        <f>+HYPERLINK("http://trademark.i-assist.jp/data/china/image_1887th/76981976.pdf","76981976")</f>
        <v>76981976</v>
      </c>
      <c r="F1766" s="7" t="s">
        <v>4803</v>
      </c>
      <c r="G1766" s="7" t="s">
        <v>4563</v>
      </c>
      <c r="H1766" s="7" t="s">
        <v>4804</v>
      </c>
      <c r="I1766" s="9">
        <v>45349</v>
      </c>
    </row>
    <row r="1767" spans="1:9" x14ac:dyDescent="0.15">
      <c r="A1767" s="6">
        <v>1766</v>
      </c>
      <c r="B1767" s="7" t="s">
        <v>8</v>
      </c>
      <c r="C1767" s="8">
        <v>1887</v>
      </c>
      <c r="D1767" s="9">
        <v>45425</v>
      </c>
      <c r="E1767" s="13" t="str">
        <f>+HYPERLINK("http://trademark.i-assist.jp/data/china/image_1887th/76982169.pdf","76982169")</f>
        <v>76982169</v>
      </c>
      <c r="F1767" s="7" t="s">
        <v>4805</v>
      </c>
      <c r="G1767" s="7" t="s">
        <v>4806</v>
      </c>
      <c r="H1767" s="7" t="s">
        <v>4807</v>
      </c>
      <c r="I1767" s="9">
        <v>45349</v>
      </c>
    </row>
    <row r="1768" spans="1:9" x14ac:dyDescent="0.15">
      <c r="A1768" s="6">
        <v>1767</v>
      </c>
      <c r="B1768" s="7" t="s">
        <v>8</v>
      </c>
      <c r="C1768" s="8">
        <v>1887</v>
      </c>
      <c r="D1768" s="9">
        <v>45425</v>
      </c>
      <c r="E1768" s="13" t="str">
        <f>+HYPERLINK("http://trademark.i-assist.jp/data/china/image_1887th/76982193.pdf","76982193")</f>
        <v>76982193</v>
      </c>
      <c r="F1768" s="7" t="s">
        <v>4808</v>
      </c>
      <c r="G1768" s="7" t="s">
        <v>4809</v>
      </c>
      <c r="H1768" s="7" t="s">
        <v>4810</v>
      </c>
      <c r="I1768" s="9">
        <v>45349</v>
      </c>
    </row>
    <row r="1769" spans="1:9" x14ac:dyDescent="0.15">
      <c r="A1769" s="6">
        <v>1768</v>
      </c>
      <c r="B1769" s="7" t="s">
        <v>8</v>
      </c>
      <c r="C1769" s="8">
        <v>1887</v>
      </c>
      <c r="D1769" s="9">
        <v>45425</v>
      </c>
      <c r="E1769" s="13" t="str">
        <f>+HYPERLINK("http://trademark.i-assist.jp/data/china/image_1887th/76982632.pdf","76982632")</f>
        <v>76982632</v>
      </c>
      <c r="F1769" s="7" t="s">
        <v>4811</v>
      </c>
      <c r="G1769" s="7" t="s">
        <v>4812</v>
      </c>
      <c r="H1769" s="7" t="s">
        <v>4813</v>
      </c>
      <c r="I1769" s="9">
        <v>45349</v>
      </c>
    </row>
    <row r="1770" spans="1:9" ht="27" x14ac:dyDescent="0.15">
      <c r="A1770" s="6">
        <v>1769</v>
      </c>
      <c r="B1770" s="7" t="s">
        <v>8</v>
      </c>
      <c r="C1770" s="8">
        <v>1887</v>
      </c>
      <c r="D1770" s="9">
        <v>45425</v>
      </c>
      <c r="E1770" s="13" t="str">
        <f>+HYPERLINK("http://trademark.i-assist.jp/data/china/image_1887th/76982674.pdf","76982674")</f>
        <v>76982674</v>
      </c>
      <c r="F1770" s="7" t="s">
        <v>4814</v>
      </c>
      <c r="G1770" s="7" t="s">
        <v>967</v>
      </c>
      <c r="H1770" s="7" t="s">
        <v>4815</v>
      </c>
      <c r="I1770" s="9">
        <v>45349</v>
      </c>
    </row>
    <row r="1771" spans="1:9" x14ac:dyDescent="0.15">
      <c r="A1771" s="6">
        <v>1770</v>
      </c>
      <c r="B1771" s="7" t="s">
        <v>8</v>
      </c>
      <c r="C1771" s="8">
        <v>1887</v>
      </c>
      <c r="D1771" s="9">
        <v>45425</v>
      </c>
      <c r="E1771" s="13" t="str">
        <f>+HYPERLINK("http://trademark.i-assist.jp/data/china/image_1887th/76982867.pdf","76982867")</f>
        <v>76982867</v>
      </c>
      <c r="F1771" s="7" t="s">
        <v>4816</v>
      </c>
      <c r="G1771" s="7" t="s">
        <v>4817</v>
      </c>
      <c r="H1771" s="7" t="s">
        <v>4818</v>
      </c>
      <c r="I1771" s="9">
        <v>45349</v>
      </c>
    </row>
    <row r="1772" spans="1:9" x14ac:dyDescent="0.15">
      <c r="A1772" s="6">
        <v>1771</v>
      </c>
      <c r="B1772" s="7" t="s">
        <v>8</v>
      </c>
      <c r="C1772" s="8">
        <v>1887</v>
      </c>
      <c r="D1772" s="9">
        <v>45425</v>
      </c>
      <c r="E1772" s="13" t="str">
        <f>+HYPERLINK("http://trademark.i-assist.jp/data/china/image_1887th/76982938.pdf","76982938")</f>
        <v>76982938</v>
      </c>
      <c r="F1772" s="7" t="s">
        <v>4819</v>
      </c>
      <c r="G1772" s="7" t="s">
        <v>4820</v>
      </c>
      <c r="H1772" s="7" t="s">
        <v>4821</v>
      </c>
      <c r="I1772" s="9">
        <v>45349</v>
      </c>
    </row>
    <row r="1773" spans="1:9" ht="40.5" x14ac:dyDescent="0.15">
      <c r="A1773" s="6">
        <v>1772</v>
      </c>
      <c r="B1773" s="7" t="s">
        <v>8</v>
      </c>
      <c r="C1773" s="8">
        <v>1887</v>
      </c>
      <c r="D1773" s="9">
        <v>45425</v>
      </c>
      <c r="E1773" s="13" t="str">
        <f>+HYPERLINK("http://trademark.i-assist.jp/data/china/image_1887th/76982973.pdf","76982973")</f>
        <v>76982973</v>
      </c>
      <c r="F1773" s="7" t="s">
        <v>4822</v>
      </c>
      <c r="G1773" s="7" t="s">
        <v>4823</v>
      </c>
      <c r="H1773" s="7" t="s">
        <v>4824</v>
      </c>
      <c r="I1773" s="9">
        <v>45349</v>
      </c>
    </row>
    <row r="1774" spans="1:9" x14ac:dyDescent="0.15">
      <c r="A1774" s="6">
        <v>1773</v>
      </c>
      <c r="B1774" s="7" t="s">
        <v>8</v>
      </c>
      <c r="C1774" s="8">
        <v>1887</v>
      </c>
      <c r="D1774" s="9">
        <v>45425</v>
      </c>
      <c r="E1774" s="13" t="str">
        <f>+HYPERLINK("http://trademark.i-assist.jp/data/china/image_1887th/76983434.pdf","76983434")</f>
        <v>76983434</v>
      </c>
      <c r="F1774" s="7" t="s">
        <v>4825</v>
      </c>
      <c r="G1774" s="7" t="s">
        <v>4826</v>
      </c>
      <c r="H1774" s="7" t="s">
        <v>4827</v>
      </c>
      <c r="I1774" s="9">
        <v>45349</v>
      </c>
    </row>
    <row r="1775" spans="1:9" x14ac:dyDescent="0.15">
      <c r="A1775" s="6">
        <v>1774</v>
      </c>
      <c r="B1775" s="7" t="s">
        <v>8</v>
      </c>
      <c r="C1775" s="8">
        <v>1887</v>
      </c>
      <c r="D1775" s="9">
        <v>45425</v>
      </c>
      <c r="E1775" s="13" t="str">
        <f>+HYPERLINK("http://trademark.i-assist.jp/data/china/image_1887th/76983509.pdf","76983509")</f>
        <v>76983509</v>
      </c>
      <c r="F1775" s="7" t="s">
        <v>4828</v>
      </c>
      <c r="G1775" s="7" t="s">
        <v>4583</v>
      </c>
      <c r="H1775" s="7" t="s">
        <v>4829</v>
      </c>
      <c r="I1775" s="9">
        <v>45349</v>
      </c>
    </row>
    <row r="1776" spans="1:9" x14ac:dyDescent="0.15">
      <c r="A1776" s="6">
        <v>1775</v>
      </c>
      <c r="B1776" s="7" t="s">
        <v>8</v>
      </c>
      <c r="C1776" s="8">
        <v>1887</v>
      </c>
      <c r="D1776" s="9">
        <v>45425</v>
      </c>
      <c r="E1776" s="13" t="str">
        <f>+HYPERLINK("http://trademark.i-assist.jp/data/china/image_1887th/76983661.pdf","76983661")</f>
        <v>76983661</v>
      </c>
      <c r="F1776" s="7" t="s">
        <v>4830</v>
      </c>
      <c r="G1776" s="7" t="s">
        <v>4831</v>
      </c>
      <c r="H1776" s="7" t="s">
        <v>4832</v>
      </c>
      <c r="I1776" s="9">
        <v>45349</v>
      </c>
    </row>
    <row r="1777" spans="1:9" ht="27" x14ac:dyDescent="0.15">
      <c r="A1777" s="6">
        <v>1776</v>
      </c>
      <c r="B1777" s="7" t="s">
        <v>8</v>
      </c>
      <c r="C1777" s="8">
        <v>1887</v>
      </c>
      <c r="D1777" s="9">
        <v>45425</v>
      </c>
      <c r="E1777" s="13" t="str">
        <f>+HYPERLINK("http://trademark.i-assist.jp/data/china/image_1887th/76983769.pdf","76983769")</f>
        <v>76983769</v>
      </c>
      <c r="F1777" s="7" t="s">
        <v>4833</v>
      </c>
      <c r="G1777" s="7" t="s">
        <v>4834</v>
      </c>
      <c r="H1777" s="7" t="s">
        <v>4835</v>
      </c>
      <c r="I1777" s="9">
        <v>45349</v>
      </c>
    </row>
    <row r="1778" spans="1:9" x14ac:dyDescent="0.15">
      <c r="A1778" s="6">
        <v>1777</v>
      </c>
      <c r="B1778" s="7" t="s">
        <v>8</v>
      </c>
      <c r="C1778" s="8">
        <v>1887</v>
      </c>
      <c r="D1778" s="9">
        <v>45425</v>
      </c>
      <c r="E1778" s="13" t="str">
        <f>+HYPERLINK("http://trademark.i-assist.jp/data/china/image_1887th/76983778.pdf","76983778")</f>
        <v>76983778</v>
      </c>
      <c r="F1778" s="7" t="s">
        <v>4836</v>
      </c>
      <c r="G1778" s="7" t="s">
        <v>4837</v>
      </c>
      <c r="H1778" s="7" t="s">
        <v>4838</v>
      </c>
      <c r="I1778" s="9">
        <v>45349</v>
      </c>
    </row>
    <row r="1779" spans="1:9" ht="27" x14ac:dyDescent="0.15">
      <c r="A1779" s="6">
        <v>1778</v>
      </c>
      <c r="B1779" s="7" t="s">
        <v>8</v>
      </c>
      <c r="C1779" s="8">
        <v>1887</v>
      </c>
      <c r="D1779" s="9">
        <v>45425</v>
      </c>
      <c r="E1779" s="13" t="str">
        <f>+HYPERLINK("http://trademark.i-assist.jp/data/china/image_1887th/76983911.pdf","76983911")</f>
        <v>76983911</v>
      </c>
      <c r="F1779" s="7" t="s">
        <v>4839</v>
      </c>
      <c r="G1779" s="7" t="s">
        <v>4840</v>
      </c>
      <c r="H1779" s="7" t="s">
        <v>4841</v>
      </c>
      <c r="I1779" s="9">
        <v>45349</v>
      </c>
    </row>
    <row r="1780" spans="1:9" x14ac:dyDescent="0.15">
      <c r="A1780" s="6">
        <v>1779</v>
      </c>
      <c r="B1780" s="7" t="s">
        <v>8</v>
      </c>
      <c r="C1780" s="8">
        <v>1887</v>
      </c>
      <c r="D1780" s="9">
        <v>45425</v>
      </c>
      <c r="E1780" s="13" t="str">
        <f>+HYPERLINK("http://trademark.i-assist.jp/data/china/image_1887th/76983912.pdf","76983912")</f>
        <v>76983912</v>
      </c>
      <c r="F1780" s="7" t="s">
        <v>4842</v>
      </c>
      <c r="G1780" s="7" t="s">
        <v>4843</v>
      </c>
      <c r="H1780" s="7" t="s">
        <v>4844</v>
      </c>
      <c r="I1780" s="9">
        <v>45349</v>
      </c>
    </row>
    <row r="1781" spans="1:9" x14ac:dyDescent="0.15">
      <c r="A1781" s="6">
        <v>1780</v>
      </c>
      <c r="B1781" s="7" t="s">
        <v>8</v>
      </c>
      <c r="C1781" s="8">
        <v>1887</v>
      </c>
      <c r="D1781" s="9">
        <v>45425</v>
      </c>
      <c r="E1781" s="13" t="str">
        <f>+HYPERLINK("http://trademark.i-assist.jp/data/china/image_1887th/76984218.pdf","76984218")</f>
        <v>76984218</v>
      </c>
      <c r="F1781" s="7" t="s">
        <v>4845</v>
      </c>
      <c r="G1781" s="7" t="s">
        <v>4846</v>
      </c>
      <c r="H1781" s="7" t="s">
        <v>4847</v>
      </c>
      <c r="I1781" s="9">
        <v>45349</v>
      </c>
    </row>
    <row r="1782" spans="1:9" ht="27" x14ac:dyDescent="0.15">
      <c r="A1782" s="6">
        <v>1781</v>
      </c>
      <c r="B1782" s="7" t="s">
        <v>8</v>
      </c>
      <c r="C1782" s="8">
        <v>1887</v>
      </c>
      <c r="D1782" s="9">
        <v>45425</v>
      </c>
      <c r="E1782" s="13" t="str">
        <f>+HYPERLINK("http://trademark.i-assist.jp/data/china/image_1887th/76984306.pdf","76984306")</f>
        <v>76984306</v>
      </c>
      <c r="F1782" s="7" t="s">
        <v>4848</v>
      </c>
      <c r="G1782" s="7" t="s">
        <v>4598</v>
      </c>
      <c r="H1782" s="7" t="s">
        <v>4849</v>
      </c>
      <c r="I1782" s="9">
        <v>45349</v>
      </c>
    </row>
    <row r="1783" spans="1:9" ht="27" x14ac:dyDescent="0.15">
      <c r="A1783" s="6">
        <v>1782</v>
      </c>
      <c r="B1783" s="7" t="s">
        <v>8</v>
      </c>
      <c r="C1783" s="8">
        <v>1887</v>
      </c>
      <c r="D1783" s="9">
        <v>45425</v>
      </c>
      <c r="E1783" s="13" t="str">
        <f>+HYPERLINK("http://trademark.i-assist.jp/data/china/image_1887th/76984358.pdf","76984358")</f>
        <v>76984358</v>
      </c>
      <c r="F1783" s="7" t="s">
        <v>4850</v>
      </c>
      <c r="G1783" s="7" t="s">
        <v>4563</v>
      </c>
      <c r="H1783" s="7" t="s">
        <v>4851</v>
      </c>
      <c r="I1783" s="9">
        <v>45349</v>
      </c>
    </row>
    <row r="1784" spans="1:9" x14ac:dyDescent="0.15">
      <c r="A1784" s="6">
        <v>1783</v>
      </c>
      <c r="B1784" s="7" t="s">
        <v>8</v>
      </c>
      <c r="C1784" s="8">
        <v>1887</v>
      </c>
      <c r="D1784" s="9">
        <v>45425</v>
      </c>
      <c r="E1784" s="13" t="str">
        <f>+HYPERLINK("http://trademark.i-assist.jp/data/china/image_1887th/76984557.pdf","76984557")</f>
        <v>76984557</v>
      </c>
      <c r="F1784" s="7" t="s">
        <v>4852</v>
      </c>
      <c r="G1784" s="7" t="s">
        <v>4853</v>
      </c>
      <c r="H1784" s="7" t="s">
        <v>4854</v>
      </c>
      <c r="I1784" s="9">
        <v>45349</v>
      </c>
    </row>
    <row r="1785" spans="1:9" x14ac:dyDescent="0.15">
      <c r="A1785" s="6">
        <v>1784</v>
      </c>
      <c r="B1785" s="7" t="s">
        <v>8</v>
      </c>
      <c r="C1785" s="8">
        <v>1887</v>
      </c>
      <c r="D1785" s="9">
        <v>45425</v>
      </c>
      <c r="E1785" s="13" t="str">
        <f>+HYPERLINK("http://trademark.i-assist.jp/data/china/image_1887th/76984634.pdf","76984634")</f>
        <v>76984634</v>
      </c>
      <c r="F1785" s="7" t="s">
        <v>4855</v>
      </c>
      <c r="G1785" s="7" t="s">
        <v>4856</v>
      </c>
      <c r="H1785" s="7" t="s">
        <v>4857</v>
      </c>
      <c r="I1785" s="9">
        <v>45349</v>
      </c>
    </row>
    <row r="1786" spans="1:9" ht="27" x14ac:dyDescent="0.15">
      <c r="A1786" s="6">
        <v>1785</v>
      </c>
      <c r="B1786" s="7" t="s">
        <v>8</v>
      </c>
      <c r="C1786" s="8">
        <v>1887</v>
      </c>
      <c r="D1786" s="9">
        <v>45425</v>
      </c>
      <c r="E1786" s="13" t="str">
        <f>+HYPERLINK("http://trademark.i-assist.jp/data/china/image_1887th/76984680.pdf","76984680")</f>
        <v>76984680</v>
      </c>
      <c r="F1786" s="7" t="s">
        <v>4858</v>
      </c>
      <c r="G1786" s="7" t="s">
        <v>4563</v>
      </c>
      <c r="H1786" s="7" t="s">
        <v>4859</v>
      </c>
      <c r="I1786" s="9">
        <v>45349</v>
      </c>
    </row>
    <row r="1787" spans="1:9" x14ac:dyDescent="0.15">
      <c r="A1787" s="6">
        <v>1786</v>
      </c>
      <c r="B1787" s="7" t="s">
        <v>8</v>
      </c>
      <c r="C1787" s="8">
        <v>1887</v>
      </c>
      <c r="D1787" s="9">
        <v>45425</v>
      </c>
      <c r="E1787" s="13" t="str">
        <f>+HYPERLINK("http://trademark.i-assist.jp/data/china/image_1887th/76984731.pdf","76984731")</f>
        <v>76984731</v>
      </c>
      <c r="F1787" s="7" t="s">
        <v>4860</v>
      </c>
      <c r="G1787" s="7" t="s">
        <v>4861</v>
      </c>
      <c r="H1787" s="7" t="s">
        <v>4862</v>
      </c>
      <c r="I1787" s="9">
        <v>45349</v>
      </c>
    </row>
    <row r="1788" spans="1:9" ht="27" x14ac:dyDescent="0.15">
      <c r="A1788" s="6">
        <v>1787</v>
      </c>
      <c r="B1788" s="7" t="s">
        <v>8</v>
      </c>
      <c r="C1788" s="8">
        <v>1887</v>
      </c>
      <c r="D1788" s="9">
        <v>45425</v>
      </c>
      <c r="E1788" s="13" t="str">
        <f>+HYPERLINK("http://trademark.i-assist.jp/data/china/image_1887th/76984786.pdf","76984786")</f>
        <v>76984786</v>
      </c>
      <c r="F1788" s="7" t="s">
        <v>4863</v>
      </c>
      <c r="G1788" s="7" t="s">
        <v>4864</v>
      </c>
      <c r="H1788" s="7" t="s">
        <v>4865</v>
      </c>
      <c r="I1788" s="9">
        <v>45349</v>
      </c>
    </row>
    <row r="1789" spans="1:9" x14ac:dyDescent="0.15">
      <c r="A1789" s="6">
        <v>1788</v>
      </c>
      <c r="B1789" s="7" t="s">
        <v>8</v>
      </c>
      <c r="C1789" s="8">
        <v>1887</v>
      </c>
      <c r="D1789" s="9">
        <v>45425</v>
      </c>
      <c r="E1789" s="13" t="str">
        <f>+HYPERLINK("http://trademark.i-assist.jp/data/china/image_1887th/76984810.pdf","76984810")</f>
        <v>76984810</v>
      </c>
      <c r="F1789" s="7" t="s">
        <v>4866</v>
      </c>
      <c r="G1789" s="7" t="s">
        <v>4867</v>
      </c>
      <c r="H1789" s="7" t="s">
        <v>4868</v>
      </c>
      <c r="I1789" s="9">
        <v>45349</v>
      </c>
    </row>
    <row r="1790" spans="1:9" x14ac:dyDescent="0.15">
      <c r="A1790" s="6">
        <v>1789</v>
      </c>
      <c r="B1790" s="7" t="s">
        <v>8</v>
      </c>
      <c r="C1790" s="8">
        <v>1887</v>
      </c>
      <c r="D1790" s="9">
        <v>45425</v>
      </c>
      <c r="E1790" s="13" t="str">
        <f>+HYPERLINK("http://trademark.i-assist.jp/data/china/image_1887th/76984876.pdf","76984876")</f>
        <v>76984876</v>
      </c>
      <c r="F1790" s="7" t="s">
        <v>4869</v>
      </c>
      <c r="G1790" s="7" t="s">
        <v>4870</v>
      </c>
      <c r="H1790" s="7" t="s">
        <v>4871</v>
      </c>
      <c r="I1790" s="9">
        <v>45349</v>
      </c>
    </row>
    <row r="1791" spans="1:9" x14ac:dyDescent="0.15">
      <c r="A1791" s="6">
        <v>1790</v>
      </c>
      <c r="B1791" s="7" t="s">
        <v>8</v>
      </c>
      <c r="C1791" s="8">
        <v>1887</v>
      </c>
      <c r="D1791" s="9">
        <v>45425</v>
      </c>
      <c r="E1791" s="13" t="str">
        <f>+HYPERLINK("http://trademark.i-assist.jp/data/china/image_1887th/76985000.pdf","76985000")</f>
        <v>76985000</v>
      </c>
      <c r="F1791" s="7" t="s">
        <v>4872</v>
      </c>
      <c r="G1791" s="7" t="s">
        <v>4873</v>
      </c>
      <c r="H1791" s="7" t="s">
        <v>4874</v>
      </c>
      <c r="I1791" s="9">
        <v>45349</v>
      </c>
    </row>
    <row r="1792" spans="1:9" ht="27" x14ac:dyDescent="0.15">
      <c r="A1792" s="6">
        <v>1791</v>
      </c>
      <c r="B1792" s="7" t="s">
        <v>8</v>
      </c>
      <c r="C1792" s="8">
        <v>1887</v>
      </c>
      <c r="D1792" s="9">
        <v>45425</v>
      </c>
      <c r="E1792" s="13" t="str">
        <f>+HYPERLINK("http://trademark.i-assist.jp/data/china/image_1887th/76985182.pdf","76985182")</f>
        <v>76985182</v>
      </c>
      <c r="F1792" s="7" t="s">
        <v>54</v>
      </c>
      <c r="G1792" s="7" t="s">
        <v>4875</v>
      </c>
      <c r="H1792" s="7" t="s">
        <v>4876</v>
      </c>
      <c r="I1792" s="9">
        <v>45349</v>
      </c>
    </row>
    <row r="1793" spans="1:9" x14ac:dyDescent="0.15">
      <c r="A1793" s="6">
        <v>1792</v>
      </c>
      <c r="B1793" s="7" t="s">
        <v>8</v>
      </c>
      <c r="C1793" s="8">
        <v>1887</v>
      </c>
      <c r="D1793" s="9">
        <v>45425</v>
      </c>
      <c r="E1793" s="13" t="str">
        <f>+HYPERLINK("http://trademark.i-assist.jp/data/china/image_1887th/76985268.pdf","76985268")</f>
        <v>76985268</v>
      </c>
      <c r="F1793" s="7" t="s">
        <v>4877</v>
      </c>
      <c r="G1793" s="7" t="s">
        <v>4878</v>
      </c>
      <c r="H1793" s="7" t="s">
        <v>4879</v>
      </c>
      <c r="I1793" s="9">
        <v>45349</v>
      </c>
    </row>
    <row r="1794" spans="1:9" x14ac:dyDescent="0.15">
      <c r="A1794" s="6">
        <v>1793</v>
      </c>
      <c r="B1794" s="7" t="s">
        <v>8</v>
      </c>
      <c r="C1794" s="8">
        <v>1887</v>
      </c>
      <c r="D1794" s="9">
        <v>45425</v>
      </c>
      <c r="E1794" s="13" t="str">
        <f>+HYPERLINK("http://trademark.i-assist.jp/data/china/image_1887th/76985310.pdf","76985310")</f>
        <v>76985310</v>
      </c>
      <c r="F1794" s="7" t="s">
        <v>4880</v>
      </c>
      <c r="G1794" s="7" t="s">
        <v>4881</v>
      </c>
      <c r="H1794" s="7" t="s">
        <v>4882</v>
      </c>
      <c r="I1794" s="9">
        <v>45349</v>
      </c>
    </row>
    <row r="1795" spans="1:9" ht="27" x14ac:dyDescent="0.15">
      <c r="A1795" s="6">
        <v>1794</v>
      </c>
      <c r="B1795" s="7" t="s">
        <v>8</v>
      </c>
      <c r="C1795" s="8">
        <v>1887</v>
      </c>
      <c r="D1795" s="9">
        <v>45425</v>
      </c>
      <c r="E1795" s="13" t="str">
        <f>+HYPERLINK("http://trademark.i-assist.jp/data/china/image_1887th/76985495.pdf","76985495")</f>
        <v>76985495</v>
      </c>
      <c r="F1795" s="7" t="s">
        <v>4883</v>
      </c>
      <c r="G1795" s="7" t="s">
        <v>4884</v>
      </c>
      <c r="H1795" s="7" t="s">
        <v>4885</v>
      </c>
      <c r="I1795" s="9">
        <v>45349</v>
      </c>
    </row>
    <row r="1796" spans="1:9" ht="27" x14ac:dyDescent="0.15">
      <c r="A1796" s="6">
        <v>1795</v>
      </c>
      <c r="B1796" s="7" t="s">
        <v>8</v>
      </c>
      <c r="C1796" s="8">
        <v>1887</v>
      </c>
      <c r="D1796" s="9">
        <v>45425</v>
      </c>
      <c r="E1796" s="13" t="str">
        <f>+HYPERLINK("http://trademark.i-assist.jp/data/china/image_1887th/76985613.pdf","76985613")</f>
        <v>76985613</v>
      </c>
      <c r="F1796" s="7" t="s">
        <v>4886</v>
      </c>
      <c r="G1796" s="7" t="s">
        <v>4887</v>
      </c>
      <c r="H1796" s="7" t="s">
        <v>4888</v>
      </c>
      <c r="I1796" s="9">
        <v>45349</v>
      </c>
    </row>
    <row r="1797" spans="1:9" x14ac:dyDescent="0.15">
      <c r="A1797" s="6">
        <v>1796</v>
      </c>
      <c r="B1797" s="7" t="s">
        <v>8</v>
      </c>
      <c r="C1797" s="8">
        <v>1887</v>
      </c>
      <c r="D1797" s="9">
        <v>45425</v>
      </c>
      <c r="E1797" s="13" t="str">
        <f>+HYPERLINK("http://trademark.i-assist.jp/data/china/image_1887th/76985679.pdf","76985679")</f>
        <v>76985679</v>
      </c>
      <c r="F1797" s="7" t="s">
        <v>4889</v>
      </c>
      <c r="G1797" s="7" t="s">
        <v>4648</v>
      </c>
      <c r="H1797" s="7" t="s">
        <v>4890</v>
      </c>
      <c r="I1797" s="9">
        <v>45349</v>
      </c>
    </row>
    <row r="1798" spans="1:9" x14ac:dyDescent="0.15">
      <c r="A1798" s="6">
        <v>1797</v>
      </c>
      <c r="B1798" s="7" t="s">
        <v>8</v>
      </c>
      <c r="C1798" s="8">
        <v>1887</v>
      </c>
      <c r="D1798" s="9">
        <v>45425</v>
      </c>
      <c r="E1798" s="13" t="str">
        <f>+HYPERLINK("http://trademark.i-assist.jp/data/china/image_1887th/76985689.pdf","76985689")</f>
        <v>76985689</v>
      </c>
      <c r="F1798" s="7" t="s">
        <v>4891</v>
      </c>
      <c r="G1798" s="7" t="s">
        <v>4741</v>
      </c>
      <c r="H1798" s="7" t="s">
        <v>4892</v>
      </c>
      <c r="I1798" s="9">
        <v>45349</v>
      </c>
    </row>
    <row r="1799" spans="1:9" x14ac:dyDescent="0.15">
      <c r="A1799" s="6">
        <v>1798</v>
      </c>
      <c r="B1799" s="7" t="s">
        <v>8</v>
      </c>
      <c r="C1799" s="8">
        <v>1887</v>
      </c>
      <c r="D1799" s="9">
        <v>45425</v>
      </c>
      <c r="E1799" s="13" t="str">
        <f>+HYPERLINK("http://trademark.i-assist.jp/data/china/image_1887th/76985847.pdf","76985847")</f>
        <v>76985847</v>
      </c>
      <c r="F1799" s="7" t="s">
        <v>4893</v>
      </c>
      <c r="G1799" s="7" t="s">
        <v>4894</v>
      </c>
      <c r="H1799" s="7" t="s">
        <v>4895</v>
      </c>
      <c r="I1799" s="9">
        <v>45349</v>
      </c>
    </row>
    <row r="1800" spans="1:9" ht="27" x14ac:dyDescent="0.15">
      <c r="A1800" s="6">
        <v>1799</v>
      </c>
      <c r="B1800" s="7" t="s">
        <v>8</v>
      </c>
      <c r="C1800" s="8">
        <v>1887</v>
      </c>
      <c r="D1800" s="9">
        <v>45425</v>
      </c>
      <c r="E1800" s="13" t="str">
        <f>+HYPERLINK("http://trademark.i-assist.jp/data/china/image_1887th/76985890.pdf","76985890")</f>
        <v>76985890</v>
      </c>
      <c r="F1800" s="7" t="s">
        <v>4896</v>
      </c>
      <c r="G1800" s="7" t="s">
        <v>4563</v>
      </c>
      <c r="H1800" s="7" t="s">
        <v>4897</v>
      </c>
      <c r="I1800" s="9">
        <v>45349</v>
      </c>
    </row>
    <row r="1801" spans="1:9" ht="27" x14ac:dyDescent="0.15">
      <c r="A1801" s="6">
        <v>1800</v>
      </c>
      <c r="B1801" s="7" t="s">
        <v>8</v>
      </c>
      <c r="C1801" s="8">
        <v>1887</v>
      </c>
      <c r="D1801" s="9">
        <v>45425</v>
      </c>
      <c r="E1801" s="13" t="str">
        <f>+HYPERLINK("http://trademark.i-assist.jp/data/china/image_1887th/76985940.pdf","76985940")</f>
        <v>76985940</v>
      </c>
      <c r="F1801" s="7" t="s">
        <v>54</v>
      </c>
      <c r="G1801" s="7" t="s">
        <v>4563</v>
      </c>
      <c r="H1801" s="7" t="s">
        <v>4898</v>
      </c>
      <c r="I1801" s="9">
        <v>45349</v>
      </c>
    </row>
    <row r="1802" spans="1:9" x14ac:dyDescent="0.15">
      <c r="A1802" s="6">
        <v>1801</v>
      </c>
      <c r="B1802" s="7" t="s">
        <v>8</v>
      </c>
      <c r="C1802" s="8">
        <v>1887</v>
      </c>
      <c r="D1802" s="9">
        <v>45425</v>
      </c>
      <c r="E1802" s="13" t="str">
        <f>+HYPERLINK("http://trademark.i-assist.jp/data/china/image_1887th/76986176.pdf","76986176")</f>
        <v>76986176</v>
      </c>
      <c r="F1802" s="7" t="s">
        <v>4899</v>
      </c>
      <c r="G1802" s="7" t="s">
        <v>4900</v>
      </c>
      <c r="H1802" s="7" t="s">
        <v>4901</v>
      </c>
      <c r="I1802" s="9">
        <v>45349</v>
      </c>
    </row>
    <row r="1803" spans="1:9" x14ac:dyDescent="0.15">
      <c r="A1803" s="6">
        <v>1802</v>
      </c>
      <c r="B1803" s="7" t="s">
        <v>8</v>
      </c>
      <c r="C1803" s="8">
        <v>1887</v>
      </c>
      <c r="D1803" s="9">
        <v>45425</v>
      </c>
      <c r="E1803" s="13" t="str">
        <f>+HYPERLINK("http://trademark.i-assist.jp/data/china/image_1887th/76986254.pdf","76986254")</f>
        <v>76986254</v>
      </c>
      <c r="F1803" s="7" t="s">
        <v>4902</v>
      </c>
      <c r="G1803" s="7" t="s">
        <v>4903</v>
      </c>
      <c r="H1803" s="7" t="s">
        <v>4904</v>
      </c>
      <c r="I1803" s="9">
        <v>45349</v>
      </c>
    </row>
    <row r="1804" spans="1:9" x14ac:dyDescent="0.15">
      <c r="A1804" s="6">
        <v>1803</v>
      </c>
      <c r="B1804" s="7" t="s">
        <v>8</v>
      </c>
      <c r="C1804" s="8">
        <v>1887</v>
      </c>
      <c r="D1804" s="9">
        <v>45425</v>
      </c>
      <c r="E1804" s="13" t="str">
        <f>+HYPERLINK("http://trademark.i-assist.jp/data/china/image_1887th/76986364.pdf","76986364")</f>
        <v>76986364</v>
      </c>
      <c r="F1804" s="7" t="s">
        <v>4905</v>
      </c>
      <c r="G1804" s="7" t="s">
        <v>4775</v>
      </c>
      <c r="H1804" s="7" t="s">
        <v>4906</v>
      </c>
      <c r="I1804" s="9">
        <v>45349</v>
      </c>
    </row>
    <row r="1805" spans="1:9" x14ac:dyDescent="0.15">
      <c r="A1805" s="6">
        <v>1804</v>
      </c>
      <c r="B1805" s="7" t="s">
        <v>8</v>
      </c>
      <c r="C1805" s="8">
        <v>1887</v>
      </c>
      <c r="D1805" s="9">
        <v>45425</v>
      </c>
      <c r="E1805" s="13" t="str">
        <f>+HYPERLINK("http://trademark.i-assist.jp/data/china/image_1887th/76986428.pdf","76986428")</f>
        <v>76986428</v>
      </c>
      <c r="F1805" s="7" t="s">
        <v>4907</v>
      </c>
      <c r="G1805" s="7" t="s">
        <v>4908</v>
      </c>
      <c r="H1805" s="7" t="s">
        <v>4909</v>
      </c>
      <c r="I1805" s="9">
        <v>45349</v>
      </c>
    </row>
    <row r="1806" spans="1:9" x14ac:dyDescent="0.15">
      <c r="A1806" s="6">
        <v>1805</v>
      </c>
      <c r="B1806" s="7" t="s">
        <v>8</v>
      </c>
      <c r="C1806" s="8">
        <v>1887</v>
      </c>
      <c r="D1806" s="9">
        <v>45425</v>
      </c>
      <c r="E1806" s="13" t="str">
        <f>+HYPERLINK("http://trademark.i-assist.jp/data/china/image_1887th/76986495.pdf","76986495")</f>
        <v>76986495</v>
      </c>
      <c r="F1806" s="7" t="s">
        <v>4910</v>
      </c>
      <c r="G1806" s="7" t="s">
        <v>4911</v>
      </c>
      <c r="H1806" s="7" t="s">
        <v>4912</v>
      </c>
      <c r="I1806" s="9">
        <v>45349</v>
      </c>
    </row>
    <row r="1807" spans="1:9" x14ac:dyDescent="0.15">
      <c r="A1807" s="6">
        <v>1806</v>
      </c>
      <c r="B1807" s="7" t="s">
        <v>8</v>
      </c>
      <c r="C1807" s="8">
        <v>1887</v>
      </c>
      <c r="D1807" s="9">
        <v>45425</v>
      </c>
      <c r="E1807" s="13" t="str">
        <f>+HYPERLINK("http://trademark.i-assist.jp/data/china/image_1887th/76986498.pdf","76986498")</f>
        <v>76986498</v>
      </c>
      <c r="F1807" s="7" t="s">
        <v>4913</v>
      </c>
      <c r="G1807" s="7" t="s">
        <v>4679</v>
      </c>
      <c r="H1807" s="7" t="s">
        <v>4914</v>
      </c>
      <c r="I1807" s="9">
        <v>45349</v>
      </c>
    </row>
    <row r="1808" spans="1:9" x14ac:dyDescent="0.15">
      <c r="A1808" s="6">
        <v>1807</v>
      </c>
      <c r="B1808" s="7" t="s">
        <v>8</v>
      </c>
      <c r="C1808" s="8">
        <v>1887</v>
      </c>
      <c r="D1808" s="9">
        <v>45425</v>
      </c>
      <c r="E1808" s="13" t="str">
        <f>+HYPERLINK("http://trademark.i-assist.jp/data/china/image_1887th/76987009.pdf","76987009")</f>
        <v>76987009</v>
      </c>
      <c r="F1808" s="7" t="s">
        <v>4915</v>
      </c>
      <c r="G1808" s="7" t="s">
        <v>4916</v>
      </c>
      <c r="H1808" s="7" t="s">
        <v>4917</v>
      </c>
      <c r="I1808" s="9">
        <v>45349</v>
      </c>
    </row>
    <row r="1809" spans="1:9" ht="27" x14ac:dyDescent="0.15">
      <c r="A1809" s="6">
        <v>1808</v>
      </c>
      <c r="B1809" s="7" t="s">
        <v>8</v>
      </c>
      <c r="C1809" s="8">
        <v>1887</v>
      </c>
      <c r="D1809" s="9">
        <v>45425</v>
      </c>
      <c r="E1809" s="13" t="str">
        <f>+HYPERLINK("http://trademark.i-assist.jp/data/china/image_1887th/76987050.pdf","76987050")</f>
        <v>76987050</v>
      </c>
      <c r="F1809" s="7" t="s">
        <v>4918</v>
      </c>
      <c r="G1809" s="7" t="s">
        <v>4563</v>
      </c>
      <c r="H1809" s="7" t="s">
        <v>4919</v>
      </c>
      <c r="I1809" s="9">
        <v>45349</v>
      </c>
    </row>
    <row r="1810" spans="1:9" x14ac:dyDescent="0.15">
      <c r="A1810" s="6">
        <v>1809</v>
      </c>
      <c r="B1810" s="7" t="s">
        <v>8</v>
      </c>
      <c r="C1810" s="8">
        <v>1887</v>
      </c>
      <c r="D1810" s="9">
        <v>45425</v>
      </c>
      <c r="E1810" s="13" t="str">
        <f>+HYPERLINK("http://trademark.i-assist.jp/data/china/image_1887th/76987106.pdf","76987106")</f>
        <v>76987106</v>
      </c>
      <c r="F1810" s="7" t="s">
        <v>4920</v>
      </c>
      <c r="G1810" s="7" t="s">
        <v>4921</v>
      </c>
      <c r="H1810" s="7" t="s">
        <v>4922</v>
      </c>
      <c r="I1810" s="9">
        <v>45349</v>
      </c>
    </row>
    <row r="1811" spans="1:9" ht="27" x14ac:dyDescent="0.15">
      <c r="A1811" s="6">
        <v>1810</v>
      </c>
      <c r="B1811" s="7" t="s">
        <v>8</v>
      </c>
      <c r="C1811" s="8">
        <v>1887</v>
      </c>
      <c r="D1811" s="9">
        <v>45425</v>
      </c>
      <c r="E1811" s="13" t="str">
        <f>+HYPERLINK("http://trademark.i-assist.jp/data/china/image_1887th/76987451.pdf","76987451")</f>
        <v>76987451</v>
      </c>
      <c r="F1811" s="7" t="s">
        <v>4923</v>
      </c>
      <c r="G1811" s="7" t="s">
        <v>4924</v>
      </c>
      <c r="H1811" s="7" t="s">
        <v>4925</v>
      </c>
      <c r="I1811" s="9">
        <v>45349</v>
      </c>
    </row>
    <row r="1812" spans="1:9" x14ac:dyDescent="0.15">
      <c r="A1812" s="6">
        <v>1811</v>
      </c>
      <c r="B1812" s="7" t="s">
        <v>8</v>
      </c>
      <c r="C1812" s="8">
        <v>1887</v>
      </c>
      <c r="D1812" s="9">
        <v>45425</v>
      </c>
      <c r="E1812" s="13" t="str">
        <f>+HYPERLINK("http://trademark.i-assist.jp/data/china/image_1887th/76988203.pdf","76988203")</f>
        <v>76988203</v>
      </c>
      <c r="F1812" s="7" t="s">
        <v>4926</v>
      </c>
      <c r="G1812" s="7" t="s">
        <v>4927</v>
      </c>
      <c r="H1812" s="7" t="s">
        <v>4928</v>
      </c>
      <c r="I1812" s="9">
        <v>45349</v>
      </c>
    </row>
    <row r="1813" spans="1:9" x14ac:dyDescent="0.15">
      <c r="A1813" s="6">
        <v>1812</v>
      </c>
      <c r="B1813" s="7" t="s">
        <v>8</v>
      </c>
      <c r="C1813" s="8">
        <v>1887</v>
      </c>
      <c r="D1813" s="9">
        <v>45425</v>
      </c>
      <c r="E1813" s="13" t="str">
        <f>+HYPERLINK("http://trademark.i-assist.jp/data/china/image_1887th/76988216.pdf","76988216")</f>
        <v>76988216</v>
      </c>
      <c r="F1813" s="7" t="s">
        <v>4929</v>
      </c>
      <c r="G1813" s="7" t="s">
        <v>4930</v>
      </c>
      <c r="H1813" s="7" t="s">
        <v>4931</v>
      </c>
      <c r="I1813" s="9">
        <v>45349</v>
      </c>
    </row>
    <row r="1814" spans="1:9" x14ac:dyDescent="0.15">
      <c r="A1814" s="6">
        <v>1813</v>
      </c>
      <c r="B1814" s="7" t="s">
        <v>8</v>
      </c>
      <c r="C1814" s="8">
        <v>1887</v>
      </c>
      <c r="D1814" s="9">
        <v>45425</v>
      </c>
      <c r="E1814" s="13" t="str">
        <f>+HYPERLINK("http://trademark.i-assist.jp/data/china/image_1887th/76988469.pdf","76988469")</f>
        <v>76988469</v>
      </c>
      <c r="F1814" s="7" t="s">
        <v>4932</v>
      </c>
      <c r="G1814" s="7" t="s">
        <v>4933</v>
      </c>
      <c r="H1814" s="7" t="s">
        <v>4934</v>
      </c>
      <c r="I1814" s="9">
        <v>45349</v>
      </c>
    </row>
    <row r="1815" spans="1:9" x14ac:dyDescent="0.15">
      <c r="A1815" s="6">
        <v>1814</v>
      </c>
      <c r="B1815" s="7" t="s">
        <v>8</v>
      </c>
      <c r="C1815" s="8">
        <v>1887</v>
      </c>
      <c r="D1815" s="9">
        <v>45425</v>
      </c>
      <c r="E1815" s="13" t="str">
        <f>+HYPERLINK("http://trademark.i-assist.jp/data/china/image_1887th/76988602.pdf","76988602")</f>
        <v>76988602</v>
      </c>
      <c r="F1815" s="7" t="s">
        <v>4935</v>
      </c>
      <c r="G1815" s="7" t="s">
        <v>4936</v>
      </c>
      <c r="H1815" s="7" t="s">
        <v>4937</v>
      </c>
      <c r="I1815" s="9">
        <v>45349</v>
      </c>
    </row>
    <row r="1816" spans="1:9" x14ac:dyDescent="0.15">
      <c r="A1816" s="6">
        <v>1815</v>
      </c>
      <c r="B1816" s="7" t="s">
        <v>8</v>
      </c>
      <c r="C1816" s="8">
        <v>1887</v>
      </c>
      <c r="D1816" s="9">
        <v>45425</v>
      </c>
      <c r="E1816" s="13" t="str">
        <f>+HYPERLINK("http://trademark.i-assist.jp/data/china/image_1887th/76989295.pdf","76989295")</f>
        <v>76989295</v>
      </c>
      <c r="F1816" s="7" t="s">
        <v>4938</v>
      </c>
      <c r="G1816" s="7" t="s">
        <v>4939</v>
      </c>
      <c r="H1816" s="7" t="s">
        <v>4940</v>
      </c>
      <c r="I1816" s="9">
        <v>45349</v>
      </c>
    </row>
    <row r="1817" spans="1:9" ht="27" x14ac:dyDescent="0.15">
      <c r="A1817" s="6">
        <v>1816</v>
      </c>
      <c r="B1817" s="7" t="s">
        <v>8</v>
      </c>
      <c r="C1817" s="8">
        <v>1887</v>
      </c>
      <c r="D1817" s="9">
        <v>45425</v>
      </c>
      <c r="E1817" s="13" t="str">
        <f>+HYPERLINK("http://trademark.i-assist.jp/data/china/image_1887th/76989307.pdf","76989307")</f>
        <v>76989307</v>
      </c>
      <c r="F1817" s="7" t="s">
        <v>4941</v>
      </c>
      <c r="G1817" s="7" t="s">
        <v>4942</v>
      </c>
      <c r="H1817" s="7" t="s">
        <v>4943</v>
      </c>
      <c r="I1817" s="9">
        <v>45349</v>
      </c>
    </row>
    <row r="1818" spans="1:9" x14ac:dyDescent="0.15">
      <c r="A1818" s="6">
        <v>1817</v>
      </c>
      <c r="B1818" s="7" t="s">
        <v>8</v>
      </c>
      <c r="C1818" s="8">
        <v>1887</v>
      </c>
      <c r="D1818" s="9">
        <v>45425</v>
      </c>
      <c r="E1818" s="13" t="str">
        <f>+HYPERLINK("http://trademark.i-assist.jp/data/china/image_1887th/76989557.pdf","76989557")</f>
        <v>76989557</v>
      </c>
      <c r="F1818" s="7">
        <v>1</v>
      </c>
      <c r="G1818" s="7" t="s">
        <v>4944</v>
      </c>
      <c r="H1818" s="7" t="s">
        <v>4945</v>
      </c>
      <c r="I1818" s="9">
        <v>45349</v>
      </c>
    </row>
    <row r="1819" spans="1:9" ht="27" x14ac:dyDescent="0.15">
      <c r="A1819" s="6">
        <v>1818</v>
      </c>
      <c r="B1819" s="7" t="s">
        <v>8</v>
      </c>
      <c r="C1819" s="8">
        <v>1887</v>
      </c>
      <c r="D1819" s="9">
        <v>45425</v>
      </c>
      <c r="E1819" s="13" t="str">
        <f>+HYPERLINK("http://trademark.i-assist.jp/data/china/image_1887th/76989613.pdf","76989613")</f>
        <v>76989613</v>
      </c>
      <c r="F1819" s="7" t="s">
        <v>4946</v>
      </c>
      <c r="G1819" s="7" t="s">
        <v>4947</v>
      </c>
      <c r="H1819" s="7" t="s">
        <v>4948</v>
      </c>
      <c r="I1819" s="9">
        <v>45349</v>
      </c>
    </row>
    <row r="1820" spans="1:9" x14ac:dyDescent="0.15">
      <c r="A1820" s="6">
        <v>1819</v>
      </c>
      <c r="B1820" s="7" t="s">
        <v>8</v>
      </c>
      <c r="C1820" s="8">
        <v>1887</v>
      </c>
      <c r="D1820" s="9">
        <v>45425</v>
      </c>
      <c r="E1820" s="13" t="str">
        <f>+HYPERLINK("http://trademark.i-assist.jp/data/china/image_1887th/76989874.pdf","76989874")</f>
        <v>76989874</v>
      </c>
      <c r="F1820" s="7" t="s">
        <v>4949</v>
      </c>
      <c r="G1820" s="7" t="s">
        <v>4723</v>
      </c>
      <c r="H1820" s="7" t="s">
        <v>349</v>
      </c>
      <c r="I1820" s="9">
        <v>45349</v>
      </c>
    </row>
    <row r="1821" spans="1:9" x14ac:dyDescent="0.15">
      <c r="A1821" s="6">
        <v>1820</v>
      </c>
      <c r="B1821" s="7" t="s">
        <v>8</v>
      </c>
      <c r="C1821" s="8">
        <v>1887</v>
      </c>
      <c r="D1821" s="9">
        <v>45425</v>
      </c>
      <c r="E1821" s="13" t="str">
        <f>+HYPERLINK("http://trademark.i-assist.jp/data/china/image_1887th/76989894.pdf","76989894")</f>
        <v>76989894</v>
      </c>
      <c r="F1821" s="7" t="s">
        <v>4950</v>
      </c>
      <c r="G1821" s="7" t="s">
        <v>4951</v>
      </c>
      <c r="H1821" s="7" t="s">
        <v>4952</v>
      </c>
      <c r="I1821" s="9">
        <v>45349</v>
      </c>
    </row>
    <row r="1822" spans="1:9" ht="27" x14ac:dyDescent="0.15">
      <c r="A1822" s="6">
        <v>1821</v>
      </c>
      <c r="B1822" s="7" t="s">
        <v>8</v>
      </c>
      <c r="C1822" s="8">
        <v>1887</v>
      </c>
      <c r="D1822" s="9">
        <v>45425</v>
      </c>
      <c r="E1822" s="13" t="str">
        <f>+HYPERLINK("http://trademark.i-assist.jp/data/china/image_1887th/76990223.pdf","76990223")</f>
        <v>76990223</v>
      </c>
      <c r="F1822" s="7" t="s">
        <v>4953</v>
      </c>
      <c r="G1822" s="7" t="s">
        <v>4563</v>
      </c>
      <c r="H1822" s="7" t="s">
        <v>4954</v>
      </c>
      <c r="I1822" s="9">
        <v>45349</v>
      </c>
    </row>
    <row r="1823" spans="1:9" ht="27" x14ac:dyDescent="0.15">
      <c r="A1823" s="6">
        <v>1822</v>
      </c>
      <c r="B1823" s="7" t="s">
        <v>8</v>
      </c>
      <c r="C1823" s="8">
        <v>1887</v>
      </c>
      <c r="D1823" s="9">
        <v>45425</v>
      </c>
      <c r="E1823" s="13" t="str">
        <f>+HYPERLINK("http://trademark.i-assist.jp/data/china/image_1887th/76990244.pdf","76990244")</f>
        <v>76990244</v>
      </c>
      <c r="F1823" s="7" t="s">
        <v>4955</v>
      </c>
      <c r="G1823" s="7" t="s">
        <v>4956</v>
      </c>
      <c r="H1823" s="7" t="s">
        <v>4957</v>
      </c>
      <c r="I1823" s="9">
        <v>45349</v>
      </c>
    </row>
    <row r="1824" spans="1:9" ht="27" x14ac:dyDescent="0.15">
      <c r="A1824" s="6">
        <v>1823</v>
      </c>
      <c r="B1824" s="7" t="s">
        <v>8</v>
      </c>
      <c r="C1824" s="8">
        <v>1887</v>
      </c>
      <c r="D1824" s="9">
        <v>45425</v>
      </c>
      <c r="E1824" s="13" t="str">
        <f>+HYPERLINK("http://trademark.i-assist.jp/data/china/image_1887th/76990247.pdf","76990247")</f>
        <v>76990247</v>
      </c>
      <c r="F1824" s="7" t="s">
        <v>4958</v>
      </c>
      <c r="G1824" s="7" t="s">
        <v>4956</v>
      </c>
      <c r="H1824" s="7" t="s">
        <v>4959</v>
      </c>
      <c r="I1824" s="9">
        <v>45349</v>
      </c>
    </row>
    <row r="1825" spans="1:9" ht="27" x14ac:dyDescent="0.15">
      <c r="A1825" s="6">
        <v>1824</v>
      </c>
      <c r="B1825" s="7" t="s">
        <v>8</v>
      </c>
      <c r="C1825" s="8">
        <v>1887</v>
      </c>
      <c r="D1825" s="9">
        <v>45425</v>
      </c>
      <c r="E1825" s="13" t="str">
        <f>+HYPERLINK("http://trademark.i-assist.jp/data/china/image_1887th/76990249.pdf","76990249")</f>
        <v>76990249</v>
      </c>
      <c r="F1825" s="7" t="s">
        <v>4960</v>
      </c>
      <c r="G1825" s="7" t="s">
        <v>4563</v>
      </c>
      <c r="H1825" s="7" t="s">
        <v>4961</v>
      </c>
      <c r="I1825" s="9">
        <v>45349</v>
      </c>
    </row>
    <row r="1826" spans="1:9" ht="27" x14ac:dyDescent="0.15">
      <c r="A1826" s="6">
        <v>1825</v>
      </c>
      <c r="B1826" s="7" t="s">
        <v>8</v>
      </c>
      <c r="C1826" s="8">
        <v>1887</v>
      </c>
      <c r="D1826" s="9">
        <v>45425</v>
      </c>
      <c r="E1826" s="13" t="str">
        <f>+HYPERLINK("http://trademark.i-assist.jp/data/china/image_1887th/76990283.pdf","76990283")</f>
        <v>76990283</v>
      </c>
      <c r="F1826" s="7" t="s">
        <v>54</v>
      </c>
      <c r="G1826" s="7" t="s">
        <v>4563</v>
      </c>
      <c r="H1826" s="7" t="s">
        <v>4962</v>
      </c>
      <c r="I1826" s="9">
        <v>45349</v>
      </c>
    </row>
    <row r="1827" spans="1:9" ht="27" x14ac:dyDescent="0.15">
      <c r="A1827" s="6">
        <v>1826</v>
      </c>
      <c r="B1827" s="7" t="s">
        <v>8</v>
      </c>
      <c r="C1827" s="8">
        <v>1887</v>
      </c>
      <c r="D1827" s="9">
        <v>45425</v>
      </c>
      <c r="E1827" s="13" t="str">
        <f>+HYPERLINK("http://trademark.i-assist.jp/data/china/image_1887th/76990300.pdf","76990300")</f>
        <v>76990300</v>
      </c>
      <c r="F1827" s="7" t="s">
        <v>54</v>
      </c>
      <c r="G1827" s="7" t="s">
        <v>4563</v>
      </c>
      <c r="H1827" s="7" t="s">
        <v>4963</v>
      </c>
      <c r="I1827" s="9">
        <v>45349</v>
      </c>
    </row>
    <row r="1828" spans="1:9" x14ac:dyDescent="0.15">
      <c r="A1828" s="6">
        <v>1827</v>
      </c>
      <c r="B1828" s="7" t="s">
        <v>8</v>
      </c>
      <c r="C1828" s="8">
        <v>1887</v>
      </c>
      <c r="D1828" s="9">
        <v>45425</v>
      </c>
      <c r="E1828" s="13" t="str">
        <f>+HYPERLINK("http://trademark.i-assist.jp/data/china/image_1887th/76990510.pdf","76990510")</f>
        <v>76990510</v>
      </c>
      <c r="F1828" s="7" t="s">
        <v>4964</v>
      </c>
      <c r="G1828" s="7" t="s">
        <v>2165</v>
      </c>
      <c r="H1828" s="7" t="s">
        <v>4965</v>
      </c>
      <c r="I1828" s="9">
        <v>45349</v>
      </c>
    </row>
    <row r="1829" spans="1:9" x14ac:dyDescent="0.15">
      <c r="A1829" s="6">
        <v>1828</v>
      </c>
      <c r="B1829" s="7" t="s">
        <v>8</v>
      </c>
      <c r="C1829" s="8">
        <v>1887</v>
      </c>
      <c r="D1829" s="9">
        <v>45425</v>
      </c>
      <c r="E1829" s="13" t="str">
        <f>+HYPERLINK("http://trademark.i-assist.jp/data/china/image_1887th/76990523.pdf","76990523")</f>
        <v>76990523</v>
      </c>
      <c r="F1829" s="7" t="s">
        <v>4966</v>
      </c>
      <c r="G1829" s="7" t="s">
        <v>4967</v>
      </c>
      <c r="H1829" s="7" t="s">
        <v>4968</v>
      </c>
      <c r="I1829" s="9">
        <v>45349</v>
      </c>
    </row>
    <row r="1830" spans="1:9" ht="27" x14ac:dyDescent="0.15">
      <c r="A1830" s="6">
        <v>1829</v>
      </c>
      <c r="B1830" s="7" t="s">
        <v>8</v>
      </c>
      <c r="C1830" s="8">
        <v>1887</v>
      </c>
      <c r="D1830" s="9">
        <v>45425</v>
      </c>
      <c r="E1830" s="13" t="str">
        <f>+HYPERLINK("http://trademark.i-assist.jp/data/china/image_1887th/76990893.pdf","76990893")</f>
        <v>76990893</v>
      </c>
      <c r="F1830" s="7" t="s">
        <v>4969</v>
      </c>
      <c r="G1830" s="7" t="s">
        <v>4970</v>
      </c>
      <c r="H1830" s="7" t="s">
        <v>4971</v>
      </c>
      <c r="I1830" s="9">
        <v>45349</v>
      </c>
    </row>
    <row r="1831" spans="1:9" x14ac:dyDescent="0.15">
      <c r="A1831" s="6">
        <v>1830</v>
      </c>
      <c r="B1831" s="7" t="s">
        <v>8</v>
      </c>
      <c r="C1831" s="8">
        <v>1887</v>
      </c>
      <c r="D1831" s="9">
        <v>45425</v>
      </c>
      <c r="E1831" s="13" t="str">
        <f>+HYPERLINK("http://trademark.i-assist.jp/data/china/image_1887th/76990939.pdf","76990939")</f>
        <v>76990939</v>
      </c>
      <c r="F1831" s="7" t="s">
        <v>4972</v>
      </c>
      <c r="G1831" s="7" t="s">
        <v>4648</v>
      </c>
      <c r="H1831" s="7" t="s">
        <v>4973</v>
      </c>
      <c r="I1831" s="9">
        <v>45349</v>
      </c>
    </row>
    <row r="1832" spans="1:9" x14ac:dyDescent="0.15">
      <c r="A1832" s="6">
        <v>1831</v>
      </c>
      <c r="B1832" s="7" t="s">
        <v>8</v>
      </c>
      <c r="C1832" s="8">
        <v>1887</v>
      </c>
      <c r="D1832" s="9">
        <v>45425</v>
      </c>
      <c r="E1832" s="13" t="str">
        <f>+HYPERLINK("http://trademark.i-assist.jp/data/china/image_1887th/76991063.pdf","76991063")</f>
        <v>76991063</v>
      </c>
      <c r="F1832" s="7" t="s">
        <v>4974</v>
      </c>
      <c r="G1832" s="7" t="s">
        <v>4975</v>
      </c>
      <c r="H1832" s="7" t="s">
        <v>4976</v>
      </c>
      <c r="I1832" s="9">
        <v>45349</v>
      </c>
    </row>
    <row r="1833" spans="1:9" x14ac:dyDescent="0.15">
      <c r="A1833" s="6">
        <v>1832</v>
      </c>
      <c r="B1833" s="7" t="s">
        <v>8</v>
      </c>
      <c r="C1833" s="8">
        <v>1887</v>
      </c>
      <c r="D1833" s="9">
        <v>45425</v>
      </c>
      <c r="E1833" s="13" t="str">
        <f>+HYPERLINK("http://trademark.i-assist.jp/data/china/image_1887th/76991175.pdf","76991175")</f>
        <v>76991175</v>
      </c>
      <c r="F1833" s="7" t="s">
        <v>4977</v>
      </c>
      <c r="G1833" s="7" t="s">
        <v>4760</v>
      </c>
      <c r="H1833" s="7" t="s">
        <v>4978</v>
      </c>
      <c r="I1833" s="9">
        <v>45349</v>
      </c>
    </row>
    <row r="1834" spans="1:9" ht="27" x14ac:dyDescent="0.15">
      <c r="A1834" s="6">
        <v>1833</v>
      </c>
      <c r="B1834" s="7" t="s">
        <v>8</v>
      </c>
      <c r="C1834" s="8">
        <v>1887</v>
      </c>
      <c r="D1834" s="9">
        <v>45425</v>
      </c>
      <c r="E1834" s="13" t="str">
        <f>+HYPERLINK("http://trademark.i-assist.jp/data/china/image_1887th/76991393.pdf","76991393")</f>
        <v>76991393</v>
      </c>
      <c r="F1834" s="7" t="s">
        <v>54</v>
      </c>
      <c r="G1834" s="7" t="s">
        <v>4979</v>
      </c>
      <c r="H1834" s="7" t="s">
        <v>4980</v>
      </c>
      <c r="I1834" s="9">
        <v>45349</v>
      </c>
    </row>
    <row r="1835" spans="1:9" x14ac:dyDescent="0.15">
      <c r="A1835" s="6">
        <v>1834</v>
      </c>
      <c r="B1835" s="7" t="s">
        <v>8</v>
      </c>
      <c r="C1835" s="8">
        <v>1887</v>
      </c>
      <c r="D1835" s="9">
        <v>45425</v>
      </c>
      <c r="E1835" s="13" t="str">
        <f>+HYPERLINK("http://trademark.i-assist.jp/data/china/image_1887th/76992200.pdf","76992200")</f>
        <v>76992200</v>
      </c>
      <c r="F1835" s="7" t="s">
        <v>4981</v>
      </c>
      <c r="G1835" s="7" t="s">
        <v>4982</v>
      </c>
      <c r="H1835" s="7" t="s">
        <v>4983</v>
      </c>
      <c r="I1835" s="9">
        <v>45349</v>
      </c>
    </row>
    <row r="1836" spans="1:9" x14ac:dyDescent="0.15">
      <c r="A1836" s="6">
        <v>1835</v>
      </c>
      <c r="B1836" s="7" t="s">
        <v>8</v>
      </c>
      <c r="C1836" s="8">
        <v>1887</v>
      </c>
      <c r="D1836" s="9">
        <v>45425</v>
      </c>
      <c r="E1836" s="13" t="str">
        <f>+HYPERLINK("http://trademark.i-assist.jp/data/china/image_1887th/76992462.pdf","76992462")</f>
        <v>76992462</v>
      </c>
      <c r="F1836" s="7" t="s">
        <v>4984</v>
      </c>
      <c r="G1836" s="7" t="s">
        <v>4985</v>
      </c>
      <c r="H1836" s="7" t="s">
        <v>4986</v>
      </c>
      <c r="I1836" s="9">
        <v>45350</v>
      </c>
    </row>
    <row r="1837" spans="1:9" x14ac:dyDescent="0.15">
      <c r="A1837" s="6">
        <v>1836</v>
      </c>
      <c r="B1837" s="7" t="s">
        <v>8</v>
      </c>
      <c r="C1837" s="8">
        <v>1887</v>
      </c>
      <c r="D1837" s="9">
        <v>45425</v>
      </c>
      <c r="E1837" s="13" t="str">
        <f>+HYPERLINK("http://trademark.i-assist.jp/data/china/image_1887th/76992464.pdf","76992464")</f>
        <v>76992464</v>
      </c>
      <c r="F1837" s="7" t="s">
        <v>4987</v>
      </c>
      <c r="G1837" s="7" t="s">
        <v>4988</v>
      </c>
      <c r="H1837" s="7" t="s">
        <v>4989</v>
      </c>
      <c r="I1837" s="9">
        <v>45350</v>
      </c>
    </row>
    <row r="1838" spans="1:9" x14ac:dyDescent="0.15">
      <c r="A1838" s="6">
        <v>1837</v>
      </c>
      <c r="B1838" s="7" t="s">
        <v>8</v>
      </c>
      <c r="C1838" s="8">
        <v>1887</v>
      </c>
      <c r="D1838" s="9">
        <v>45425</v>
      </c>
      <c r="E1838" s="13" t="str">
        <f>+HYPERLINK("http://trademark.i-assist.jp/data/china/image_1887th/76992589.pdf","76992589")</f>
        <v>76992589</v>
      </c>
      <c r="F1838" s="7" t="s">
        <v>4990</v>
      </c>
      <c r="G1838" s="7" t="s">
        <v>4991</v>
      </c>
      <c r="H1838" s="7" t="s">
        <v>4992</v>
      </c>
      <c r="I1838" s="9">
        <v>45350</v>
      </c>
    </row>
    <row r="1839" spans="1:9" x14ac:dyDescent="0.15">
      <c r="A1839" s="6">
        <v>1838</v>
      </c>
      <c r="B1839" s="7" t="s">
        <v>8</v>
      </c>
      <c r="C1839" s="8">
        <v>1887</v>
      </c>
      <c r="D1839" s="9">
        <v>45425</v>
      </c>
      <c r="E1839" s="13" t="str">
        <f>+HYPERLINK("http://trademark.i-assist.jp/data/china/image_1887th/76992690.pdf","76992690")</f>
        <v>76992690</v>
      </c>
      <c r="F1839" s="7" t="s">
        <v>4993</v>
      </c>
      <c r="G1839" s="7" t="s">
        <v>4994</v>
      </c>
      <c r="H1839" s="7" t="s">
        <v>4995</v>
      </c>
      <c r="I1839" s="9">
        <v>45350</v>
      </c>
    </row>
    <row r="1840" spans="1:9" x14ac:dyDescent="0.15">
      <c r="A1840" s="6">
        <v>1839</v>
      </c>
      <c r="B1840" s="7" t="s">
        <v>8</v>
      </c>
      <c r="C1840" s="8">
        <v>1887</v>
      </c>
      <c r="D1840" s="9">
        <v>45425</v>
      </c>
      <c r="E1840" s="13" t="str">
        <f>+HYPERLINK("http://trademark.i-assist.jp/data/china/image_1887th/76992898.pdf","76992898")</f>
        <v>76992898</v>
      </c>
      <c r="F1840" s="7" t="s">
        <v>4996</v>
      </c>
      <c r="G1840" s="7" t="s">
        <v>4997</v>
      </c>
      <c r="H1840" s="7" t="s">
        <v>4998</v>
      </c>
      <c r="I1840" s="9">
        <v>45350</v>
      </c>
    </row>
    <row r="1841" spans="1:9" x14ac:dyDescent="0.15">
      <c r="A1841" s="6">
        <v>1840</v>
      </c>
      <c r="B1841" s="7" t="s">
        <v>8</v>
      </c>
      <c r="C1841" s="8">
        <v>1887</v>
      </c>
      <c r="D1841" s="9">
        <v>45425</v>
      </c>
      <c r="E1841" s="13" t="str">
        <f>+HYPERLINK("http://trademark.i-assist.jp/data/china/image_1887th/76993164.pdf","76993164")</f>
        <v>76993164</v>
      </c>
      <c r="F1841" s="7" t="s">
        <v>54</v>
      </c>
      <c r="G1841" s="7" t="s">
        <v>4999</v>
      </c>
      <c r="H1841" s="7" t="s">
        <v>5000</v>
      </c>
      <c r="I1841" s="9">
        <v>45350</v>
      </c>
    </row>
    <row r="1842" spans="1:9" x14ac:dyDescent="0.15">
      <c r="A1842" s="6">
        <v>1841</v>
      </c>
      <c r="B1842" s="7" t="s">
        <v>8</v>
      </c>
      <c r="C1842" s="8">
        <v>1887</v>
      </c>
      <c r="D1842" s="9">
        <v>45425</v>
      </c>
      <c r="E1842" s="13" t="str">
        <f>+HYPERLINK("http://trademark.i-assist.jp/data/china/image_1887th/76993255.pdf","76993255")</f>
        <v>76993255</v>
      </c>
      <c r="F1842" s="7" t="s">
        <v>5001</v>
      </c>
      <c r="G1842" s="7" t="s">
        <v>5002</v>
      </c>
      <c r="H1842" s="7" t="s">
        <v>5003</v>
      </c>
      <c r="I1842" s="9">
        <v>45350</v>
      </c>
    </row>
    <row r="1843" spans="1:9" x14ac:dyDescent="0.15">
      <c r="A1843" s="6">
        <v>1842</v>
      </c>
      <c r="B1843" s="7" t="s">
        <v>8</v>
      </c>
      <c r="C1843" s="8">
        <v>1887</v>
      </c>
      <c r="D1843" s="9">
        <v>45425</v>
      </c>
      <c r="E1843" s="13" t="str">
        <f>+HYPERLINK("http://trademark.i-assist.jp/data/china/image_1887th/76993385.pdf","76993385")</f>
        <v>76993385</v>
      </c>
      <c r="F1843" s="7" t="s">
        <v>5004</v>
      </c>
      <c r="G1843" s="7" t="s">
        <v>5005</v>
      </c>
      <c r="H1843" s="7" t="s">
        <v>5006</v>
      </c>
      <c r="I1843" s="9">
        <v>45350</v>
      </c>
    </row>
    <row r="1844" spans="1:9" x14ac:dyDescent="0.15">
      <c r="A1844" s="6">
        <v>1843</v>
      </c>
      <c r="B1844" s="7" t="s">
        <v>8</v>
      </c>
      <c r="C1844" s="8">
        <v>1887</v>
      </c>
      <c r="D1844" s="9">
        <v>45425</v>
      </c>
      <c r="E1844" s="13" t="str">
        <f>+HYPERLINK("http://trademark.i-assist.jp/data/china/image_1887th/76993451.pdf","76993451")</f>
        <v>76993451</v>
      </c>
      <c r="F1844" s="7" t="s">
        <v>5007</v>
      </c>
      <c r="G1844" s="7" t="s">
        <v>5008</v>
      </c>
      <c r="H1844" s="7" t="s">
        <v>5009</v>
      </c>
      <c r="I1844" s="9">
        <v>45350</v>
      </c>
    </row>
    <row r="1845" spans="1:9" x14ac:dyDescent="0.15">
      <c r="A1845" s="6">
        <v>1844</v>
      </c>
      <c r="B1845" s="7" t="s">
        <v>8</v>
      </c>
      <c r="C1845" s="8">
        <v>1887</v>
      </c>
      <c r="D1845" s="9">
        <v>45425</v>
      </c>
      <c r="E1845" s="13" t="str">
        <f>+HYPERLINK("http://trademark.i-assist.jp/data/china/image_1887th/76993576.pdf","76993576")</f>
        <v>76993576</v>
      </c>
      <c r="F1845" s="7" t="s">
        <v>5010</v>
      </c>
      <c r="G1845" s="7" t="s">
        <v>5011</v>
      </c>
      <c r="H1845" s="7" t="s">
        <v>5012</v>
      </c>
      <c r="I1845" s="9">
        <v>45350</v>
      </c>
    </row>
    <row r="1846" spans="1:9" x14ac:dyDescent="0.15">
      <c r="A1846" s="6">
        <v>1845</v>
      </c>
      <c r="B1846" s="7" t="s">
        <v>8</v>
      </c>
      <c r="C1846" s="8">
        <v>1887</v>
      </c>
      <c r="D1846" s="9">
        <v>45425</v>
      </c>
      <c r="E1846" s="13" t="str">
        <f>+HYPERLINK("http://trademark.i-assist.jp/data/china/image_1887th/76993663.pdf","76993663")</f>
        <v>76993663</v>
      </c>
      <c r="F1846" s="7" t="s">
        <v>5013</v>
      </c>
      <c r="G1846" s="7" t="s">
        <v>5014</v>
      </c>
      <c r="H1846" s="7" t="s">
        <v>5015</v>
      </c>
      <c r="I1846" s="9">
        <v>45350</v>
      </c>
    </row>
    <row r="1847" spans="1:9" x14ac:dyDescent="0.15">
      <c r="A1847" s="6">
        <v>1846</v>
      </c>
      <c r="B1847" s="7" t="s">
        <v>8</v>
      </c>
      <c r="C1847" s="8">
        <v>1887</v>
      </c>
      <c r="D1847" s="9">
        <v>45425</v>
      </c>
      <c r="E1847" s="13" t="str">
        <f>+HYPERLINK("http://trademark.i-assist.jp/data/china/image_1887th/76993978.pdf","76993978")</f>
        <v>76993978</v>
      </c>
      <c r="F1847" s="7" t="s">
        <v>5016</v>
      </c>
      <c r="G1847" s="7" t="s">
        <v>5017</v>
      </c>
      <c r="H1847" s="7" t="s">
        <v>5018</v>
      </c>
      <c r="I1847" s="9">
        <v>45350</v>
      </c>
    </row>
    <row r="1848" spans="1:9" x14ac:dyDescent="0.15">
      <c r="A1848" s="6">
        <v>1847</v>
      </c>
      <c r="B1848" s="7" t="s">
        <v>8</v>
      </c>
      <c r="C1848" s="8">
        <v>1887</v>
      </c>
      <c r="D1848" s="9">
        <v>45425</v>
      </c>
      <c r="E1848" s="13" t="str">
        <f>+HYPERLINK("http://trademark.i-assist.jp/data/china/image_1887th/76994147.pdf","76994147")</f>
        <v>76994147</v>
      </c>
      <c r="F1848" s="7" t="s">
        <v>5019</v>
      </c>
      <c r="G1848" s="7" t="s">
        <v>5020</v>
      </c>
      <c r="H1848" s="7" t="s">
        <v>5021</v>
      </c>
      <c r="I1848" s="9">
        <v>45350</v>
      </c>
    </row>
    <row r="1849" spans="1:9" ht="27" x14ac:dyDescent="0.15">
      <c r="A1849" s="6">
        <v>1848</v>
      </c>
      <c r="B1849" s="7" t="s">
        <v>8</v>
      </c>
      <c r="C1849" s="8">
        <v>1887</v>
      </c>
      <c r="D1849" s="9">
        <v>45425</v>
      </c>
      <c r="E1849" s="13" t="str">
        <f>+HYPERLINK("http://trademark.i-assist.jp/data/china/image_1887th/76994171.pdf","76994171")</f>
        <v>76994171</v>
      </c>
      <c r="F1849" s="7" t="s">
        <v>5022</v>
      </c>
      <c r="G1849" s="7" t="s">
        <v>5023</v>
      </c>
      <c r="H1849" s="7" t="s">
        <v>5024</v>
      </c>
      <c r="I1849" s="9">
        <v>45350</v>
      </c>
    </row>
    <row r="1850" spans="1:9" x14ac:dyDescent="0.15">
      <c r="A1850" s="6">
        <v>1849</v>
      </c>
      <c r="B1850" s="7" t="s">
        <v>8</v>
      </c>
      <c r="C1850" s="8">
        <v>1887</v>
      </c>
      <c r="D1850" s="9">
        <v>45425</v>
      </c>
      <c r="E1850" s="13" t="str">
        <f>+HYPERLINK("http://trademark.i-assist.jp/data/china/image_1887th/76994284.pdf","76994284")</f>
        <v>76994284</v>
      </c>
      <c r="F1850" s="7" t="s">
        <v>5025</v>
      </c>
      <c r="G1850" s="7" t="s">
        <v>5026</v>
      </c>
      <c r="H1850" s="7" t="s">
        <v>5027</v>
      </c>
      <c r="I1850" s="9">
        <v>45350</v>
      </c>
    </row>
    <row r="1851" spans="1:9" x14ac:dyDescent="0.15">
      <c r="A1851" s="6">
        <v>1850</v>
      </c>
      <c r="B1851" s="7" t="s">
        <v>8</v>
      </c>
      <c r="C1851" s="8">
        <v>1887</v>
      </c>
      <c r="D1851" s="9">
        <v>45425</v>
      </c>
      <c r="E1851" s="13" t="str">
        <f>+HYPERLINK("http://trademark.i-assist.jp/data/china/image_1887th/76994306.pdf","76994306")</f>
        <v>76994306</v>
      </c>
      <c r="F1851" s="7" t="s">
        <v>5028</v>
      </c>
      <c r="G1851" s="7" t="s">
        <v>5029</v>
      </c>
      <c r="H1851" s="7" t="s">
        <v>5030</v>
      </c>
      <c r="I1851" s="9">
        <v>45350</v>
      </c>
    </row>
    <row r="1852" spans="1:9" x14ac:dyDescent="0.15">
      <c r="A1852" s="6">
        <v>1851</v>
      </c>
      <c r="B1852" s="7" t="s">
        <v>8</v>
      </c>
      <c r="C1852" s="8">
        <v>1887</v>
      </c>
      <c r="D1852" s="9">
        <v>45425</v>
      </c>
      <c r="E1852" s="13" t="str">
        <f>+HYPERLINK("http://trademark.i-assist.jp/data/china/image_1887th/76994343.pdf","76994343")</f>
        <v>76994343</v>
      </c>
      <c r="F1852" s="7" t="s">
        <v>5031</v>
      </c>
      <c r="G1852" s="7" t="s">
        <v>5032</v>
      </c>
      <c r="H1852" s="7" t="s">
        <v>5033</v>
      </c>
      <c r="I1852" s="9">
        <v>45350</v>
      </c>
    </row>
    <row r="1853" spans="1:9" x14ac:dyDescent="0.15">
      <c r="A1853" s="6">
        <v>1852</v>
      </c>
      <c r="B1853" s="7" t="s">
        <v>8</v>
      </c>
      <c r="C1853" s="8">
        <v>1887</v>
      </c>
      <c r="D1853" s="9">
        <v>45425</v>
      </c>
      <c r="E1853" s="13" t="str">
        <f>+HYPERLINK("http://trademark.i-assist.jp/data/china/image_1887th/76994745.pdf","76994745")</f>
        <v>76994745</v>
      </c>
      <c r="F1853" s="7" t="s">
        <v>5034</v>
      </c>
      <c r="G1853" s="7" t="s">
        <v>5035</v>
      </c>
      <c r="H1853" s="7" t="s">
        <v>5036</v>
      </c>
      <c r="I1853" s="9">
        <v>45350</v>
      </c>
    </row>
    <row r="1854" spans="1:9" ht="27" x14ac:dyDescent="0.15">
      <c r="A1854" s="6">
        <v>1853</v>
      </c>
      <c r="B1854" s="7" t="s">
        <v>8</v>
      </c>
      <c r="C1854" s="8">
        <v>1887</v>
      </c>
      <c r="D1854" s="9">
        <v>45425</v>
      </c>
      <c r="E1854" s="13" t="str">
        <f>+HYPERLINK("http://trademark.i-assist.jp/data/china/image_1887th/76995433.pdf","76995433")</f>
        <v>76995433</v>
      </c>
      <c r="F1854" s="7" t="s">
        <v>5037</v>
      </c>
      <c r="G1854" s="7" t="s">
        <v>5038</v>
      </c>
      <c r="H1854" s="7" t="s">
        <v>5039</v>
      </c>
      <c r="I1854" s="9">
        <v>45350</v>
      </c>
    </row>
    <row r="1855" spans="1:9" x14ac:dyDescent="0.15">
      <c r="A1855" s="6">
        <v>1854</v>
      </c>
      <c r="B1855" s="7" t="s">
        <v>8</v>
      </c>
      <c r="C1855" s="8">
        <v>1887</v>
      </c>
      <c r="D1855" s="9">
        <v>45425</v>
      </c>
      <c r="E1855" s="13" t="str">
        <f>+HYPERLINK("http://trademark.i-assist.jp/data/china/image_1887th/76995741.pdf","76995741")</f>
        <v>76995741</v>
      </c>
      <c r="F1855" s="7" t="s">
        <v>5040</v>
      </c>
      <c r="G1855" s="7" t="s">
        <v>5041</v>
      </c>
      <c r="H1855" s="7" t="s">
        <v>5042</v>
      </c>
      <c r="I1855" s="9">
        <v>45350</v>
      </c>
    </row>
    <row r="1856" spans="1:9" ht="27" x14ac:dyDescent="0.15">
      <c r="A1856" s="6">
        <v>1855</v>
      </c>
      <c r="B1856" s="7" t="s">
        <v>8</v>
      </c>
      <c r="C1856" s="8">
        <v>1887</v>
      </c>
      <c r="D1856" s="9">
        <v>45425</v>
      </c>
      <c r="E1856" s="13" t="str">
        <f>+HYPERLINK("http://trademark.i-assist.jp/data/china/image_1887th/76996171.pdf","76996171")</f>
        <v>76996171</v>
      </c>
      <c r="F1856" s="7" t="s">
        <v>54</v>
      </c>
      <c r="G1856" s="7" t="s">
        <v>5043</v>
      </c>
      <c r="H1856" s="7" t="s">
        <v>5044</v>
      </c>
      <c r="I1856" s="9">
        <v>45350</v>
      </c>
    </row>
    <row r="1857" spans="1:9" ht="27" x14ac:dyDescent="0.15">
      <c r="A1857" s="6">
        <v>1856</v>
      </c>
      <c r="B1857" s="7" t="s">
        <v>8</v>
      </c>
      <c r="C1857" s="8">
        <v>1887</v>
      </c>
      <c r="D1857" s="9">
        <v>45425</v>
      </c>
      <c r="E1857" s="13" t="str">
        <f>+HYPERLINK("http://trademark.i-assist.jp/data/china/image_1887th/76996316.pdf","76996316")</f>
        <v>76996316</v>
      </c>
      <c r="F1857" s="7" t="s">
        <v>5045</v>
      </c>
      <c r="G1857" s="7" t="s">
        <v>5046</v>
      </c>
      <c r="H1857" s="7" t="s">
        <v>5047</v>
      </c>
      <c r="I1857" s="9">
        <v>45350</v>
      </c>
    </row>
    <row r="1858" spans="1:9" x14ac:dyDescent="0.15">
      <c r="A1858" s="6">
        <v>1857</v>
      </c>
      <c r="B1858" s="7" t="s">
        <v>8</v>
      </c>
      <c r="C1858" s="8">
        <v>1887</v>
      </c>
      <c r="D1858" s="9">
        <v>45425</v>
      </c>
      <c r="E1858" s="13" t="str">
        <f>+HYPERLINK("http://trademark.i-assist.jp/data/china/image_1887th/76996333.pdf","76996333")</f>
        <v>76996333</v>
      </c>
      <c r="F1858" s="7" t="s">
        <v>5048</v>
      </c>
      <c r="G1858" s="7" t="s">
        <v>5049</v>
      </c>
      <c r="H1858" s="7" t="s">
        <v>5050</v>
      </c>
      <c r="I1858" s="9">
        <v>45350</v>
      </c>
    </row>
    <row r="1859" spans="1:9" x14ac:dyDescent="0.15">
      <c r="A1859" s="6">
        <v>1858</v>
      </c>
      <c r="B1859" s="7" t="s">
        <v>8</v>
      </c>
      <c r="C1859" s="8">
        <v>1887</v>
      </c>
      <c r="D1859" s="9">
        <v>45425</v>
      </c>
      <c r="E1859" s="13" t="str">
        <f>+HYPERLINK("http://trademark.i-assist.jp/data/china/image_1887th/76996404.pdf","76996404")</f>
        <v>76996404</v>
      </c>
      <c r="F1859" s="7" t="s">
        <v>5051</v>
      </c>
      <c r="G1859" s="7" t="s">
        <v>5029</v>
      </c>
      <c r="H1859" s="7" t="s">
        <v>5052</v>
      </c>
      <c r="I1859" s="9">
        <v>45350</v>
      </c>
    </row>
    <row r="1860" spans="1:9" x14ac:dyDescent="0.15">
      <c r="A1860" s="6">
        <v>1859</v>
      </c>
      <c r="B1860" s="7" t="s">
        <v>8</v>
      </c>
      <c r="C1860" s="8">
        <v>1887</v>
      </c>
      <c r="D1860" s="9">
        <v>45425</v>
      </c>
      <c r="E1860" s="13" t="str">
        <f>+HYPERLINK("http://trademark.i-assist.jp/data/china/image_1887th/76996458.pdf","76996458")</f>
        <v>76996458</v>
      </c>
      <c r="F1860" s="7" t="s">
        <v>5053</v>
      </c>
      <c r="G1860" s="7" t="s">
        <v>5029</v>
      </c>
      <c r="H1860" s="7" t="s">
        <v>5054</v>
      </c>
      <c r="I1860" s="9">
        <v>45350</v>
      </c>
    </row>
    <row r="1861" spans="1:9" ht="27" x14ac:dyDescent="0.15">
      <c r="A1861" s="6">
        <v>1860</v>
      </c>
      <c r="B1861" s="7" t="s">
        <v>8</v>
      </c>
      <c r="C1861" s="8">
        <v>1887</v>
      </c>
      <c r="D1861" s="9">
        <v>45425</v>
      </c>
      <c r="E1861" s="13" t="str">
        <f>+HYPERLINK("http://trademark.i-assist.jp/data/china/image_1887th/76996550.pdf","76996550")</f>
        <v>76996550</v>
      </c>
      <c r="F1861" s="7" t="s">
        <v>5055</v>
      </c>
      <c r="G1861" s="7" t="s">
        <v>5056</v>
      </c>
      <c r="H1861" s="7" t="s">
        <v>5057</v>
      </c>
      <c r="I1861" s="9">
        <v>45350</v>
      </c>
    </row>
    <row r="1862" spans="1:9" ht="27" x14ac:dyDescent="0.15">
      <c r="A1862" s="6">
        <v>1861</v>
      </c>
      <c r="B1862" s="7" t="s">
        <v>8</v>
      </c>
      <c r="C1862" s="8">
        <v>1887</v>
      </c>
      <c r="D1862" s="9">
        <v>45425</v>
      </c>
      <c r="E1862" s="13" t="str">
        <f>+HYPERLINK("http://trademark.i-assist.jp/data/china/image_1887th/76996843.pdf","76996843")</f>
        <v>76996843</v>
      </c>
      <c r="F1862" s="7" t="s">
        <v>5058</v>
      </c>
      <c r="G1862" s="7" t="s">
        <v>5059</v>
      </c>
      <c r="H1862" s="7" t="s">
        <v>5060</v>
      </c>
      <c r="I1862" s="9">
        <v>45350</v>
      </c>
    </row>
    <row r="1863" spans="1:9" ht="27" x14ac:dyDescent="0.15">
      <c r="A1863" s="6">
        <v>1862</v>
      </c>
      <c r="B1863" s="7" t="s">
        <v>8</v>
      </c>
      <c r="C1863" s="8">
        <v>1887</v>
      </c>
      <c r="D1863" s="9">
        <v>45425</v>
      </c>
      <c r="E1863" s="13" t="str">
        <f>+HYPERLINK("http://trademark.i-assist.jp/data/china/image_1887th/76996955.pdf","76996955")</f>
        <v>76996955</v>
      </c>
      <c r="F1863" s="7" t="s">
        <v>5061</v>
      </c>
      <c r="G1863" s="7" t="s">
        <v>3298</v>
      </c>
      <c r="H1863" s="7" t="s">
        <v>5062</v>
      </c>
      <c r="I1863" s="9">
        <v>45350</v>
      </c>
    </row>
    <row r="1864" spans="1:9" x14ac:dyDescent="0.15">
      <c r="A1864" s="6">
        <v>1863</v>
      </c>
      <c r="B1864" s="7" t="s">
        <v>8</v>
      </c>
      <c r="C1864" s="8">
        <v>1887</v>
      </c>
      <c r="D1864" s="9">
        <v>45425</v>
      </c>
      <c r="E1864" s="13" t="str">
        <f>+HYPERLINK("http://trademark.i-assist.jp/data/china/image_1887th/76996983.pdf","76996983")</f>
        <v>76996983</v>
      </c>
      <c r="F1864" s="7" t="s">
        <v>5063</v>
      </c>
      <c r="G1864" s="7" t="s">
        <v>5064</v>
      </c>
      <c r="H1864" s="7" t="s">
        <v>5065</v>
      </c>
      <c r="I1864" s="9">
        <v>45350</v>
      </c>
    </row>
    <row r="1865" spans="1:9" x14ac:dyDescent="0.15">
      <c r="A1865" s="6">
        <v>1864</v>
      </c>
      <c r="B1865" s="7" t="s">
        <v>8</v>
      </c>
      <c r="C1865" s="8">
        <v>1887</v>
      </c>
      <c r="D1865" s="9">
        <v>45425</v>
      </c>
      <c r="E1865" s="13" t="str">
        <f>+HYPERLINK("http://trademark.i-assist.jp/data/china/image_1887th/76996994.pdf","76996994")</f>
        <v>76996994</v>
      </c>
      <c r="F1865" s="7" t="s">
        <v>5066</v>
      </c>
      <c r="G1865" s="7" t="s">
        <v>5064</v>
      </c>
      <c r="H1865" s="7" t="s">
        <v>5067</v>
      </c>
      <c r="I1865" s="9">
        <v>45350</v>
      </c>
    </row>
    <row r="1866" spans="1:9" ht="27" x14ac:dyDescent="0.15">
      <c r="A1866" s="6">
        <v>1865</v>
      </c>
      <c r="B1866" s="7" t="s">
        <v>8</v>
      </c>
      <c r="C1866" s="8">
        <v>1887</v>
      </c>
      <c r="D1866" s="9">
        <v>45425</v>
      </c>
      <c r="E1866" s="13" t="str">
        <f>+HYPERLINK("http://trademark.i-assist.jp/data/china/image_1887th/76997148.pdf","76997148")</f>
        <v>76997148</v>
      </c>
      <c r="F1866" s="7" t="s">
        <v>54</v>
      </c>
      <c r="G1866" s="7" t="s">
        <v>5068</v>
      </c>
      <c r="H1866" s="7" t="s">
        <v>5069</v>
      </c>
      <c r="I1866" s="9">
        <v>45350</v>
      </c>
    </row>
    <row r="1867" spans="1:9" x14ac:dyDescent="0.15">
      <c r="A1867" s="6">
        <v>1866</v>
      </c>
      <c r="B1867" s="7" t="s">
        <v>8</v>
      </c>
      <c r="C1867" s="8">
        <v>1887</v>
      </c>
      <c r="D1867" s="9">
        <v>45425</v>
      </c>
      <c r="E1867" s="13" t="str">
        <f>+HYPERLINK("http://trademark.i-assist.jp/data/china/image_1887th/76997248.pdf","76997248")</f>
        <v>76997248</v>
      </c>
      <c r="F1867" s="7" t="s">
        <v>5070</v>
      </c>
      <c r="G1867" s="7" t="s">
        <v>5071</v>
      </c>
      <c r="H1867" s="7" t="s">
        <v>5072</v>
      </c>
      <c r="I1867" s="9">
        <v>45350</v>
      </c>
    </row>
    <row r="1868" spans="1:9" x14ac:dyDescent="0.15">
      <c r="A1868" s="6">
        <v>1867</v>
      </c>
      <c r="B1868" s="7" t="s">
        <v>8</v>
      </c>
      <c r="C1868" s="8">
        <v>1887</v>
      </c>
      <c r="D1868" s="9">
        <v>45425</v>
      </c>
      <c r="E1868" s="13" t="str">
        <f>+HYPERLINK("http://trademark.i-assist.jp/data/china/image_1887th/76997258.pdf","76997258")</f>
        <v>76997258</v>
      </c>
      <c r="F1868" s="7" t="s">
        <v>5073</v>
      </c>
      <c r="G1868" s="7" t="s">
        <v>5074</v>
      </c>
      <c r="H1868" s="7" t="s">
        <v>5075</v>
      </c>
      <c r="I1868" s="9">
        <v>45350</v>
      </c>
    </row>
    <row r="1869" spans="1:9" x14ac:dyDescent="0.15">
      <c r="A1869" s="6">
        <v>1868</v>
      </c>
      <c r="B1869" s="7" t="s">
        <v>8</v>
      </c>
      <c r="C1869" s="8">
        <v>1887</v>
      </c>
      <c r="D1869" s="9">
        <v>45425</v>
      </c>
      <c r="E1869" s="13" t="str">
        <f>+HYPERLINK("http://trademark.i-assist.jp/data/china/image_1887th/76997514.pdf","76997514")</f>
        <v>76997514</v>
      </c>
      <c r="F1869" s="7" t="s">
        <v>5076</v>
      </c>
      <c r="G1869" s="7" t="s">
        <v>5077</v>
      </c>
      <c r="H1869" s="7" t="s">
        <v>5078</v>
      </c>
      <c r="I1869" s="9">
        <v>45350</v>
      </c>
    </row>
    <row r="1870" spans="1:9" x14ac:dyDescent="0.15">
      <c r="A1870" s="6">
        <v>1869</v>
      </c>
      <c r="B1870" s="7" t="s">
        <v>8</v>
      </c>
      <c r="C1870" s="8">
        <v>1887</v>
      </c>
      <c r="D1870" s="9">
        <v>45425</v>
      </c>
      <c r="E1870" s="13" t="str">
        <f>+HYPERLINK("http://trademark.i-assist.jp/data/china/image_1887th/76997582.pdf","76997582")</f>
        <v>76997582</v>
      </c>
      <c r="F1870" s="7" t="s">
        <v>5079</v>
      </c>
      <c r="G1870" s="7" t="s">
        <v>5080</v>
      </c>
      <c r="H1870" s="7" t="s">
        <v>5081</v>
      </c>
      <c r="I1870" s="9">
        <v>45350</v>
      </c>
    </row>
    <row r="1871" spans="1:9" ht="27" x14ac:dyDescent="0.15">
      <c r="A1871" s="6">
        <v>1870</v>
      </c>
      <c r="B1871" s="7" t="s">
        <v>8</v>
      </c>
      <c r="C1871" s="8">
        <v>1887</v>
      </c>
      <c r="D1871" s="9">
        <v>45425</v>
      </c>
      <c r="E1871" s="13" t="str">
        <f>+HYPERLINK("http://trademark.i-assist.jp/data/china/image_1887th/76997743.pdf","76997743")</f>
        <v>76997743</v>
      </c>
      <c r="F1871" s="7" t="s">
        <v>5082</v>
      </c>
      <c r="G1871" s="7" t="s">
        <v>5083</v>
      </c>
      <c r="H1871" s="7" t="s">
        <v>5084</v>
      </c>
      <c r="I1871" s="9">
        <v>45350</v>
      </c>
    </row>
    <row r="1872" spans="1:9" ht="27" x14ac:dyDescent="0.15">
      <c r="A1872" s="6">
        <v>1871</v>
      </c>
      <c r="B1872" s="7" t="s">
        <v>8</v>
      </c>
      <c r="C1872" s="8">
        <v>1887</v>
      </c>
      <c r="D1872" s="9">
        <v>45425</v>
      </c>
      <c r="E1872" s="13" t="str">
        <f>+HYPERLINK("http://trademark.i-assist.jp/data/china/image_1887th/76997745.pdf","76997745")</f>
        <v>76997745</v>
      </c>
      <c r="F1872" s="7" t="s">
        <v>5085</v>
      </c>
      <c r="G1872" s="7" t="s">
        <v>5086</v>
      </c>
      <c r="H1872" s="7" t="s">
        <v>5087</v>
      </c>
      <c r="I1872" s="9">
        <v>45350</v>
      </c>
    </row>
    <row r="1873" spans="1:9" x14ac:dyDescent="0.15">
      <c r="A1873" s="6">
        <v>1872</v>
      </c>
      <c r="B1873" s="7" t="s">
        <v>8</v>
      </c>
      <c r="C1873" s="8">
        <v>1887</v>
      </c>
      <c r="D1873" s="9">
        <v>45425</v>
      </c>
      <c r="E1873" s="13" t="str">
        <f>+HYPERLINK("http://trademark.i-assist.jp/data/china/image_1887th/76997789.pdf","76997789")</f>
        <v>76997789</v>
      </c>
      <c r="F1873" s="7" t="s">
        <v>5088</v>
      </c>
      <c r="G1873" s="7" t="s">
        <v>5089</v>
      </c>
      <c r="H1873" s="7" t="s">
        <v>5090</v>
      </c>
      <c r="I1873" s="9">
        <v>45350</v>
      </c>
    </row>
    <row r="1874" spans="1:9" x14ac:dyDescent="0.15">
      <c r="A1874" s="6">
        <v>1873</v>
      </c>
      <c r="B1874" s="7" t="s">
        <v>8</v>
      </c>
      <c r="C1874" s="8">
        <v>1887</v>
      </c>
      <c r="D1874" s="9">
        <v>45425</v>
      </c>
      <c r="E1874" s="13" t="str">
        <f>+HYPERLINK("http://trademark.i-assist.jp/data/china/image_1887th/76997979.pdf","76997979")</f>
        <v>76997979</v>
      </c>
      <c r="F1874" s="7" t="s">
        <v>5091</v>
      </c>
      <c r="G1874" s="7" t="s">
        <v>5092</v>
      </c>
      <c r="H1874" s="7" t="s">
        <v>5093</v>
      </c>
      <c r="I1874" s="9">
        <v>45350</v>
      </c>
    </row>
    <row r="1875" spans="1:9" x14ac:dyDescent="0.15">
      <c r="A1875" s="6">
        <v>1874</v>
      </c>
      <c r="B1875" s="7" t="s">
        <v>8</v>
      </c>
      <c r="C1875" s="8">
        <v>1887</v>
      </c>
      <c r="D1875" s="9">
        <v>45425</v>
      </c>
      <c r="E1875" s="13" t="str">
        <f>+HYPERLINK("http://trademark.i-assist.jp/data/china/image_1887th/76998007.pdf","76998007")</f>
        <v>76998007</v>
      </c>
      <c r="F1875" s="7" t="s">
        <v>54</v>
      </c>
      <c r="G1875" s="7" t="s">
        <v>5094</v>
      </c>
      <c r="H1875" s="7" t="s">
        <v>5095</v>
      </c>
      <c r="I1875" s="9">
        <v>45350</v>
      </c>
    </row>
    <row r="1876" spans="1:9" x14ac:dyDescent="0.15">
      <c r="A1876" s="6">
        <v>1875</v>
      </c>
      <c r="B1876" s="7" t="s">
        <v>8</v>
      </c>
      <c r="C1876" s="8">
        <v>1887</v>
      </c>
      <c r="D1876" s="9">
        <v>45425</v>
      </c>
      <c r="E1876" s="13" t="str">
        <f>+HYPERLINK("http://trademark.i-assist.jp/data/china/image_1887th/76998535.pdf","76998535")</f>
        <v>76998535</v>
      </c>
      <c r="F1876" s="7" t="s">
        <v>5096</v>
      </c>
      <c r="G1876" s="7" t="s">
        <v>5097</v>
      </c>
      <c r="H1876" s="7" t="s">
        <v>5098</v>
      </c>
      <c r="I1876" s="9">
        <v>45350</v>
      </c>
    </row>
    <row r="1877" spans="1:9" x14ac:dyDescent="0.15">
      <c r="A1877" s="6">
        <v>1876</v>
      </c>
      <c r="B1877" s="7" t="s">
        <v>8</v>
      </c>
      <c r="C1877" s="8">
        <v>1887</v>
      </c>
      <c r="D1877" s="9">
        <v>45425</v>
      </c>
      <c r="E1877" s="13" t="str">
        <f>+HYPERLINK("http://trademark.i-assist.jp/data/china/image_1887th/76998598.pdf","76998598")</f>
        <v>76998598</v>
      </c>
      <c r="F1877" s="7" t="s">
        <v>5099</v>
      </c>
      <c r="G1877" s="7" t="s">
        <v>5100</v>
      </c>
      <c r="H1877" s="7" t="s">
        <v>5101</v>
      </c>
      <c r="I1877" s="9">
        <v>45350</v>
      </c>
    </row>
    <row r="1878" spans="1:9" x14ac:dyDescent="0.15">
      <c r="A1878" s="6">
        <v>1877</v>
      </c>
      <c r="B1878" s="7" t="s">
        <v>8</v>
      </c>
      <c r="C1878" s="8">
        <v>1887</v>
      </c>
      <c r="D1878" s="9">
        <v>45425</v>
      </c>
      <c r="E1878" s="13" t="str">
        <f>+HYPERLINK("http://trademark.i-assist.jp/data/china/image_1887th/76998949.pdf","76998949")</f>
        <v>76998949</v>
      </c>
      <c r="F1878" s="7" t="s">
        <v>5102</v>
      </c>
      <c r="G1878" s="7" t="s">
        <v>5103</v>
      </c>
      <c r="H1878" s="7" t="s">
        <v>5104</v>
      </c>
      <c r="I1878" s="9">
        <v>45350</v>
      </c>
    </row>
    <row r="1879" spans="1:9" x14ac:dyDescent="0.15">
      <c r="A1879" s="6">
        <v>1878</v>
      </c>
      <c r="B1879" s="7" t="s">
        <v>8</v>
      </c>
      <c r="C1879" s="8">
        <v>1887</v>
      </c>
      <c r="D1879" s="9">
        <v>45425</v>
      </c>
      <c r="E1879" s="13" t="str">
        <f>+HYPERLINK("http://trademark.i-assist.jp/data/china/image_1887th/76999053.pdf","76999053")</f>
        <v>76999053</v>
      </c>
      <c r="F1879" s="7" t="s">
        <v>5105</v>
      </c>
      <c r="G1879" s="7" t="s">
        <v>5106</v>
      </c>
      <c r="H1879" s="7" t="s">
        <v>5107</v>
      </c>
      <c r="I1879" s="9">
        <v>45350</v>
      </c>
    </row>
    <row r="1880" spans="1:9" x14ac:dyDescent="0.15">
      <c r="A1880" s="6">
        <v>1879</v>
      </c>
      <c r="B1880" s="7" t="s">
        <v>8</v>
      </c>
      <c r="C1880" s="8">
        <v>1887</v>
      </c>
      <c r="D1880" s="9">
        <v>45425</v>
      </c>
      <c r="E1880" s="13" t="str">
        <f>+HYPERLINK("http://trademark.i-assist.jp/data/china/image_1887th/76999083.pdf","76999083")</f>
        <v>76999083</v>
      </c>
      <c r="F1880" s="7" t="s">
        <v>5108</v>
      </c>
      <c r="G1880" s="7" t="s">
        <v>5109</v>
      </c>
      <c r="H1880" s="7" t="s">
        <v>5110</v>
      </c>
      <c r="I1880" s="9">
        <v>45350</v>
      </c>
    </row>
    <row r="1881" spans="1:9" x14ac:dyDescent="0.15">
      <c r="A1881" s="6">
        <v>1880</v>
      </c>
      <c r="B1881" s="7" t="s">
        <v>8</v>
      </c>
      <c r="C1881" s="8">
        <v>1887</v>
      </c>
      <c r="D1881" s="9">
        <v>45425</v>
      </c>
      <c r="E1881" s="13" t="str">
        <f>+HYPERLINK("http://trademark.i-assist.jp/data/china/image_1887th/76999088.pdf","76999088")</f>
        <v>76999088</v>
      </c>
      <c r="F1881" s="7" t="s">
        <v>5111</v>
      </c>
      <c r="G1881" s="7" t="s">
        <v>5112</v>
      </c>
      <c r="H1881" s="7" t="s">
        <v>5113</v>
      </c>
      <c r="I1881" s="9">
        <v>45350</v>
      </c>
    </row>
    <row r="1882" spans="1:9" ht="27" x14ac:dyDescent="0.15">
      <c r="A1882" s="6">
        <v>1881</v>
      </c>
      <c r="B1882" s="7" t="s">
        <v>8</v>
      </c>
      <c r="C1882" s="8">
        <v>1887</v>
      </c>
      <c r="D1882" s="9">
        <v>45425</v>
      </c>
      <c r="E1882" s="13" t="str">
        <f>+HYPERLINK("http://trademark.i-assist.jp/data/china/image_1887th/76999131.pdf","76999131")</f>
        <v>76999131</v>
      </c>
      <c r="F1882" s="7" t="s">
        <v>5114</v>
      </c>
      <c r="G1882" s="7" t="s">
        <v>5115</v>
      </c>
      <c r="H1882" s="7" t="s">
        <v>5116</v>
      </c>
      <c r="I1882" s="9">
        <v>45350</v>
      </c>
    </row>
    <row r="1883" spans="1:9" x14ac:dyDescent="0.15">
      <c r="A1883" s="6">
        <v>1882</v>
      </c>
      <c r="B1883" s="7" t="s">
        <v>8</v>
      </c>
      <c r="C1883" s="8">
        <v>1887</v>
      </c>
      <c r="D1883" s="9">
        <v>45425</v>
      </c>
      <c r="E1883" s="13" t="str">
        <f>+HYPERLINK("http://trademark.i-assist.jp/data/china/image_1887th/76999169.pdf","76999169")</f>
        <v>76999169</v>
      </c>
      <c r="F1883" s="7" t="s">
        <v>5117</v>
      </c>
      <c r="G1883" s="7" t="s">
        <v>5118</v>
      </c>
      <c r="H1883" s="7" t="s">
        <v>5119</v>
      </c>
      <c r="I1883" s="9">
        <v>45350</v>
      </c>
    </row>
    <row r="1884" spans="1:9" x14ac:dyDescent="0.15">
      <c r="A1884" s="6">
        <v>1883</v>
      </c>
      <c r="B1884" s="7" t="s">
        <v>8</v>
      </c>
      <c r="C1884" s="8">
        <v>1887</v>
      </c>
      <c r="D1884" s="9">
        <v>45425</v>
      </c>
      <c r="E1884" s="13" t="str">
        <f>+HYPERLINK("http://trademark.i-assist.jp/data/china/image_1887th/76999459.pdf","76999459")</f>
        <v>76999459</v>
      </c>
      <c r="F1884" s="7" t="s">
        <v>5120</v>
      </c>
      <c r="G1884" s="7" t="s">
        <v>5121</v>
      </c>
      <c r="H1884" s="7" t="s">
        <v>5122</v>
      </c>
      <c r="I1884" s="9">
        <v>45350</v>
      </c>
    </row>
    <row r="1885" spans="1:9" x14ac:dyDescent="0.15">
      <c r="A1885" s="6">
        <v>1884</v>
      </c>
      <c r="B1885" s="7" t="s">
        <v>8</v>
      </c>
      <c r="C1885" s="8">
        <v>1887</v>
      </c>
      <c r="D1885" s="9">
        <v>45425</v>
      </c>
      <c r="E1885" s="13" t="str">
        <f>+HYPERLINK("http://trademark.i-assist.jp/data/china/image_1887th/76999600.pdf","76999600")</f>
        <v>76999600</v>
      </c>
      <c r="F1885" s="7" t="s">
        <v>5123</v>
      </c>
      <c r="G1885" s="7" t="s">
        <v>5124</v>
      </c>
      <c r="H1885" s="7" t="s">
        <v>5125</v>
      </c>
      <c r="I1885" s="9">
        <v>45350</v>
      </c>
    </row>
    <row r="1886" spans="1:9" x14ac:dyDescent="0.15">
      <c r="A1886" s="6">
        <v>1885</v>
      </c>
      <c r="B1886" s="7" t="s">
        <v>8</v>
      </c>
      <c r="C1886" s="8">
        <v>1887</v>
      </c>
      <c r="D1886" s="9">
        <v>45425</v>
      </c>
      <c r="E1886" s="13" t="str">
        <f>+HYPERLINK("http://trademark.i-assist.jp/data/china/image_1887th/76999638.pdf","76999638")</f>
        <v>76999638</v>
      </c>
      <c r="F1886" s="7" t="s">
        <v>5126</v>
      </c>
      <c r="G1886" s="7" t="s">
        <v>5127</v>
      </c>
      <c r="H1886" s="7" t="s">
        <v>5128</v>
      </c>
      <c r="I1886" s="9">
        <v>45350</v>
      </c>
    </row>
    <row r="1887" spans="1:9" x14ac:dyDescent="0.15">
      <c r="A1887" s="6">
        <v>1886</v>
      </c>
      <c r="B1887" s="7" t="s">
        <v>8</v>
      </c>
      <c r="C1887" s="8">
        <v>1887</v>
      </c>
      <c r="D1887" s="9">
        <v>45425</v>
      </c>
      <c r="E1887" s="13" t="str">
        <f>+HYPERLINK("http://trademark.i-assist.jp/data/china/image_1887th/77000064.pdf","77000064")</f>
        <v>77000064</v>
      </c>
      <c r="F1887" s="7" t="s">
        <v>5129</v>
      </c>
      <c r="G1887" s="7" t="s">
        <v>5130</v>
      </c>
      <c r="H1887" s="7" t="s">
        <v>5131</v>
      </c>
      <c r="I1887" s="9">
        <v>45350</v>
      </c>
    </row>
    <row r="1888" spans="1:9" x14ac:dyDescent="0.15">
      <c r="A1888" s="6">
        <v>1887</v>
      </c>
      <c r="B1888" s="7" t="s">
        <v>8</v>
      </c>
      <c r="C1888" s="8">
        <v>1887</v>
      </c>
      <c r="D1888" s="9">
        <v>45425</v>
      </c>
      <c r="E1888" s="13" t="str">
        <f>+HYPERLINK("http://trademark.i-assist.jp/data/china/image_1887th/77000220.pdf","77000220")</f>
        <v>77000220</v>
      </c>
      <c r="F1888" s="7" t="s">
        <v>5132</v>
      </c>
      <c r="G1888" s="7" t="s">
        <v>5133</v>
      </c>
      <c r="H1888" s="7" t="s">
        <v>5134</v>
      </c>
      <c r="I1888" s="9">
        <v>45350</v>
      </c>
    </row>
    <row r="1889" spans="1:9" x14ac:dyDescent="0.15">
      <c r="A1889" s="6">
        <v>1888</v>
      </c>
      <c r="B1889" s="7" t="s">
        <v>8</v>
      </c>
      <c r="C1889" s="8">
        <v>1887</v>
      </c>
      <c r="D1889" s="9">
        <v>45425</v>
      </c>
      <c r="E1889" s="13" t="str">
        <f>+HYPERLINK("http://trademark.i-assist.jp/data/china/image_1887th/77000355.pdf","77000355")</f>
        <v>77000355</v>
      </c>
      <c r="F1889" s="7" t="s">
        <v>5135</v>
      </c>
      <c r="G1889" s="7" t="s">
        <v>5136</v>
      </c>
      <c r="H1889" s="7" t="s">
        <v>5137</v>
      </c>
      <c r="I1889" s="9">
        <v>45350</v>
      </c>
    </row>
    <row r="1890" spans="1:9" x14ac:dyDescent="0.15">
      <c r="A1890" s="6">
        <v>1889</v>
      </c>
      <c r="B1890" s="7" t="s">
        <v>8</v>
      </c>
      <c r="C1890" s="8">
        <v>1887</v>
      </c>
      <c r="D1890" s="9">
        <v>45425</v>
      </c>
      <c r="E1890" s="13" t="str">
        <f>+HYPERLINK("http://trademark.i-assist.jp/data/china/image_1887th/77000843.pdf","77000843")</f>
        <v>77000843</v>
      </c>
      <c r="F1890" s="7" t="s">
        <v>5138</v>
      </c>
      <c r="G1890" s="7" t="s">
        <v>5139</v>
      </c>
      <c r="H1890" s="7" t="s">
        <v>5140</v>
      </c>
      <c r="I1890" s="9">
        <v>45350</v>
      </c>
    </row>
    <row r="1891" spans="1:9" x14ac:dyDescent="0.15">
      <c r="A1891" s="6">
        <v>1890</v>
      </c>
      <c r="B1891" s="7" t="s">
        <v>8</v>
      </c>
      <c r="C1891" s="8">
        <v>1887</v>
      </c>
      <c r="D1891" s="9">
        <v>45425</v>
      </c>
      <c r="E1891" s="13" t="str">
        <f>+HYPERLINK("http://trademark.i-assist.jp/data/china/image_1887th/77000905.pdf","77000905")</f>
        <v>77000905</v>
      </c>
      <c r="F1891" s="7" t="s">
        <v>5141</v>
      </c>
      <c r="G1891" s="7" t="s">
        <v>5142</v>
      </c>
      <c r="H1891" s="7" t="s">
        <v>5143</v>
      </c>
      <c r="I1891" s="9">
        <v>45350</v>
      </c>
    </row>
    <row r="1892" spans="1:9" ht="27" x14ac:dyDescent="0.15">
      <c r="A1892" s="6">
        <v>1891</v>
      </c>
      <c r="B1892" s="7" t="s">
        <v>8</v>
      </c>
      <c r="C1892" s="8">
        <v>1887</v>
      </c>
      <c r="D1892" s="9">
        <v>45425</v>
      </c>
      <c r="E1892" s="13" t="str">
        <f>+HYPERLINK("http://trademark.i-assist.jp/data/china/image_1887th/77000919.pdf","77000919")</f>
        <v>77000919</v>
      </c>
      <c r="F1892" s="7" t="s">
        <v>5144</v>
      </c>
      <c r="G1892" s="7" t="s">
        <v>5145</v>
      </c>
      <c r="H1892" s="7" t="s">
        <v>5146</v>
      </c>
      <c r="I1892" s="9">
        <v>45350</v>
      </c>
    </row>
    <row r="1893" spans="1:9" x14ac:dyDescent="0.15">
      <c r="A1893" s="6">
        <v>1892</v>
      </c>
      <c r="B1893" s="7" t="s">
        <v>8</v>
      </c>
      <c r="C1893" s="8">
        <v>1887</v>
      </c>
      <c r="D1893" s="9">
        <v>45425</v>
      </c>
      <c r="E1893" s="13" t="str">
        <f>+HYPERLINK("http://trademark.i-assist.jp/data/china/image_1887th/77000976.pdf","77000976")</f>
        <v>77000976</v>
      </c>
      <c r="F1893" s="7" t="s">
        <v>5147</v>
      </c>
      <c r="G1893" s="7" t="s">
        <v>5148</v>
      </c>
      <c r="H1893" s="7" t="s">
        <v>5149</v>
      </c>
      <c r="I1893" s="9">
        <v>45350</v>
      </c>
    </row>
    <row r="1894" spans="1:9" x14ac:dyDescent="0.15">
      <c r="A1894" s="6">
        <v>1893</v>
      </c>
      <c r="B1894" s="7" t="s">
        <v>8</v>
      </c>
      <c r="C1894" s="8">
        <v>1887</v>
      </c>
      <c r="D1894" s="9">
        <v>45425</v>
      </c>
      <c r="E1894" s="13" t="str">
        <f>+HYPERLINK("http://trademark.i-assist.jp/data/china/image_1887th/77001627.pdf","77001627")</f>
        <v>77001627</v>
      </c>
      <c r="F1894" s="7" t="s">
        <v>5150</v>
      </c>
      <c r="G1894" s="7" t="s">
        <v>5151</v>
      </c>
      <c r="H1894" s="7" t="s">
        <v>5152</v>
      </c>
      <c r="I1894" s="9">
        <v>45350</v>
      </c>
    </row>
    <row r="1895" spans="1:9" x14ac:dyDescent="0.15">
      <c r="A1895" s="6">
        <v>1894</v>
      </c>
      <c r="B1895" s="7" t="s">
        <v>8</v>
      </c>
      <c r="C1895" s="8">
        <v>1887</v>
      </c>
      <c r="D1895" s="9">
        <v>45425</v>
      </c>
      <c r="E1895" s="13" t="str">
        <f>+HYPERLINK("http://trademark.i-assist.jp/data/china/image_1887th/77001632.pdf","77001632")</f>
        <v>77001632</v>
      </c>
      <c r="F1895" s="7" t="s">
        <v>5153</v>
      </c>
      <c r="G1895" s="7" t="s">
        <v>5154</v>
      </c>
      <c r="H1895" s="7" t="s">
        <v>5155</v>
      </c>
      <c r="I1895" s="9">
        <v>45350</v>
      </c>
    </row>
    <row r="1896" spans="1:9" x14ac:dyDescent="0.15">
      <c r="A1896" s="6">
        <v>1895</v>
      </c>
      <c r="B1896" s="7" t="s">
        <v>8</v>
      </c>
      <c r="C1896" s="8">
        <v>1887</v>
      </c>
      <c r="D1896" s="9">
        <v>45425</v>
      </c>
      <c r="E1896" s="13" t="str">
        <f>+HYPERLINK("http://trademark.i-assist.jp/data/china/image_1887th/77001641.pdf","77001641")</f>
        <v>77001641</v>
      </c>
      <c r="F1896" s="7" t="s">
        <v>5156</v>
      </c>
      <c r="G1896" s="7" t="s">
        <v>1158</v>
      </c>
      <c r="H1896" s="7" t="s">
        <v>5157</v>
      </c>
      <c r="I1896" s="9">
        <v>45350</v>
      </c>
    </row>
    <row r="1897" spans="1:9" x14ac:dyDescent="0.15">
      <c r="A1897" s="6">
        <v>1896</v>
      </c>
      <c r="B1897" s="7" t="s">
        <v>8</v>
      </c>
      <c r="C1897" s="8">
        <v>1887</v>
      </c>
      <c r="D1897" s="9">
        <v>45425</v>
      </c>
      <c r="E1897" s="13" t="str">
        <f>+HYPERLINK("http://trademark.i-assist.jp/data/china/image_1887th/77001755.pdf","77001755")</f>
        <v>77001755</v>
      </c>
      <c r="F1897" s="7" t="s">
        <v>5158</v>
      </c>
      <c r="G1897" s="7" t="s">
        <v>5159</v>
      </c>
      <c r="H1897" s="7" t="s">
        <v>5160</v>
      </c>
      <c r="I1897" s="9">
        <v>45350</v>
      </c>
    </row>
    <row r="1898" spans="1:9" x14ac:dyDescent="0.15">
      <c r="A1898" s="6">
        <v>1897</v>
      </c>
      <c r="B1898" s="7" t="s">
        <v>8</v>
      </c>
      <c r="C1898" s="8">
        <v>1887</v>
      </c>
      <c r="D1898" s="9">
        <v>45425</v>
      </c>
      <c r="E1898" s="13" t="str">
        <f>+HYPERLINK("http://trademark.i-assist.jp/data/china/image_1887th/77001882.pdf","77001882")</f>
        <v>77001882</v>
      </c>
      <c r="F1898" s="7" t="s">
        <v>5161</v>
      </c>
      <c r="G1898" s="7" t="s">
        <v>4985</v>
      </c>
      <c r="H1898" s="7" t="s">
        <v>5162</v>
      </c>
      <c r="I1898" s="9">
        <v>45350</v>
      </c>
    </row>
    <row r="1899" spans="1:9" x14ac:dyDescent="0.15">
      <c r="A1899" s="6">
        <v>1898</v>
      </c>
      <c r="B1899" s="7" t="s">
        <v>8</v>
      </c>
      <c r="C1899" s="8">
        <v>1887</v>
      </c>
      <c r="D1899" s="9">
        <v>45425</v>
      </c>
      <c r="E1899" s="13" t="str">
        <f>+HYPERLINK("http://trademark.i-assist.jp/data/china/image_1887th/77001894.pdf","77001894")</f>
        <v>77001894</v>
      </c>
      <c r="F1899" s="7" t="s">
        <v>5163</v>
      </c>
      <c r="G1899" s="7" t="s">
        <v>5164</v>
      </c>
      <c r="H1899" s="7" t="s">
        <v>5165</v>
      </c>
      <c r="I1899" s="9">
        <v>45350</v>
      </c>
    </row>
    <row r="1900" spans="1:9" x14ac:dyDescent="0.15">
      <c r="A1900" s="6">
        <v>1899</v>
      </c>
      <c r="B1900" s="7" t="s">
        <v>8</v>
      </c>
      <c r="C1900" s="8">
        <v>1887</v>
      </c>
      <c r="D1900" s="9">
        <v>45425</v>
      </c>
      <c r="E1900" s="13" t="str">
        <f>+HYPERLINK("http://trademark.i-assist.jp/data/china/image_1887th/77002003.pdf","77002003")</f>
        <v>77002003</v>
      </c>
      <c r="F1900" s="7" t="s">
        <v>5166</v>
      </c>
      <c r="G1900" s="7" t="s">
        <v>4994</v>
      </c>
      <c r="H1900" s="7" t="s">
        <v>5167</v>
      </c>
      <c r="I1900" s="9">
        <v>45350</v>
      </c>
    </row>
    <row r="1901" spans="1:9" x14ac:dyDescent="0.15">
      <c r="A1901" s="6">
        <v>1900</v>
      </c>
      <c r="B1901" s="7" t="s">
        <v>8</v>
      </c>
      <c r="C1901" s="8">
        <v>1887</v>
      </c>
      <c r="D1901" s="9">
        <v>45425</v>
      </c>
      <c r="E1901" s="13" t="str">
        <f>+HYPERLINK("http://trademark.i-assist.jp/data/china/image_1887th/77002029.pdf","77002029")</f>
        <v>77002029</v>
      </c>
      <c r="F1901" s="7" t="s">
        <v>5168</v>
      </c>
      <c r="G1901" s="7" t="s">
        <v>5169</v>
      </c>
      <c r="H1901" s="7" t="s">
        <v>5170</v>
      </c>
      <c r="I1901" s="9">
        <v>45350</v>
      </c>
    </row>
    <row r="1902" spans="1:9" x14ac:dyDescent="0.15">
      <c r="A1902" s="6">
        <v>1901</v>
      </c>
      <c r="B1902" s="7" t="s">
        <v>8</v>
      </c>
      <c r="C1902" s="8">
        <v>1887</v>
      </c>
      <c r="D1902" s="9">
        <v>45425</v>
      </c>
      <c r="E1902" s="13" t="str">
        <f>+HYPERLINK("http://trademark.i-assist.jp/data/china/image_1887th/77002164.pdf","77002164")</f>
        <v>77002164</v>
      </c>
      <c r="F1902" s="7" t="s">
        <v>5171</v>
      </c>
      <c r="G1902" s="7" t="s">
        <v>5172</v>
      </c>
      <c r="H1902" s="7" t="s">
        <v>5173</v>
      </c>
      <c r="I1902" s="9">
        <v>45350</v>
      </c>
    </row>
    <row r="1903" spans="1:9" x14ac:dyDescent="0.15">
      <c r="A1903" s="6">
        <v>1902</v>
      </c>
      <c r="B1903" s="7" t="s">
        <v>8</v>
      </c>
      <c r="C1903" s="8">
        <v>1887</v>
      </c>
      <c r="D1903" s="9">
        <v>45425</v>
      </c>
      <c r="E1903" s="13" t="str">
        <f>+HYPERLINK("http://trademark.i-assist.jp/data/china/image_1887th/77002236.pdf","77002236")</f>
        <v>77002236</v>
      </c>
      <c r="F1903" s="7" t="s">
        <v>5174</v>
      </c>
      <c r="G1903" s="7" t="s">
        <v>5175</v>
      </c>
      <c r="H1903" s="7" t="s">
        <v>5176</v>
      </c>
      <c r="I1903" s="9">
        <v>45350</v>
      </c>
    </row>
    <row r="1904" spans="1:9" ht="27" x14ac:dyDescent="0.15">
      <c r="A1904" s="6">
        <v>1903</v>
      </c>
      <c r="B1904" s="7" t="s">
        <v>8</v>
      </c>
      <c r="C1904" s="8">
        <v>1887</v>
      </c>
      <c r="D1904" s="9">
        <v>45425</v>
      </c>
      <c r="E1904" s="13" t="str">
        <f>+HYPERLINK("http://trademark.i-assist.jp/data/china/image_1887th/77002520.pdf","77002520")</f>
        <v>77002520</v>
      </c>
      <c r="F1904" s="7" t="s">
        <v>5177</v>
      </c>
      <c r="G1904" s="7" t="s">
        <v>5059</v>
      </c>
      <c r="H1904" s="7" t="s">
        <v>5178</v>
      </c>
      <c r="I1904" s="9">
        <v>45350</v>
      </c>
    </row>
    <row r="1905" spans="1:9" x14ac:dyDescent="0.15">
      <c r="A1905" s="6">
        <v>1904</v>
      </c>
      <c r="B1905" s="7" t="s">
        <v>8</v>
      </c>
      <c r="C1905" s="8">
        <v>1887</v>
      </c>
      <c r="D1905" s="9">
        <v>45425</v>
      </c>
      <c r="E1905" s="13" t="str">
        <f>+HYPERLINK("http://trademark.i-assist.jp/data/china/image_1887th/77002529.pdf","77002529")</f>
        <v>77002529</v>
      </c>
      <c r="F1905" s="7" t="s">
        <v>5179</v>
      </c>
      <c r="G1905" s="7" t="s">
        <v>5180</v>
      </c>
      <c r="H1905" s="7" t="s">
        <v>5181</v>
      </c>
      <c r="I1905" s="9">
        <v>45350</v>
      </c>
    </row>
    <row r="1906" spans="1:9" x14ac:dyDescent="0.15">
      <c r="A1906" s="6">
        <v>1905</v>
      </c>
      <c r="B1906" s="7" t="s">
        <v>8</v>
      </c>
      <c r="C1906" s="8">
        <v>1887</v>
      </c>
      <c r="D1906" s="9">
        <v>45425</v>
      </c>
      <c r="E1906" s="13" t="str">
        <f>+HYPERLINK("http://trademark.i-assist.jp/data/china/image_1887th/77003503.pdf","77003503")</f>
        <v>77003503</v>
      </c>
      <c r="F1906" s="7" t="s">
        <v>5182</v>
      </c>
      <c r="G1906" s="7" t="s">
        <v>5183</v>
      </c>
      <c r="H1906" s="7" t="s">
        <v>5184</v>
      </c>
      <c r="I1906" s="9">
        <v>45350</v>
      </c>
    </row>
    <row r="1907" spans="1:9" x14ac:dyDescent="0.15">
      <c r="A1907" s="6">
        <v>1906</v>
      </c>
      <c r="B1907" s="7" t="s">
        <v>8</v>
      </c>
      <c r="C1907" s="8">
        <v>1887</v>
      </c>
      <c r="D1907" s="9">
        <v>45425</v>
      </c>
      <c r="E1907" s="13" t="str">
        <f>+HYPERLINK("http://trademark.i-assist.jp/data/china/image_1887th/77003510.pdf","77003510")</f>
        <v>77003510</v>
      </c>
      <c r="F1907" s="7" t="s">
        <v>5185</v>
      </c>
      <c r="G1907" s="7" t="s">
        <v>5186</v>
      </c>
      <c r="H1907" s="7" t="s">
        <v>5187</v>
      </c>
      <c r="I1907" s="9">
        <v>45350</v>
      </c>
    </row>
    <row r="1908" spans="1:9" x14ac:dyDescent="0.15">
      <c r="A1908" s="6">
        <v>1907</v>
      </c>
      <c r="B1908" s="7" t="s">
        <v>8</v>
      </c>
      <c r="C1908" s="8">
        <v>1887</v>
      </c>
      <c r="D1908" s="9">
        <v>45425</v>
      </c>
      <c r="E1908" s="13" t="str">
        <f>+HYPERLINK("http://trademark.i-assist.jp/data/china/image_1887th/77003800.pdf","77003800")</f>
        <v>77003800</v>
      </c>
      <c r="F1908" s="7" t="s">
        <v>5188</v>
      </c>
      <c r="G1908" s="7" t="s">
        <v>5189</v>
      </c>
      <c r="H1908" s="7" t="s">
        <v>5190</v>
      </c>
      <c r="I1908" s="9">
        <v>45350</v>
      </c>
    </row>
    <row r="1909" spans="1:9" x14ac:dyDescent="0.15">
      <c r="A1909" s="6">
        <v>1908</v>
      </c>
      <c r="B1909" s="7" t="s">
        <v>8</v>
      </c>
      <c r="C1909" s="8">
        <v>1887</v>
      </c>
      <c r="D1909" s="9">
        <v>45425</v>
      </c>
      <c r="E1909" s="13" t="str">
        <f>+HYPERLINK("http://trademark.i-assist.jp/data/china/image_1887th/77004274.pdf","77004274")</f>
        <v>77004274</v>
      </c>
      <c r="F1909" s="7" t="s">
        <v>5191</v>
      </c>
      <c r="G1909" s="7" t="s">
        <v>5151</v>
      </c>
      <c r="H1909" s="7" t="s">
        <v>5192</v>
      </c>
      <c r="I1909" s="9">
        <v>45350</v>
      </c>
    </row>
    <row r="1910" spans="1:9" ht="27" x14ac:dyDescent="0.15">
      <c r="A1910" s="6">
        <v>1909</v>
      </c>
      <c r="B1910" s="7" t="s">
        <v>8</v>
      </c>
      <c r="C1910" s="8">
        <v>1887</v>
      </c>
      <c r="D1910" s="9">
        <v>45425</v>
      </c>
      <c r="E1910" s="13" t="str">
        <f>+HYPERLINK("http://trademark.i-assist.jp/data/china/image_1887th/77004523.pdf","77004523")</f>
        <v>77004523</v>
      </c>
      <c r="F1910" s="7" t="s">
        <v>5193</v>
      </c>
      <c r="G1910" s="7" t="s">
        <v>5194</v>
      </c>
      <c r="H1910" s="7" t="s">
        <v>5195</v>
      </c>
      <c r="I1910" s="9">
        <v>45350</v>
      </c>
    </row>
    <row r="1911" spans="1:9" x14ac:dyDescent="0.15">
      <c r="A1911" s="6">
        <v>1910</v>
      </c>
      <c r="B1911" s="7" t="s">
        <v>8</v>
      </c>
      <c r="C1911" s="8">
        <v>1887</v>
      </c>
      <c r="D1911" s="9">
        <v>45425</v>
      </c>
      <c r="E1911" s="13" t="str">
        <f>+HYPERLINK("http://trademark.i-assist.jp/data/china/image_1887th/77004648.pdf","77004648")</f>
        <v>77004648</v>
      </c>
      <c r="F1911" s="7" t="s">
        <v>5196</v>
      </c>
      <c r="G1911" s="7" t="s">
        <v>5197</v>
      </c>
      <c r="H1911" s="7" t="s">
        <v>5198</v>
      </c>
      <c r="I1911" s="9">
        <v>45350</v>
      </c>
    </row>
    <row r="1912" spans="1:9" x14ac:dyDescent="0.15">
      <c r="A1912" s="6">
        <v>1911</v>
      </c>
      <c r="B1912" s="7" t="s">
        <v>8</v>
      </c>
      <c r="C1912" s="8">
        <v>1887</v>
      </c>
      <c r="D1912" s="9">
        <v>45425</v>
      </c>
      <c r="E1912" s="13" t="str">
        <f>+HYPERLINK("http://trademark.i-assist.jp/data/china/image_1887th/77004668.pdf","77004668")</f>
        <v>77004668</v>
      </c>
      <c r="F1912" s="7" t="s">
        <v>5199</v>
      </c>
      <c r="G1912" s="7" t="s">
        <v>5200</v>
      </c>
      <c r="H1912" s="7" t="s">
        <v>5201</v>
      </c>
      <c r="I1912" s="9">
        <v>45350</v>
      </c>
    </row>
    <row r="1913" spans="1:9" ht="27" x14ac:dyDescent="0.15">
      <c r="A1913" s="6">
        <v>1912</v>
      </c>
      <c r="B1913" s="7" t="s">
        <v>8</v>
      </c>
      <c r="C1913" s="8">
        <v>1887</v>
      </c>
      <c r="D1913" s="9">
        <v>45425</v>
      </c>
      <c r="E1913" s="13" t="str">
        <f>+HYPERLINK("http://trademark.i-assist.jp/data/china/image_1887th/77005176.pdf","77005176")</f>
        <v>77005176</v>
      </c>
      <c r="F1913" s="7" t="s">
        <v>5202</v>
      </c>
      <c r="G1913" s="7" t="s">
        <v>5203</v>
      </c>
      <c r="H1913" s="7" t="s">
        <v>5204</v>
      </c>
      <c r="I1913" s="9">
        <v>45350</v>
      </c>
    </row>
    <row r="1914" spans="1:9" ht="27" x14ac:dyDescent="0.15">
      <c r="A1914" s="6">
        <v>1913</v>
      </c>
      <c r="B1914" s="7" t="s">
        <v>8</v>
      </c>
      <c r="C1914" s="8">
        <v>1887</v>
      </c>
      <c r="D1914" s="9">
        <v>45425</v>
      </c>
      <c r="E1914" s="13" t="str">
        <f>+HYPERLINK("http://trademark.i-assist.jp/data/china/image_1887th/77005357.pdf","77005357")</f>
        <v>77005357</v>
      </c>
      <c r="F1914" s="7" t="s">
        <v>5205</v>
      </c>
      <c r="G1914" s="7" t="s">
        <v>5206</v>
      </c>
      <c r="H1914" s="7" t="s">
        <v>5207</v>
      </c>
      <c r="I1914" s="9">
        <v>45350</v>
      </c>
    </row>
    <row r="1915" spans="1:9" x14ac:dyDescent="0.15">
      <c r="A1915" s="6">
        <v>1914</v>
      </c>
      <c r="B1915" s="7" t="s">
        <v>8</v>
      </c>
      <c r="C1915" s="8">
        <v>1887</v>
      </c>
      <c r="D1915" s="9">
        <v>45425</v>
      </c>
      <c r="E1915" s="13" t="str">
        <f>+HYPERLINK("http://trademark.i-assist.jp/data/china/image_1887th/77005520.pdf","77005520")</f>
        <v>77005520</v>
      </c>
      <c r="F1915" s="7" t="s">
        <v>5208</v>
      </c>
      <c r="G1915" s="7" t="s">
        <v>5209</v>
      </c>
      <c r="H1915" s="7" t="s">
        <v>5210</v>
      </c>
      <c r="I1915" s="9">
        <v>45350</v>
      </c>
    </row>
    <row r="1916" spans="1:9" ht="27" x14ac:dyDescent="0.15">
      <c r="A1916" s="6">
        <v>1915</v>
      </c>
      <c r="B1916" s="7" t="s">
        <v>8</v>
      </c>
      <c r="C1916" s="8">
        <v>1887</v>
      </c>
      <c r="D1916" s="9">
        <v>45425</v>
      </c>
      <c r="E1916" s="13" t="str">
        <f>+HYPERLINK("http://trademark.i-assist.jp/data/china/image_1887th/77005533.pdf","77005533")</f>
        <v>77005533</v>
      </c>
      <c r="F1916" s="7" t="s">
        <v>5211</v>
      </c>
      <c r="G1916" s="7" t="s">
        <v>5212</v>
      </c>
      <c r="H1916" s="7" t="s">
        <v>5213</v>
      </c>
      <c r="I1916" s="9">
        <v>45350</v>
      </c>
    </row>
    <row r="1917" spans="1:9" x14ac:dyDescent="0.15">
      <c r="A1917" s="6">
        <v>1916</v>
      </c>
      <c r="B1917" s="7" t="s">
        <v>8</v>
      </c>
      <c r="C1917" s="8">
        <v>1887</v>
      </c>
      <c r="D1917" s="9">
        <v>45425</v>
      </c>
      <c r="E1917" s="13" t="str">
        <f>+HYPERLINK("http://trademark.i-assist.jp/data/china/image_1887th/77005698.pdf","77005698")</f>
        <v>77005698</v>
      </c>
      <c r="F1917" s="7" t="s">
        <v>5214</v>
      </c>
      <c r="G1917" s="7" t="s">
        <v>1534</v>
      </c>
      <c r="H1917" s="7" t="s">
        <v>5215</v>
      </c>
      <c r="I1917" s="9">
        <v>45350</v>
      </c>
    </row>
    <row r="1918" spans="1:9" x14ac:dyDescent="0.15">
      <c r="A1918" s="6">
        <v>1917</v>
      </c>
      <c r="B1918" s="7" t="s">
        <v>8</v>
      </c>
      <c r="C1918" s="8">
        <v>1887</v>
      </c>
      <c r="D1918" s="9">
        <v>45425</v>
      </c>
      <c r="E1918" s="13" t="str">
        <f>+HYPERLINK("http://trademark.i-assist.jp/data/china/image_1887th/77005920.pdf","77005920")</f>
        <v>77005920</v>
      </c>
      <c r="F1918" s="7" t="s">
        <v>5216</v>
      </c>
      <c r="G1918" s="7" t="s">
        <v>5217</v>
      </c>
      <c r="H1918" s="7" t="s">
        <v>5218</v>
      </c>
      <c r="I1918" s="9">
        <v>45350</v>
      </c>
    </row>
    <row r="1919" spans="1:9" x14ac:dyDescent="0.15">
      <c r="A1919" s="6">
        <v>1918</v>
      </c>
      <c r="B1919" s="7" t="s">
        <v>8</v>
      </c>
      <c r="C1919" s="8">
        <v>1887</v>
      </c>
      <c r="D1919" s="9">
        <v>45425</v>
      </c>
      <c r="E1919" s="13" t="str">
        <f>+HYPERLINK("http://trademark.i-assist.jp/data/china/image_1887th/77006040.pdf","77006040")</f>
        <v>77006040</v>
      </c>
      <c r="F1919" s="7" t="s">
        <v>5219</v>
      </c>
      <c r="G1919" s="7" t="s">
        <v>5220</v>
      </c>
      <c r="H1919" s="7" t="s">
        <v>5221</v>
      </c>
      <c r="I1919" s="9">
        <v>45350</v>
      </c>
    </row>
    <row r="1920" spans="1:9" x14ac:dyDescent="0.15">
      <c r="A1920" s="6">
        <v>1919</v>
      </c>
      <c r="B1920" s="7" t="s">
        <v>8</v>
      </c>
      <c r="C1920" s="8">
        <v>1887</v>
      </c>
      <c r="D1920" s="9">
        <v>45425</v>
      </c>
      <c r="E1920" s="13" t="str">
        <f>+HYPERLINK("http://trademark.i-assist.jp/data/china/image_1887th/77006043.pdf","77006043")</f>
        <v>77006043</v>
      </c>
      <c r="F1920" s="7" t="s">
        <v>5222</v>
      </c>
      <c r="G1920" s="7" t="s">
        <v>5220</v>
      </c>
      <c r="H1920" s="7" t="s">
        <v>5223</v>
      </c>
      <c r="I1920" s="9">
        <v>45350</v>
      </c>
    </row>
    <row r="1921" spans="1:9" x14ac:dyDescent="0.15">
      <c r="A1921" s="6">
        <v>1920</v>
      </c>
      <c r="B1921" s="7" t="s">
        <v>8</v>
      </c>
      <c r="C1921" s="8">
        <v>1887</v>
      </c>
      <c r="D1921" s="9">
        <v>45425</v>
      </c>
      <c r="E1921" s="13" t="str">
        <f>+HYPERLINK("http://trademark.i-assist.jp/data/china/image_1887th/77006103.pdf","77006103")</f>
        <v>77006103</v>
      </c>
      <c r="F1921" s="7" t="s">
        <v>5224</v>
      </c>
      <c r="G1921" s="7" t="s">
        <v>5225</v>
      </c>
      <c r="H1921" s="7" t="s">
        <v>5226</v>
      </c>
      <c r="I1921" s="9">
        <v>45350</v>
      </c>
    </row>
    <row r="1922" spans="1:9" x14ac:dyDescent="0.15">
      <c r="A1922" s="6">
        <v>1921</v>
      </c>
      <c r="B1922" s="7" t="s">
        <v>8</v>
      </c>
      <c r="C1922" s="8">
        <v>1887</v>
      </c>
      <c r="D1922" s="9">
        <v>45425</v>
      </c>
      <c r="E1922" s="13" t="str">
        <f>+HYPERLINK("http://trademark.i-assist.jp/data/china/image_1887th/77006176.pdf","77006176")</f>
        <v>77006176</v>
      </c>
      <c r="F1922" s="7" t="s">
        <v>5227</v>
      </c>
      <c r="G1922" s="7" t="s">
        <v>5228</v>
      </c>
      <c r="H1922" s="7" t="s">
        <v>5229</v>
      </c>
      <c r="I1922" s="9">
        <v>45350</v>
      </c>
    </row>
    <row r="1923" spans="1:9" x14ac:dyDescent="0.15">
      <c r="A1923" s="6">
        <v>1922</v>
      </c>
      <c r="B1923" s="7" t="s">
        <v>8</v>
      </c>
      <c r="C1923" s="8">
        <v>1887</v>
      </c>
      <c r="D1923" s="9">
        <v>45425</v>
      </c>
      <c r="E1923" s="13" t="str">
        <f>+HYPERLINK("http://trademark.i-assist.jp/data/china/image_1887th/77006594.pdf","77006594")</f>
        <v>77006594</v>
      </c>
      <c r="F1923" s="7" t="s">
        <v>5230</v>
      </c>
      <c r="G1923" s="7" t="s">
        <v>5231</v>
      </c>
      <c r="H1923" s="7" t="s">
        <v>5232</v>
      </c>
      <c r="I1923" s="9">
        <v>45350</v>
      </c>
    </row>
    <row r="1924" spans="1:9" x14ac:dyDescent="0.15">
      <c r="A1924" s="6">
        <v>1923</v>
      </c>
      <c r="B1924" s="7" t="s">
        <v>8</v>
      </c>
      <c r="C1924" s="8">
        <v>1887</v>
      </c>
      <c r="D1924" s="9">
        <v>45425</v>
      </c>
      <c r="E1924" s="13" t="str">
        <f>+HYPERLINK("http://trademark.i-assist.jp/data/china/image_1887th/77006900.pdf","77006900")</f>
        <v>77006900</v>
      </c>
      <c r="F1924" s="7" t="s">
        <v>5233</v>
      </c>
      <c r="G1924" s="7" t="s">
        <v>5234</v>
      </c>
      <c r="H1924" s="7" t="s">
        <v>5235</v>
      </c>
      <c r="I1924" s="9">
        <v>45350</v>
      </c>
    </row>
    <row r="1925" spans="1:9" x14ac:dyDescent="0.15">
      <c r="A1925" s="6">
        <v>1924</v>
      </c>
      <c r="B1925" s="7" t="s">
        <v>8</v>
      </c>
      <c r="C1925" s="8">
        <v>1887</v>
      </c>
      <c r="D1925" s="9">
        <v>45425</v>
      </c>
      <c r="E1925" s="13" t="str">
        <f>+HYPERLINK("http://trademark.i-assist.jp/data/china/image_1887th/77006992.pdf","77006992")</f>
        <v>77006992</v>
      </c>
      <c r="F1925" s="7" t="s">
        <v>5236</v>
      </c>
      <c r="G1925" s="7" t="s">
        <v>5237</v>
      </c>
      <c r="H1925" s="7" t="s">
        <v>5238</v>
      </c>
      <c r="I1925" s="9">
        <v>45350</v>
      </c>
    </row>
    <row r="1926" spans="1:9" x14ac:dyDescent="0.15">
      <c r="A1926" s="6">
        <v>1925</v>
      </c>
      <c r="B1926" s="7" t="s">
        <v>8</v>
      </c>
      <c r="C1926" s="8">
        <v>1887</v>
      </c>
      <c r="D1926" s="9">
        <v>45425</v>
      </c>
      <c r="E1926" s="13" t="str">
        <f>+HYPERLINK("http://trademark.i-assist.jp/data/china/image_1887th/77007033.pdf","77007033")</f>
        <v>77007033</v>
      </c>
      <c r="F1926" s="7" t="s">
        <v>5239</v>
      </c>
      <c r="G1926" s="7" t="s">
        <v>5240</v>
      </c>
      <c r="H1926" s="7" t="s">
        <v>5241</v>
      </c>
      <c r="I1926" s="9">
        <v>45350</v>
      </c>
    </row>
    <row r="1927" spans="1:9" x14ac:dyDescent="0.15">
      <c r="A1927" s="6">
        <v>1926</v>
      </c>
      <c r="B1927" s="7" t="s">
        <v>8</v>
      </c>
      <c r="C1927" s="8">
        <v>1887</v>
      </c>
      <c r="D1927" s="9">
        <v>45425</v>
      </c>
      <c r="E1927" s="13" t="str">
        <f>+HYPERLINK("http://trademark.i-assist.jp/data/china/image_1887th/77007180.pdf","77007180")</f>
        <v>77007180</v>
      </c>
      <c r="F1927" s="7" t="s">
        <v>5242</v>
      </c>
      <c r="G1927" s="7" t="s">
        <v>4285</v>
      </c>
      <c r="H1927" s="7" t="s">
        <v>5243</v>
      </c>
      <c r="I1927" s="9">
        <v>45350</v>
      </c>
    </row>
    <row r="1928" spans="1:9" x14ac:dyDescent="0.15">
      <c r="A1928" s="6">
        <v>1927</v>
      </c>
      <c r="B1928" s="7" t="s">
        <v>8</v>
      </c>
      <c r="C1928" s="8">
        <v>1887</v>
      </c>
      <c r="D1928" s="9">
        <v>45425</v>
      </c>
      <c r="E1928" s="13" t="str">
        <f>+HYPERLINK("http://trademark.i-assist.jp/data/china/image_1887th/77007323.pdf","77007323")</f>
        <v>77007323</v>
      </c>
      <c r="F1928" s="7" t="s">
        <v>5244</v>
      </c>
      <c r="G1928" s="7" t="s">
        <v>5245</v>
      </c>
      <c r="H1928" s="7" t="s">
        <v>5246</v>
      </c>
      <c r="I1928" s="9">
        <v>45350</v>
      </c>
    </row>
    <row r="1929" spans="1:9" x14ac:dyDescent="0.15">
      <c r="A1929" s="6">
        <v>1928</v>
      </c>
      <c r="B1929" s="7" t="s">
        <v>8</v>
      </c>
      <c r="C1929" s="8">
        <v>1887</v>
      </c>
      <c r="D1929" s="9">
        <v>45425</v>
      </c>
      <c r="E1929" s="13" t="str">
        <f>+HYPERLINK("http://trademark.i-assist.jp/data/china/image_1887th/77007675.pdf","77007675")</f>
        <v>77007675</v>
      </c>
      <c r="F1929" s="7" t="s">
        <v>5247</v>
      </c>
      <c r="G1929" s="7" t="s">
        <v>5220</v>
      </c>
      <c r="H1929" s="7" t="s">
        <v>5248</v>
      </c>
      <c r="I1929" s="9">
        <v>45350</v>
      </c>
    </row>
    <row r="1930" spans="1:9" x14ac:dyDescent="0.15">
      <c r="A1930" s="6">
        <v>1929</v>
      </c>
      <c r="B1930" s="7" t="s">
        <v>8</v>
      </c>
      <c r="C1930" s="8">
        <v>1887</v>
      </c>
      <c r="D1930" s="9">
        <v>45425</v>
      </c>
      <c r="E1930" s="13" t="str">
        <f>+HYPERLINK("http://trademark.i-assist.jp/data/china/image_1887th/77007704.pdf","77007704")</f>
        <v>77007704</v>
      </c>
      <c r="F1930" s="7" t="s">
        <v>5249</v>
      </c>
      <c r="G1930" s="7" t="s">
        <v>5250</v>
      </c>
      <c r="H1930" s="7" t="s">
        <v>5251</v>
      </c>
      <c r="I1930" s="9">
        <v>45350</v>
      </c>
    </row>
    <row r="1931" spans="1:9" ht="27" x14ac:dyDescent="0.15">
      <c r="A1931" s="6">
        <v>1930</v>
      </c>
      <c r="B1931" s="7" t="s">
        <v>8</v>
      </c>
      <c r="C1931" s="8">
        <v>1887</v>
      </c>
      <c r="D1931" s="9">
        <v>45425</v>
      </c>
      <c r="E1931" s="13" t="str">
        <f>+HYPERLINK("http://trademark.i-assist.jp/data/china/image_1887th/77007869.pdf","77007869")</f>
        <v>77007869</v>
      </c>
      <c r="F1931" s="7" t="s">
        <v>5252</v>
      </c>
      <c r="G1931" s="7" t="s">
        <v>5145</v>
      </c>
      <c r="H1931" s="7" t="s">
        <v>5253</v>
      </c>
      <c r="I1931" s="9">
        <v>45350</v>
      </c>
    </row>
    <row r="1932" spans="1:9" x14ac:dyDescent="0.15">
      <c r="A1932" s="6">
        <v>1931</v>
      </c>
      <c r="B1932" s="7" t="s">
        <v>8</v>
      </c>
      <c r="C1932" s="8">
        <v>1887</v>
      </c>
      <c r="D1932" s="9">
        <v>45425</v>
      </c>
      <c r="E1932" s="13" t="str">
        <f>+HYPERLINK("http://trademark.i-assist.jp/data/china/image_1887th/77007986.pdf","77007986")</f>
        <v>77007986</v>
      </c>
      <c r="F1932" s="7" t="s">
        <v>5254</v>
      </c>
      <c r="G1932" s="7" t="s">
        <v>4285</v>
      </c>
      <c r="H1932" s="7" t="s">
        <v>5255</v>
      </c>
      <c r="I1932" s="9">
        <v>45350</v>
      </c>
    </row>
    <row r="1933" spans="1:9" x14ac:dyDescent="0.15">
      <c r="A1933" s="6">
        <v>1932</v>
      </c>
      <c r="B1933" s="7" t="s">
        <v>8</v>
      </c>
      <c r="C1933" s="8">
        <v>1887</v>
      </c>
      <c r="D1933" s="9">
        <v>45425</v>
      </c>
      <c r="E1933" s="13" t="str">
        <f>+HYPERLINK("http://trademark.i-assist.jp/data/china/image_1887th/77008104.pdf","77008104")</f>
        <v>77008104</v>
      </c>
      <c r="F1933" s="7" t="s">
        <v>5256</v>
      </c>
      <c r="G1933" s="7" t="s">
        <v>5032</v>
      </c>
      <c r="H1933" s="7" t="s">
        <v>5257</v>
      </c>
      <c r="I1933" s="9">
        <v>45350</v>
      </c>
    </row>
    <row r="1934" spans="1:9" x14ac:dyDescent="0.15">
      <c r="A1934" s="6">
        <v>1933</v>
      </c>
      <c r="B1934" s="7" t="s">
        <v>8</v>
      </c>
      <c r="C1934" s="8">
        <v>1887</v>
      </c>
      <c r="D1934" s="9">
        <v>45425</v>
      </c>
      <c r="E1934" s="13" t="str">
        <f>+HYPERLINK("http://trademark.i-assist.jp/data/china/image_1887th/77008143.pdf","77008143")</f>
        <v>77008143</v>
      </c>
      <c r="F1934" s="7" t="s">
        <v>5258</v>
      </c>
      <c r="G1934" s="7" t="s">
        <v>5259</v>
      </c>
      <c r="H1934" s="7" t="s">
        <v>5260</v>
      </c>
      <c r="I1934" s="9">
        <v>45350</v>
      </c>
    </row>
    <row r="1935" spans="1:9" x14ac:dyDescent="0.15">
      <c r="A1935" s="6">
        <v>1934</v>
      </c>
      <c r="B1935" s="7" t="s">
        <v>8</v>
      </c>
      <c r="C1935" s="8">
        <v>1887</v>
      </c>
      <c r="D1935" s="9">
        <v>45425</v>
      </c>
      <c r="E1935" s="13" t="str">
        <f>+HYPERLINK("http://trademark.i-assist.jp/data/china/image_1887th/77008284.pdf","77008284")</f>
        <v>77008284</v>
      </c>
      <c r="F1935" s="7" t="s">
        <v>54</v>
      </c>
      <c r="G1935" s="7" t="s">
        <v>5261</v>
      </c>
      <c r="H1935" s="7" t="s">
        <v>5262</v>
      </c>
      <c r="I1935" s="9">
        <v>45350</v>
      </c>
    </row>
    <row r="1936" spans="1:9" x14ac:dyDescent="0.15">
      <c r="A1936" s="6">
        <v>1935</v>
      </c>
      <c r="B1936" s="7" t="s">
        <v>8</v>
      </c>
      <c r="C1936" s="8">
        <v>1887</v>
      </c>
      <c r="D1936" s="9">
        <v>45425</v>
      </c>
      <c r="E1936" s="13" t="str">
        <f>+HYPERLINK("http://trademark.i-assist.jp/data/china/image_1887th/77008415.pdf","77008415")</f>
        <v>77008415</v>
      </c>
      <c r="F1936" s="7" t="s">
        <v>5263</v>
      </c>
      <c r="G1936" s="7" t="s">
        <v>5264</v>
      </c>
      <c r="H1936" s="7" t="s">
        <v>5265</v>
      </c>
      <c r="I1936" s="9">
        <v>45350</v>
      </c>
    </row>
    <row r="1937" spans="1:9" x14ac:dyDescent="0.15">
      <c r="A1937" s="6">
        <v>1936</v>
      </c>
      <c r="B1937" s="7" t="s">
        <v>8</v>
      </c>
      <c r="C1937" s="8">
        <v>1887</v>
      </c>
      <c r="D1937" s="9">
        <v>45425</v>
      </c>
      <c r="E1937" s="13" t="str">
        <f>+HYPERLINK("http://trademark.i-assist.jp/data/china/image_1887th/77008564.pdf","77008564")</f>
        <v>77008564</v>
      </c>
      <c r="F1937" s="7" t="s">
        <v>5266</v>
      </c>
      <c r="G1937" s="7" t="s">
        <v>5220</v>
      </c>
      <c r="H1937" s="7" t="s">
        <v>5267</v>
      </c>
      <c r="I1937" s="9">
        <v>45350</v>
      </c>
    </row>
    <row r="1938" spans="1:9" x14ac:dyDescent="0.15">
      <c r="A1938" s="6">
        <v>1937</v>
      </c>
      <c r="B1938" s="7" t="s">
        <v>8</v>
      </c>
      <c r="C1938" s="8">
        <v>1887</v>
      </c>
      <c r="D1938" s="9">
        <v>45425</v>
      </c>
      <c r="E1938" s="13" t="str">
        <f>+HYPERLINK("http://trademark.i-assist.jp/data/china/image_1887th/77008571.pdf","77008571")</f>
        <v>77008571</v>
      </c>
      <c r="F1938" s="7" t="s">
        <v>5268</v>
      </c>
      <c r="G1938" s="7" t="s">
        <v>5220</v>
      </c>
      <c r="H1938" s="7" t="s">
        <v>5269</v>
      </c>
      <c r="I1938" s="9">
        <v>45350</v>
      </c>
    </row>
    <row r="1939" spans="1:9" ht="27" x14ac:dyDescent="0.15">
      <c r="A1939" s="6">
        <v>1938</v>
      </c>
      <c r="B1939" s="7" t="s">
        <v>8</v>
      </c>
      <c r="C1939" s="8">
        <v>1887</v>
      </c>
      <c r="D1939" s="9">
        <v>45425</v>
      </c>
      <c r="E1939" s="13" t="str">
        <f>+HYPERLINK("http://trademark.i-assist.jp/data/china/image_1887th/77008658.pdf","77008658")</f>
        <v>77008658</v>
      </c>
      <c r="F1939" s="7" t="s">
        <v>5270</v>
      </c>
      <c r="G1939" s="7" t="s">
        <v>3532</v>
      </c>
      <c r="H1939" s="7" t="s">
        <v>5271</v>
      </c>
      <c r="I1939" s="9">
        <v>45350</v>
      </c>
    </row>
    <row r="1940" spans="1:9" x14ac:dyDescent="0.15">
      <c r="A1940" s="6">
        <v>1939</v>
      </c>
      <c r="B1940" s="7" t="s">
        <v>8</v>
      </c>
      <c r="C1940" s="8">
        <v>1887</v>
      </c>
      <c r="D1940" s="9">
        <v>45425</v>
      </c>
      <c r="E1940" s="13" t="str">
        <f>+HYPERLINK("http://trademark.i-assist.jp/data/china/image_1887th/77008871.pdf","77008871")</f>
        <v>77008871</v>
      </c>
      <c r="F1940" s="7" t="s">
        <v>5272</v>
      </c>
      <c r="G1940" s="7" t="s">
        <v>5273</v>
      </c>
      <c r="H1940" s="7" t="s">
        <v>5274</v>
      </c>
      <c r="I1940" s="9">
        <v>45350</v>
      </c>
    </row>
    <row r="1941" spans="1:9" x14ac:dyDescent="0.15">
      <c r="A1941" s="6">
        <v>1940</v>
      </c>
      <c r="B1941" s="7" t="s">
        <v>8</v>
      </c>
      <c r="C1941" s="8">
        <v>1887</v>
      </c>
      <c r="D1941" s="9">
        <v>45425</v>
      </c>
      <c r="E1941" s="13" t="str">
        <f>+HYPERLINK("http://trademark.i-assist.jp/data/china/image_1887th/77008913.pdf","77008913")</f>
        <v>77008913</v>
      </c>
      <c r="F1941" s="7" t="s">
        <v>5275</v>
      </c>
      <c r="G1941" s="7" t="s">
        <v>5276</v>
      </c>
      <c r="H1941" s="7" t="s">
        <v>5277</v>
      </c>
      <c r="I1941" s="9">
        <v>45350</v>
      </c>
    </row>
    <row r="1942" spans="1:9" x14ac:dyDescent="0.15">
      <c r="A1942" s="6">
        <v>1941</v>
      </c>
      <c r="B1942" s="7" t="s">
        <v>8</v>
      </c>
      <c r="C1942" s="8">
        <v>1887</v>
      </c>
      <c r="D1942" s="9">
        <v>45425</v>
      </c>
      <c r="E1942" s="13" t="str">
        <f>+HYPERLINK("http://trademark.i-assist.jp/data/china/image_1887th/77008970.pdf","77008970")</f>
        <v>77008970</v>
      </c>
      <c r="F1942" s="7" t="s">
        <v>5278</v>
      </c>
      <c r="G1942" s="7" t="s">
        <v>5279</v>
      </c>
      <c r="H1942" s="7" t="s">
        <v>5280</v>
      </c>
      <c r="I1942" s="9">
        <v>45350</v>
      </c>
    </row>
    <row r="1943" spans="1:9" ht="27" x14ac:dyDescent="0.15">
      <c r="A1943" s="6">
        <v>1942</v>
      </c>
      <c r="B1943" s="7" t="s">
        <v>8</v>
      </c>
      <c r="C1943" s="8">
        <v>1887</v>
      </c>
      <c r="D1943" s="9">
        <v>45425</v>
      </c>
      <c r="E1943" s="13" t="str">
        <f>+HYPERLINK("http://trademark.i-assist.jp/data/china/image_1887th/77009207.pdf","77009207")</f>
        <v>77009207</v>
      </c>
      <c r="F1943" s="7" t="s">
        <v>5281</v>
      </c>
      <c r="G1943" s="7" t="s">
        <v>5282</v>
      </c>
      <c r="H1943" s="7" t="s">
        <v>5283</v>
      </c>
      <c r="I1943" s="9">
        <v>45350</v>
      </c>
    </row>
    <row r="1944" spans="1:9" x14ac:dyDescent="0.15">
      <c r="A1944" s="6">
        <v>1943</v>
      </c>
      <c r="B1944" s="7" t="s">
        <v>8</v>
      </c>
      <c r="C1944" s="8">
        <v>1887</v>
      </c>
      <c r="D1944" s="9">
        <v>45425</v>
      </c>
      <c r="E1944" s="13" t="str">
        <f>+HYPERLINK("http://trademark.i-assist.jp/data/china/image_1887th/77009323.pdf","77009323")</f>
        <v>77009323</v>
      </c>
      <c r="F1944" s="7" t="s">
        <v>5284</v>
      </c>
      <c r="G1944" s="7" t="s">
        <v>5285</v>
      </c>
      <c r="H1944" s="7" t="s">
        <v>5286</v>
      </c>
      <c r="I1944" s="9">
        <v>45350</v>
      </c>
    </row>
    <row r="1945" spans="1:9" x14ac:dyDescent="0.15">
      <c r="A1945" s="6">
        <v>1944</v>
      </c>
      <c r="B1945" s="7" t="s">
        <v>8</v>
      </c>
      <c r="C1945" s="8">
        <v>1887</v>
      </c>
      <c r="D1945" s="9">
        <v>45425</v>
      </c>
      <c r="E1945" s="13" t="str">
        <f>+HYPERLINK("http://trademark.i-assist.jp/data/china/image_1887th/77009601.pdf","77009601")</f>
        <v>77009601</v>
      </c>
      <c r="F1945" s="7" t="s">
        <v>5287</v>
      </c>
      <c r="G1945" s="7" t="s">
        <v>2097</v>
      </c>
      <c r="H1945" s="7" t="s">
        <v>5288</v>
      </c>
      <c r="I1945" s="9">
        <v>45350</v>
      </c>
    </row>
    <row r="1946" spans="1:9" x14ac:dyDescent="0.15">
      <c r="A1946" s="6">
        <v>1945</v>
      </c>
      <c r="B1946" s="7" t="s">
        <v>8</v>
      </c>
      <c r="C1946" s="8">
        <v>1887</v>
      </c>
      <c r="D1946" s="9">
        <v>45425</v>
      </c>
      <c r="E1946" s="13" t="str">
        <f>+HYPERLINK("http://trademark.i-assist.jp/data/china/image_1887th/77009764.pdf","77009764")</f>
        <v>77009764</v>
      </c>
      <c r="F1946" s="7" t="s">
        <v>5289</v>
      </c>
      <c r="G1946" s="7" t="s">
        <v>5290</v>
      </c>
      <c r="H1946" s="7" t="s">
        <v>5291</v>
      </c>
      <c r="I1946" s="9">
        <v>45350</v>
      </c>
    </row>
    <row r="1947" spans="1:9" x14ac:dyDescent="0.15">
      <c r="A1947" s="6">
        <v>1946</v>
      </c>
      <c r="B1947" s="7" t="s">
        <v>8</v>
      </c>
      <c r="C1947" s="8">
        <v>1887</v>
      </c>
      <c r="D1947" s="9">
        <v>45425</v>
      </c>
      <c r="E1947" s="13" t="str">
        <f>+HYPERLINK("http://trademark.i-assist.jp/data/china/image_1887th/77009788.pdf","77009788")</f>
        <v>77009788</v>
      </c>
      <c r="F1947" s="7" t="s">
        <v>5292</v>
      </c>
      <c r="G1947" s="7" t="s">
        <v>5293</v>
      </c>
      <c r="H1947" s="7" t="s">
        <v>5294</v>
      </c>
      <c r="I1947" s="9">
        <v>45350</v>
      </c>
    </row>
    <row r="1948" spans="1:9" x14ac:dyDescent="0.15">
      <c r="A1948" s="6">
        <v>1947</v>
      </c>
      <c r="B1948" s="7" t="s">
        <v>8</v>
      </c>
      <c r="C1948" s="8">
        <v>1887</v>
      </c>
      <c r="D1948" s="9">
        <v>45425</v>
      </c>
      <c r="E1948" s="13" t="str">
        <f>+HYPERLINK("http://trademark.i-assist.jp/data/china/image_1887th/77009826.pdf","77009826")</f>
        <v>77009826</v>
      </c>
      <c r="F1948" s="7" t="s">
        <v>5295</v>
      </c>
      <c r="G1948" s="7" t="s">
        <v>5296</v>
      </c>
      <c r="H1948" s="7" t="s">
        <v>5297</v>
      </c>
      <c r="I1948" s="9">
        <v>45350</v>
      </c>
    </row>
    <row r="1949" spans="1:9" x14ac:dyDescent="0.15">
      <c r="A1949" s="6">
        <v>1948</v>
      </c>
      <c r="B1949" s="7" t="s">
        <v>8</v>
      </c>
      <c r="C1949" s="8">
        <v>1887</v>
      </c>
      <c r="D1949" s="9">
        <v>45425</v>
      </c>
      <c r="E1949" s="13" t="str">
        <f>+HYPERLINK("http://trademark.i-assist.jp/data/china/image_1887th/77009887.pdf","77009887")</f>
        <v>77009887</v>
      </c>
      <c r="F1949" s="7" t="s">
        <v>5298</v>
      </c>
      <c r="G1949" s="7" t="s">
        <v>5299</v>
      </c>
      <c r="H1949" s="7" t="s">
        <v>5300</v>
      </c>
      <c r="I1949" s="9">
        <v>45350</v>
      </c>
    </row>
    <row r="1950" spans="1:9" x14ac:dyDescent="0.15">
      <c r="A1950" s="6">
        <v>1949</v>
      </c>
      <c r="B1950" s="7" t="s">
        <v>8</v>
      </c>
      <c r="C1950" s="8">
        <v>1887</v>
      </c>
      <c r="D1950" s="9">
        <v>45425</v>
      </c>
      <c r="E1950" s="13" t="str">
        <f>+HYPERLINK("http://trademark.i-assist.jp/data/china/image_1887th/77010106.pdf","77010106")</f>
        <v>77010106</v>
      </c>
      <c r="F1950" s="7" t="s">
        <v>5301</v>
      </c>
      <c r="G1950" s="7" t="s">
        <v>5302</v>
      </c>
      <c r="H1950" s="7" t="s">
        <v>5303</v>
      </c>
      <c r="I1950" s="9">
        <v>45350</v>
      </c>
    </row>
    <row r="1951" spans="1:9" x14ac:dyDescent="0.15">
      <c r="A1951" s="6">
        <v>1950</v>
      </c>
      <c r="B1951" s="7" t="s">
        <v>8</v>
      </c>
      <c r="C1951" s="8">
        <v>1887</v>
      </c>
      <c r="D1951" s="9">
        <v>45425</v>
      </c>
      <c r="E1951" s="13" t="str">
        <f>+HYPERLINK("http://trademark.i-assist.jp/data/china/image_1887th/77011280.pdf","77011280")</f>
        <v>77011280</v>
      </c>
      <c r="F1951" s="7" t="s">
        <v>5304</v>
      </c>
      <c r="G1951" s="7" t="s">
        <v>5305</v>
      </c>
      <c r="H1951" s="7" t="s">
        <v>5306</v>
      </c>
      <c r="I1951" s="9">
        <v>45350</v>
      </c>
    </row>
    <row r="1952" spans="1:9" x14ac:dyDescent="0.15">
      <c r="A1952" s="6">
        <v>1951</v>
      </c>
      <c r="B1952" s="7" t="s">
        <v>8</v>
      </c>
      <c r="C1952" s="8">
        <v>1887</v>
      </c>
      <c r="D1952" s="9">
        <v>45425</v>
      </c>
      <c r="E1952" s="13" t="str">
        <f>+HYPERLINK("http://trademark.i-assist.jp/data/china/image_1887th/77011809.pdf","77011809")</f>
        <v>77011809</v>
      </c>
      <c r="F1952" s="7" t="s">
        <v>5307</v>
      </c>
      <c r="G1952" s="7" t="s">
        <v>5308</v>
      </c>
      <c r="H1952" s="7" t="s">
        <v>5309</v>
      </c>
      <c r="I1952" s="9">
        <v>45350</v>
      </c>
    </row>
    <row r="1953" spans="1:9" x14ac:dyDescent="0.15">
      <c r="A1953" s="6">
        <v>1952</v>
      </c>
      <c r="B1953" s="7" t="s">
        <v>8</v>
      </c>
      <c r="C1953" s="8">
        <v>1887</v>
      </c>
      <c r="D1953" s="9">
        <v>45425</v>
      </c>
      <c r="E1953" s="13" t="str">
        <f>+HYPERLINK("http://trademark.i-assist.jp/data/china/image_1887th/77011829.pdf","77011829")</f>
        <v>77011829</v>
      </c>
      <c r="F1953" s="7" t="s">
        <v>5310</v>
      </c>
      <c r="G1953" s="7" t="s">
        <v>5311</v>
      </c>
      <c r="H1953" s="7" t="s">
        <v>5312</v>
      </c>
      <c r="I1953" s="9">
        <v>45350</v>
      </c>
    </row>
    <row r="1954" spans="1:9" x14ac:dyDescent="0.15">
      <c r="A1954" s="6">
        <v>1953</v>
      </c>
      <c r="B1954" s="7" t="s">
        <v>8</v>
      </c>
      <c r="C1954" s="8">
        <v>1887</v>
      </c>
      <c r="D1954" s="9">
        <v>45425</v>
      </c>
      <c r="E1954" s="13" t="str">
        <f>+HYPERLINK("http://trademark.i-assist.jp/data/china/image_1887th/77012301.pdf","77012301")</f>
        <v>77012301</v>
      </c>
      <c r="F1954" s="7" t="s">
        <v>5313</v>
      </c>
      <c r="G1954" s="7" t="s">
        <v>5314</v>
      </c>
      <c r="H1954" s="7" t="s">
        <v>5315</v>
      </c>
      <c r="I1954" s="9">
        <v>45350</v>
      </c>
    </row>
    <row r="1955" spans="1:9" x14ac:dyDescent="0.15">
      <c r="A1955" s="6">
        <v>1954</v>
      </c>
      <c r="B1955" s="7" t="s">
        <v>8</v>
      </c>
      <c r="C1955" s="8">
        <v>1887</v>
      </c>
      <c r="D1955" s="9">
        <v>45425</v>
      </c>
      <c r="E1955" s="13" t="str">
        <f>+HYPERLINK("http://trademark.i-assist.jp/data/china/image_1887th/77012410.pdf","77012410")</f>
        <v>77012410</v>
      </c>
      <c r="F1955" s="7" t="s">
        <v>5316</v>
      </c>
      <c r="G1955" s="7" t="s">
        <v>5317</v>
      </c>
      <c r="H1955" s="7" t="s">
        <v>5318</v>
      </c>
      <c r="I1955" s="9">
        <v>45350</v>
      </c>
    </row>
    <row r="1956" spans="1:9" x14ac:dyDescent="0.15">
      <c r="A1956" s="6">
        <v>1955</v>
      </c>
      <c r="B1956" s="7" t="s">
        <v>8</v>
      </c>
      <c r="C1956" s="8">
        <v>1887</v>
      </c>
      <c r="D1956" s="9">
        <v>45425</v>
      </c>
      <c r="E1956" s="13" t="str">
        <f>+HYPERLINK("http://trademark.i-assist.jp/data/china/image_1887th/77012429.pdf","77012429")</f>
        <v>77012429</v>
      </c>
      <c r="F1956" s="7" t="s">
        <v>5319</v>
      </c>
      <c r="G1956" s="7" t="s">
        <v>5320</v>
      </c>
      <c r="H1956" s="7" t="s">
        <v>5321</v>
      </c>
      <c r="I1956" s="9">
        <v>45350</v>
      </c>
    </row>
    <row r="1957" spans="1:9" x14ac:dyDescent="0.15">
      <c r="A1957" s="6">
        <v>1956</v>
      </c>
      <c r="B1957" s="7" t="s">
        <v>8</v>
      </c>
      <c r="C1957" s="8">
        <v>1887</v>
      </c>
      <c r="D1957" s="9">
        <v>45425</v>
      </c>
      <c r="E1957" s="13" t="str">
        <f>+HYPERLINK("http://trademark.i-assist.jp/data/china/image_1887th/77012471.pdf","77012471")</f>
        <v>77012471</v>
      </c>
      <c r="F1957" s="7" t="s">
        <v>5322</v>
      </c>
      <c r="G1957" s="7" t="s">
        <v>5323</v>
      </c>
      <c r="H1957" s="7" t="s">
        <v>5324</v>
      </c>
      <c r="I1957" s="9">
        <v>45350</v>
      </c>
    </row>
    <row r="1958" spans="1:9" x14ac:dyDescent="0.15">
      <c r="A1958" s="6">
        <v>1957</v>
      </c>
      <c r="B1958" s="7" t="s">
        <v>8</v>
      </c>
      <c r="C1958" s="8">
        <v>1887</v>
      </c>
      <c r="D1958" s="9">
        <v>45425</v>
      </c>
      <c r="E1958" s="13" t="str">
        <f>+HYPERLINK("http://trademark.i-assist.jp/data/china/image_1887th/77012496.pdf","77012496")</f>
        <v>77012496</v>
      </c>
      <c r="F1958" s="7" t="s">
        <v>5325</v>
      </c>
      <c r="G1958" s="7" t="s">
        <v>5326</v>
      </c>
      <c r="H1958" s="7" t="s">
        <v>5327</v>
      </c>
      <c r="I1958" s="9">
        <v>45350</v>
      </c>
    </row>
    <row r="1959" spans="1:9" x14ac:dyDescent="0.15">
      <c r="A1959" s="6">
        <v>1958</v>
      </c>
      <c r="B1959" s="7" t="s">
        <v>8</v>
      </c>
      <c r="C1959" s="8">
        <v>1887</v>
      </c>
      <c r="D1959" s="9">
        <v>45425</v>
      </c>
      <c r="E1959" s="13" t="str">
        <f>+HYPERLINK("http://trademark.i-assist.jp/data/china/image_1887th/77012539.pdf","77012539")</f>
        <v>77012539</v>
      </c>
      <c r="F1959" s="7" t="s">
        <v>5328</v>
      </c>
      <c r="G1959" s="7" t="s">
        <v>5329</v>
      </c>
      <c r="H1959" s="7" t="s">
        <v>5330</v>
      </c>
      <c r="I1959" s="9">
        <v>45350</v>
      </c>
    </row>
    <row r="1960" spans="1:9" x14ac:dyDescent="0.15">
      <c r="A1960" s="6">
        <v>1959</v>
      </c>
      <c r="B1960" s="7" t="s">
        <v>8</v>
      </c>
      <c r="C1960" s="8">
        <v>1887</v>
      </c>
      <c r="D1960" s="9">
        <v>45425</v>
      </c>
      <c r="E1960" s="13" t="str">
        <f>+HYPERLINK("http://trademark.i-assist.jp/data/china/image_1887th/77012664.pdf","77012664")</f>
        <v>77012664</v>
      </c>
      <c r="F1960" s="7" t="s">
        <v>5331</v>
      </c>
      <c r="G1960" s="7" t="s">
        <v>5332</v>
      </c>
      <c r="H1960" s="7" t="s">
        <v>5333</v>
      </c>
      <c r="I1960" s="9">
        <v>45350</v>
      </c>
    </row>
    <row r="1961" spans="1:9" x14ac:dyDescent="0.15">
      <c r="A1961" s="6">
        <v>1960</v>
      </c>
      <c r="B1961" s="7" t="s">
        <v>8</v>
      </c>
      <c r="C1961" s="8">
        <v>1887</v>
      </c>
      <c r="D1961" s="9">
        <v>45425</v>
      </c>
      <c r="E1961" s="13" t="str">
        <f>+HYPERLINK("http://trademark.i-assist.jp/data/china/image_1887th/77013019.pdf","77013019")</f>
        <v>77013019</v>
      </c>
      <c r="F1961" s="7" t="s">
        <v>5334</v>
      </c>
      <c r="G1961" s="7" t="s">
        <v>5335</v>
      </c>
      <c r="H1961" s="7" t="s">
        <v>5336</v>
      </c>
      <c r="I1961" s="9">
        <v>45350</v>
      </c>
    </row>
    <row r="1962" spans="1:9" ht="27" x14ac:dyDescent="0.15">
      <c r="A1962" s="6">
        <v>1961</v>
      </c>
      <c r="B1962" s="7" t="s">
        <v>8</v>
      </c>
      <c r="C1962" s="8">
        <v>1887</v>
      </c>
      <c r="D1962" s="9">
        <v>45425</v>
      </c>
      <c r="E1962" s="13" t="str">
        <f>+HYPERLINK("http://trademark.i-assist.jp/data/china/image_1887th/77013122.pdf","77013122")</f>
        <v>77013122</v>
      </c>
      <c r="F1962" s="7" t="s">
        <v>5337</v>
      </c>
      <c r="G1962" s="7" t="s">
        <v>5338</v>
      </c>
      <c r="H1962" s="7" t="s">
        <v>5339</v>
      </c>
      <c r="I1962" s="9">
        <v>45350</v>
      </c>
    </row>
    <row r="1963" spans="1:9" x14ac:dyDescent="0.15">
      <c r="A1963" s="6">
        <v>1962</v>
      </c>
      <c r="B1963" s="7" t="s">
        <v>8</v>
      </c>
      <c r="C1963" s="8">
        <v>1887</v>
      </c>
      <c r="D1963" s="9">
        <v>45425</v>
      </c>
      <c r="E1963" s="13" t="str">
        <f>+HYPERLINK("http://trademark.i-assist.jp/data/china/image_1887th/77013568.pdf","77013568")</f>
        <v>77013568</v>
      </c>
      <c r="F1963" s="7" t="s">
        <v>5340</v>
      </c>
      <c r="G1963" s="7" t="s">
        <v>5341</v>
      </c>
      <c r="H1963" s="7" t="s">
        <v>5342</v>
      </c>
      <c r="I1963" s="9">
        <v>45350</v>
      </c>
    </row>
    <row r="1964" spans="1:9" x14ac:dyDescent="0.15">
      <c r="A1964" s="6">
        <v>1963</v>
      </c>
      <c r="B1964" s="7" t="s">
        <v>8</v>
      </c>
      <c r="C1964" s="8">
        <v>1887</v>
      </c>
      <c r="D1964" s="9">
        <v>45425</v>
      </c>
      <c r="E1964" s="13" t="str">
        <f>+HYPERLINK("http://trademark.i-assist.jp/data/china/image_1887th/77013770.pdf","77013770")</f>
        <v>77013770</v>
      </c>
      <c r="F1964" s="7" t="s">
        <v>5343</v>
      </c>
      <c r="G1964" s="7" t="s">
        <v>5344</v>
      </c>
      <c r="H1964" s="7" t="s">
        <v>5345</v>
      </c>
      <c r="I1964" s="9">
        <v>45350</v>
      </c>
    </row>
    <row r="1965" spans="1:9" ht="27" x14ac:dyDescent="0.15">
      <c r="A1965" s="6">
        <v>1964</v>
      </c>
      <c r="B1965" s="7" t="s">
        <v>8</v>
      </c>
      <c r="C1965" s="8">
        <v>1887</v>
      </c>
      <c r="D1965" s="9">
        <v>45425</v>
      </c>
      <c r="E1965" s="13" t="str">
        <f>+HYPERLINK("http://trademark.i-assist.jp/data/china/image_1887th/77013984.pdf","77013984")</f>
        <v>77013984</v>
      </c>
      <c r="F1965" s="7" t="s">
        <v>5346</v>
      </c>
      <c r="G1965" s="7" t="s">
        <v>5347</v>
      </c>
      <c r="H1965" s="7" t="s">
        <v>5348</v>
      </c>
      <c r="I1965" s="9">
        <v>45350</v>
      </c>
    </row>
    <row r="1966" spans="1:9" x14ac:dyDescent="0.15">
      <c r="A1966" s="6">
        <v>1965</v>
      </c>
      <c r="B1966" s="7" t="s">
        <v>8</v>
      </c>
      <c r="C1966" s="8">
        <v>1887</v>
      </c>
      <c r="D1966" s="9">
        <v>45425</v>
      </c>
      <c r="E1966" s="13" t="str">
        <f>+HYPERLINK("http://trademark.i-assist.jp/data/china/image_1887th/77014425.pdf","77014425")</f>
        <v>77014425</v>
      </c>
      <c r="F1966" s="7" t="s">
        <v>5349</v>
      </c>
      <c r="G1966" s="7" t="s">
        <v>5350</v>
      </c>
      <c r="H1966" s="7" t="s">
        <v>5351</v>
      </c>
      <c r="I1966" s="9">
        <v>45350</v>
      </c>
    </row>
    <row r="1967" spans="1:9" x14ac:dyDescent="0.15">
      <c r="A1967" s="6">
        <v>1966</v>
      </c>
      <c r="B1967" s="7" t="s">
        <v>8</v>
      </c>
      <c r="C1967" s="8">
        <v>1887</v>
      </c>
      <c r="D1967" s="9">
        <v>45425</v>
      </c>
      <c r="E1967" s="13" t="str">
        <f>+HYPERLINK("http://trademark.i-assist.jp/data/china/image_1887th/77014517.pdf","77014517")</f>
        <v>77014517</v>
      </c>
      <c r="F1967" s="7" t="s">
        <v>5352</v>
      </c>
      <c r="G1967" s="7" t="s">
        <v>5353</v>
      </c>
      <c r="H1967" s="7" t="s">
        <v>5354</v>
      </c>
      <c r="I1967" s="9">
        <v>45350</v>
      </c>
    </row>
    <row r="1968" spans="1:9" x14ac:dyDescent="0.15">
      <c r="A1968" s="6">
        <v>1967</v>
      </c>
      <c r="B1968" s="7" t="s">
        <v>8</v>
      </c>
      <c r="C1968" s="8">
        <v>1887</v>
      </c>
      <c r="D1968" s="9">
        <v>45425</v>
      </c>
      <c r="E1968" s="13" t="str">
        <f>+HYPERLINK("http://trademark.i-assist.jp/data/china/image_1887th/77014557.pdf","77014557")</f>
        <v>77014557</v>
      </c>
      <c r="F1968" s="7" t="s">
        <v>5355</v>
      </c>
      <c r="G1968" s="7" t="s">
        <v>5323</v>
      </c>
      <c r="H1968" s="7" t="s">
        <v>5356</v>
      </c>
      <c r="I1968" s="9">
        <v>45350</v>
      </c>
    </row>
    <row r="1969" spans="1:9" x14ac:dyDescent="0.15">
      <c r="A1969" s="6">
        <v>1968</v>
      </c>
      <c r="B1969" s="7" t="s">
        <v>8</v>
      </c>
      <c r="C1969" s="8">
        <v>1887</v>
      </c>
      <c r="D1969" s="9">
        <v>45425</v>
      </c>
      <c r="E1969" s="13" t="str">
        <f>+HYPERLINK("http://trademark.i-assist.jp/data/china/image_1887th/77015256.pdf","77015256")</f>
        <v>77015256</v>
      </c>
      <c r="F1969" s="7" t="s">
        <v>5357</v>
      </c>
      <c r="G1969" s="7" t="s">
        <v>5358</v>
      </c>
      <c r="H1969" s="7" t="s">
        <v>5359</v>
      </c>
      <c r="I1969" s="9">
        <v>45350</v>
      </c>
    </row>
    <row r="1970" spans="1:9" ht="27" x14ac:dyDescent="0.15">
      <c r="A1970" s="6">
        <v>1969</v>
      </c>
      <c r="B1970" s="7" t="s">
        <v>8</v>
      </c>
      <c r="C1970" s="8">
        <v>1887</v>
      </c>
      <c r="D1970" s="9">
        <v>45425</v>
      </c>
      <c r="E1970" s="13" t="str">
        <f>+HYPERLINK("http://trademark.i-assist.jp/data/china/image_1887th/77015282.pdf","77015282")</f>
        <v>77015282</v>
      </c>
      <c r="F1970" s="7" t="s">
        <v>5360</v>
      </c>
      <c r="G1970" s="7" t="s">
        <v>5361</v>
      </c>
      <c r="H1970" s="7" t="s">
        <v>5362</v>
      </c>
      <c r="I1970" s="9">
        <v>45350</v>
      </c>
    </row>
    <row r="1971" spans="1:9" x14ac:dyDescent="0.15">
      <c r="A1971" s="6">
        <v>1970</v>
      </c>
      <c r="B1971" s="7" t="s">
        <v>8</v>
      </c>
      <c r="C1971" s="8">
        <v>1887</v>
      </c>
      <c r="D1971" s="9">
        <v>45425</v>
      </c>
      <c r="E1971" s="13" t="str">
        <f>+HYPERLINK("http://trademark.i-assist.jp/data/china/image_1887th/77015290.pdf","77015290")</f>
        <v>77015290</v>
      </c>
      <c r="F1971" s="7" t="s">
        <v>5363</v>
      </c>
      <c r="G1971" s="7" t="s">
        <v>5364</v>
      </c>
      <c r="H1971" s="7" t="s">
        <v>5365</v>
      </c>
      <c r="I1971" s="9">
        <v>45351</v>
      </c>
    </row>
    <row r="1972" spans="1:9" x14ac:dyDescent="0.15">
      <c r="A1972" s="6">
        <v>1971</v>
      </c>
      <c r="B1972" s="7" t="s">
        <v>8</v>
      </c>
      <c r="C1972" s="8">
        <v>1887</v>
      </c>
      <c r="D1972" s="9">
        <v>45425</v>
      </c>
      <c r="E1972" s="13" t="str">
        <f>+HYPERLINK("http://trademark.i-assist.jp/data/china/image_1887th/77015363.pdf","77015363")</f>
        <v>77015363</v>
      </c>
      <c r="F1972" s="7" t="s">
        <v>5366</v>
      </c>
      <c r="G1972" s="7" t="s">
        <v>5367</v>
      </c>
      <c r="H1972" s="7" t="s">
        <v>5368</v>
      </c>
      <c r="I1972" s="9">
        <v>45351</v>
      </c>
    </row>
    <row r="1973" spans="1:9" x14ac:dyDescent="0.15">
      <c r="A1973" s="6">
        <v>1972</v>
      </c>
      <c r="B1973" s="7" t="s">
        <v>8</v>
      </c>
      <c r="C1973" s="8">
        <v>1887</v>
      </c>
      <c r="D1973" s="9">
        <v>45425</v>
      </c>
      <c r="E1973" s="13" t="str">
        <f>+HYPERLINK("http://trademark.i-assist.jp/data/china/image_1887th/77015516.pdf","77015516")</f>
        <v>77015516</v>
      </c>
      <c r="F1973" s="7" t="s">
        <v>5369</v>
      </c>
      <c r="G1973" s="7" t="s">
        <v>5370</v>
      </c>
      <c r="H1973" s="7" t="s">
        <v>5371</v>
      </c>
      <c r="I1973" s="9">
        <v>45351</v>
      </c>
    </row>
    <row r="1974" spans="1:9" ht="27" x14ac:dyDescent="0.15">
      <c r="A1974" s="6">
        <v>1973</v>
      </c>
      <c r="B1974" s="7" t="s">
        <v>8</v>
      </c>
      <c r="C1974" s="8">
        <v>1887</v>
      </c>
      <c r="D1974" s="9">
        <v>45425</v>
      </c>
      <c r="E1974" s="13" t="str">
        <f>+HYPERLINK("http://trademark.i-assist.jp/data/china/image_1887th/77015583.pdf","77015583")</f>
        <v>77015583</v>
      </c>
      <c r="F1974" s="7" t="s">
        <v>5372</v>
      </c>
      <c r="G1974" s="7" t="s">
        <v>5373</v>
      </c>
      <c r="H1974" s="7" t="s">
        <v>5374</v>
      </c>
      <c r="I1974" s="9">
        <v>45351</v>
      </c>
    </row>
    <row r="1975" spans="1:9" x14ac:dyDescent="0.15">
      <c r="A1975" s="6">
        <v>1974</v>
      </c>
      <c r="B1975" s="7" t="s">
        <v>8</v>
      </c>
      <c r="C1975" s="8">
        <v>1887</v>
      </c>
      <c r="D1975" s="9">
        <v>45425</v>
      </c>
      <c r="E1975" s="13" t="str">
        <f>+HYPERLINK("http://trademark.i-assist.jp/data/china/image_1887th/77015873.pdf","77015873")</f>
        <v>77015873</v>
      </c>
      <c r="F1975" s="7" t="s">
        <v>5375</v>
      </c>
      <c r="G1975" s="7" t="s">
        <v>5376</v>
      </c>
      <c r="H1975" s="7" t="s">
        <v>5377</v>
      </c>
      <c r="I1975" s="9">
        <v>45351</v>
      </c>
    </row>
    <row r="1976" spans="1:9" x14ac:dyDescent="0.15">
      <c r="A1976" s="6">
        <v>1975</v>
      </c>
      <c r="B1976" s="7" t="s">
        <v>8</v>
      </c>
      <c r="C1976" s="8">
        <v>1887</v>
      </c>
      <c r="D1976" s="9">
        <v>45425</v>
      </c>
      <c r="E1976" s="13" t="str">
        <f>+HYPERLINK("http://trademark.i-assist.jp/data/china/image_1887th/77015939.pdf","77015939")</f>
        <v>77015939</v>
      </c>
      <c r="F1976" s="7" t="s">
        <v>54</v>
      </c>
      <c r="G1976" s="7" t="s">
        <v>5378</v>
      </c>
      <c r="H1976" s="7" t="s">
        <v>5379</v>
      </c>
      <c r="I1976" s="9">
        <v>45351</v>
      </c>
    </row>
    <row r="1977" spans="1:9" ht="27" x14ac:dyDescent="0.15">
      <c r="A1977" s="6">
        <v>1976</v>
      </c>
      <c r="B1977" s="7" t="s">
        <v>8</v>
      </c>
      <c r="C1977" s="8">
        <v>1887</v>
      </c>
      <c r="D1977" s="9">
        <v>45425</v>
      </c>
      <c r="E1977" s="13" t="str">
        <f>+HYPERLINK("http://trademark.i-assist.jp/data/china/image_1887th/77016064.pdf","77016064")</f>
        <v>77016064</v>
      </c>
      <c r="F1977" s="7" t="s">
        <v>5380</v>
      </c>
      <c r="G1977" s="7" t="s">
        <v>5381</v>
      </c>
      <c r="H1977" s="7" t="s">
        <v>5382</v>
      </c>
      <c r="I1977" s="9">
        <v>45351</v>
      </c>
    </row>
    <row r="1978" spans="1:9" x14ac:dyDescent="0.15">
      <c r="A1978" s="6">
        <v>1977</v>
      </c>
      <c r="B1978" s="7" t="s">
        <v>8</v>
      </c>
      <c r="C1978" s="8">
        <v>1887</v>
      </c>
      <c r="D1978" s="9">
        <v>45425</v>
      </c>
      <c r="E1978" s="13" t="str">
        <f>+HYPERLINK("http://trademark.i-assist.jp/data/china/image_1887th/77016184.pdf","77016184")</f>
        <v>77016184</v>
      </c>
      <c r="F1978" s="7" t="s">
        <v>5383</v>
      </c>
      <c r="G1978" s="7" t="s">
        <v>5384</v>
      </c>
      <c r="H1978" s="7" t="s">
        <v>5385</v>
      </c>
      <c r="I1978" s="9">
        <v>45351</v>
      </c>
    </row>
    <row r="1979" spans="1:9" x14ac:dyDescent="0.15">
      <c r="A1979" s="6">
        <v>1978</v>
      </c>
      <c r="B1979" s="7" t="s">
        <v>8</v>
      </c>
      <c r="C1979" s="8">
        <v>1887</v>
      </c>
      <c r="D1979" s="9">
        <v>45425</v>
      </c>
      <c r="E1979" s="13" t="str">
        <f>+HYPERLINK("http://trademark.i-assist.jp/data/china/image_1887th/77016205.pdf","77016205")</f>
        <v>77016205</v>
      </c>
      <c r="F1979" s="7" t="s">
        <v>5386</v>
      </c>
      <c r="G1979" s="7" t="s">
        <v>5387</v>
      </c>
      <c r="H1979" s="7" t="s">
        <v>5388</v>
      </c>
      <c r="I1979" s="9">
        <v>45351</v>
      </c>
    </row>
    <row r="1980" spans="1:9" x14ac:dyDescent="0.15">
      <c r="A1980" s="6">
        <v>1979</v>
      </c>
      <c r="B1980" s="7" t="s">
        <v>8</v>
      </c>
      <c r="C1980" s="8">
        <v>1887</v>
      </c>
      <c r="D1980" s="9">
        <v>45425</v>
      </c>
      <c r="E1980" s="13" t="str">
        <f>+HYPERLINK("http://trademark.i-assist.jp/data/china/image_1887th/77016398.pdf","77016398")</f>
        <v>77016398</v>
      </c>
      <c r="F1980" s="7" t="s">
        <v>5389</v>
      </c>
      <c r="G1980" s="7" t="s">
        <v>5390</v>
      </c>
      <c r="H1980" s="7" t="s">
        <v>5391</v>
      </c>
      <c r="I1980" s="9">
        <v>45351</v>
      </c>
    </row>
    <row r="1981" spans="1:9" ht="27" x14ac:dyDescent="0.15">
      <c r="A1981" s="6">
        <v>1980</v>
      </c>
      <c r="B1981" s="7" t="s">
        <v>8</v>
      </c>
      <c r="C1981" s="8">
        <v>1887</v>
      </c>
      <c r="D1981" s="9">
        <v>45425</v>
      </c>
      <c r="E1981" s="13" t="str">
        <f>+HYPERLINK("http://trademark.i-assist.jp/data/china/image_1887th/77016498.pdf","77016498")</f>
        <v>77016498</v>
      </c>
      <c r="F1981" s="7" t="s">
        <v>5392</v>
      </c>
      <c r="G1981" s="7" t="s">
        <v>5393</v>
      </c>
      <c r="H1981" s="7" t="s">
        <v>5394</v>
      </c>
      <c r="I1981" s="9">
        <v>45351</v>
      </c>
    </row>
    <row r="1982" spans="1:9" x14ac:dyDescent="0.15">
      <c r="A1982" s="6">
        <v>1981</v>
      </c>
      <c r="B1982" s="7" t="s">
        <v>8</v>
      </c>
      <c r="C1982" s="8">
        <v>1887</v>
      </c>
      <c r="D1982" s="9">
        <v>45425</v>
      </c>
      <c r="E1982" s="13" t="str">
        <f>+HYPERLINK("http://trademark.i-assist.jp/data/china/image_1887th/77016585.pdf","77016585")</f>
        <v>77016585</v>
      </c>
      <c r="F1982" s="7" t="s">
        <v>5395</v>
      </c>
      <c r="G1982" s="7" t="s">
        <v>5396</v>
      </c>
      <c r="H1982" s="7" t="s">
        <v>5397</v>
      </c>
      <c r="I1982" s="9">
        <v>45351</v>
      </c>
    </row>
    <row r="1983" spans="1:9" ht="27" x14ac:dyDescent="0.15">
      <c r="A1983" s="6">
        <v>1982</v>
      </c>
      <c r="B1983" s="7" t="s">
        <v>8</v>
      </c>
      <c r="C1983" s="8">
        <v>1887</v>
      </c>
      <c r="D1983" s="9">
        <v>45425</v>
      </c>
      <c r="E1983" s="13" t="str">
        <f>+HYPERLINK("http://trademark.i-assist.jp/data/china/image_1887th/77016800.pdf","77016800")</f>
        <v>77016800</v>
      </c>
      <c r="F1983" s="7" t="s">
        <v>5398</v>
      </c>
      <c r="G1983" s="7" t="s">
        <v>5399</v>
      </c>
      <c r="H1983" s="7" t="s">
        <v>5400</v>
      </c>
      <c r="I1983" s="9">
        <v>45351</v>
      </c>
    </row>
    <row r="1984" spans="1:9" x14ac:dyDescent="0.15">
      <c r="A1984" s="6">
        <v>1983</v>
      </c>
      <c r="B1984" s="7" t="s">
        <v>8</v>
      </c>
      <c r="C1984" s="8">
        <v>1887</v>
      </c>
      <c r="D1984" s="9">
        <v>45425</v>
      </c>
      <c r="E1984" s="13" t="str">
        <f>+HYPERLINK("http://trademark.i-assist.jp/data/china/image_1887th/77016857.pdf","77016857")</f>
        <v>77016857</v>
      </c>
      <c r="F1984" s="7" t="s">
        <v>5401</v>
      </c>
      <c r="G1984" s="7" t="s">
        <v>5402</v>
      </c>
      <c r="H1984" s="7" t="s">
        <v>5403</v>
      </c>
      <c r="I1984" s="9">
        <v>45351</v>
      </c>
    </row>
    <row r="1985" spans="1:9" x14ac:dyDescent="0.15">
      <c r="A1985" s="6">
        <v>1984</v>
      </c>
      <c r="B1985" s="7" t="s">
        <v>8</v>
      </c>
      <c r="C1985" s="8">
        <v>1887</v>
      </c>
      <c r="D1985" s="9">
        <v>45425</v>
      </c>
      <c r="E1985" s="13" t="str">
        <f>+HYPERLINK("http://trademark.i-assist.jp/data/china/image_1887th/77016919.pdf","77016919")</f>
        <v>77016919</v>
      </c>
      <c r="F1985" s="7" t="s">
        <v>5404</v>
      </c>
      <c r="G1985" s="7" t="s">
        <v>5405</v>
      </c>
      <c r="H1985" s="7" t="s">
        <v>5406</v>
      </c>
      <c r="I1985" s="9">
        <v>45351</v>
      </c>
    </row>
    <row r="1986" spans="1:9" x14ac:dyDescent="0.15">
      <c r="A1986" s="6">
        <v>1985</v>
      </c>
      <c r="B1986" s="7" t="s">
        <v>8</v>
      </c>
      <c r="C1986" s="8">
        <v>1887</v>
      </c>
      <c r="D1986" s="9">
        <v>45425</v>
      </c>
      <c r="E1986" s="13" t="str">
        <f>+HYPERLINK("http://trademark.i-assist.jp/data/china/image_1887th/77017344.pdf","77017344")</f>
        <v>77017344</v>
      </c>
      <c r="F1986" s="7" t="s">
        <v>5407</v>
      </c>
      <c r="G1986" s="7" t="s">
        <v>3581</v>
      </c>
      <c r="H1986" s="7" t="s">
        <v>5408</v>
      </c>
      <c r="I1986" s="9">
        <v>45351</v>
      </c>
    </row>
    <row r="1987" spans="1:9" x14ac:dyDescent="0.15">
      <c r="A1987" s="6">
        <v>1986</v>
      </c>
      <c r="B1987" s="7" t="s">
        <v>8</v>
      </c>
      <c r="C1987" s="8">
        <v>1887</v>
      </c>
      <c r="D1987" s="9">
        <v>45425</v>
      </c>
      <c r="E1987" s="13" t="str">
        <f>+HYPERLINK("http://trademark.i-assist.jp/data/china/image_1887th/77017579.pdf","77017579")</f>
        <v>77017579</v>
      </c>
      <c r="F1987" s="7" t="s">
        <v>5409</v>
      </c>
      <c r="G1987" s="7" t="s">
        <v>2011</v>
      </c>
      <c r="H1987" s="7" t="s">
        <v>5410</v>
      </c>
      <c r="I1987" s="9">
        <v>45351</v>
      </c>
    </row>
    <row r="1988" spans="1:9" x14ac:dyDescent="0.15">
      <c r="A1988" s="6">
        <v>1987</v>
      </c>
      <c r="B1988" s="7" t="s">
        <v>8</v>
      </c>
      <c r="C1988" s="8">
        <v>1887</v>
      </c>
      <c r="D1988" s="9">
        <v>45425</v>
      </c>
      <c r="E1988" s="13" t="str">
        <f>+HYPERLINK("http://trademark.i-assist.jp/data/china/image_1887th/77017586.pdf","77017586")</f>
        <v>77017586</v>
      </c>
      <c r="F1988" s="7" t="s">
        <v>5411</v>
      </c>
      <c r="G1988" s="7" t="s">
        <v>2011</v>
      </c>
      <c r="H1988" s="7" t="s">
        <v>5412</v>
      </c>
      <c r="I1988" s="9">
        <v>45351</v>
      </c>
    </row>
    <row r="1989" spans="1:9" ht="27" x14ac:dyDescent="0.15">
      <c r="A1989" s="6">
        <v>1988</v>
      </c>
      <c r="B1989" s="7" t="s">
        <v>8</v>
      </c>
      <c r="C1989" s="8">
        <v>1887</v>
      </c>
      <c r="D1989" s="9">
        <v>45425</v>
      </c>
      <c r="E1989" s="13" t="str">
        <f>+HYPERLINK("http://trademark.i-assist.jp/data/china/image_1887th/77017660.pdf","77017660")</f>
        <v>77017660</v>
      </c>
      <c r="F1989" s="7" t="s">
        <v>5413</v>
      </c>
      <c r="G1989" s="7" t="s">
        <v>5414</v>
      </c>
      <c r="H1989" s="7" t="s">
        <v>5415</v>
      </c>
      <c r="I1989" s="9">
        <v>45351</v>
      </c>
    </row>
    <row r="1990" spans="1:9" x14ac:dyDescent="0.15">
      <c r="A1990" s="6">
        <v>1989</v>
      </c>
      <c r="B1990" s="7" t="s">
        <v>8</v>
      </c>
      <c r="C1990" s="8">
        <v>1887</v>
      </c>
      <c r="D1990" s="9">
        <v>45425</v>
      </c>
      <c r="E1990" s="13" t="str">
        <f>+HYPERLINK("http://trademark.i-assist.jp/data/china/image_1887th/77017689.pdf","77017689")</f>
        <v>77017689</v>
      </c>
      <c r="F1990" s="7" t="s">
        <v>5416</v>
      </c>
      <c r="G1990" s="7" t="s">
        <v>5417</v>
      </c>
      <c r="H1990" s="7" t="s">
        <v>5418</v>
      </c>
      <c r="I1990" s="9">
        <v>45351</v>
      </c>
    </row>
    <row r="1991" spans="1:9" x14ac:dyDescent="0.15">
      <c r="A1991" s="6">
        <v>1990</v>
      </c>
      <c r="B1991" s="7" t="s">
        <v>8</v>
      </c>
      <c r="C1991" s="8">
        <v>1887</v>
      </c>
      <c r="D1991" s="9">
        <v>45425</v>
      </c>
      <c r="E1991" s="13" t="str">
        <f>+HYPERLINK("http://trademark.i-assist.jp/data/china/image_1887th/77017949.pdf","77017949")</f>
        <v>77017949</v>
      </c>
      <c r="F1991" s="7" t="s">
        <v>5419</v>
      </c>
      <c r="G1991" s="7" t="s">
        <v>5420</v>
      </c>
      <c r="H1991" s="7" t="s">
        <v>5421</v>
      </c>
      <c r="I1991" s="9">
        <v>45351</v>
      </c>
    </row>
    <row r="1992" spans="1:9" x14ac:dyDescent="0.15">
      <c r="A1992" s="6">
        <v>1991</v>
      </c>
      <c r="B1992" s="7" t="s">
        <v>8</v>
      </c>
      <c r="C1992" s="8">
        <v>1887</v>
      </c>
      <c r="D1992" s="9">
        <v>45425</v>
      </c>
      <c r="E1992" s="13" t="str">
        <f>+HYPERLINK("http://trademark.i-assist.jp/data/china/image_1887th/77018034.pdf","77018034")</f>
        <v>77018034</v>
      </c>
      <c r="F1992" s="7" t="s">
        <v>5422</v>
      </c>
      <c r="G1992" s="7" t="s">
        <v>5423</v>
      </c>
      <c r="H1992" s="7" t="s">
        <v>5424</v>
      </c>
      <c r="I1992" s="9">
        <v>45351</v>
      </c>
    </row>
    <row r="1993" spans="1:9" ht="27" x14ac:dyDescent="0.15">
      <c r="A1993" s="6">
        <v>1992</v>
      </c>
      <c r="B1993" s="7" t="s">
        <v>8</v>
      </c>
      <c r="C1993" s="8">
        <v>1887</v>
      </c>
      <c r="D1993" s="9">
        <v>45425</v>
      </c>
      <c r="E1993" s="13" t="str">
        <f>+HYPERLINK("http://trademark.i-assist.jp/data/china/image_1887th/77018152.pdf","77018152")</f>
        <v>77018152</v>
      </c>
      <c r="F1993" s="7" t="s">
        <v>5425</v>
      </c>
      <c r="G1993" s="7" t="s">
        <v>5426</v>
      </c>
      <c r="H1993" s="7" t="s">
        <v>5427</v>
      </c>
      <c r="I1993" s="9">
        <v>45351</v>
      </c>
    </row>
    <row r="1994" spans="1:9" x14ac:dyDescent="0.15">
      <c r="A1994" s="6">
        <v>1993</v>
      </c>
      <c r="B1994" s="7" t="s">
        <v>8</v>
      </c>
      <c r="C1994" s="8">
        <v>1887</v>
      </c>
      <c r="D1994" s="9">
        <v>45425</v>
      </c>
      <c r="E1994" s="13" t="str">
        <f>+HYPERLINK("http://trademark.i-assist.jp/data/china/image_1887th/77018280.pdf","77018280")</f>
        <v>77018280</v>
      </c>
      <c r="F1994" s="7" t="s">
        <v>5428</v>
      </c>
      <c r="G1994" s="7" t="s">
        <v>3937</v>
      </c>
      <c r="H1994" s="7" t="s">
        <v>5429</v>
      </c>
      <c r="I1994" s="9">
        <v>45351</v>
      </c>
    </row>
    <row r="1995" spans="1:9" x14ac:dyDescent="0.15">
      <c r="A1995" s="6">
        <v>1994</v>
      </c>
      <c r="B1995" s="7" t="s">
        <v>8</v>
      </c>
      <c r="C1995" s="8">
        <v>1887</v>
      </c>
      <c r="D1995" s="9">
        <v>45425</v>
      </c>
      <c r="E1995" s="13" t="str">
        <f>+HYPERLINK("http://trademark.i-assist.jp/data/china/image_1887th/77018289.pdf","77018289")</f>
        <v>77018289</v>
      </c>
      <c r="F1995" s="7" t="s">
        <v>5430</v>
      </c>
      <c r="G1995" s="7" t="s">
        <v>5431</v>
      </c>
      <c r="H1995" s="7" t="s">
        <v>5432</v>
      </c>
      <c r="I1995" s="9">
        <v>45351</v>
      </c>
    </row>
    <row r="1996" spans="1:9" x14ac:dyDescent="0.15">
      <c r="A1996" s="6">
        <v>1995</v>
      </c>
      <c r="B1996" s="7" t="s">
        <v>8</v>
      </c>
      <c r="C1996" s="8">
        <v>1887</v>
      </c>
      <c r="D1996" s="9">
        <v>45425</v>
      </c>
      <c r="E1996" s="13" t="str">
        <f>+HYPERLINK("http://trademark.i-assist.jp/data/china/image_1887th/77018715.pdf","77018715")</f>
        <v>77018715</v>
      </c>
      <c r="F1996" s="7" t="s">
        <v>5433</v>
      </c>
      <c r="G1996" s="7" t="s">
        <v>5434</v>
      </c>
      <c r="H1996" s="7" t="s">
        <v>5435</v>
      </c>
      <c r="I1996" s="9">
        <v>45351</v>
      </c>
    </row>
    <row r="1997" spans="1:9" x14ac:dyDescent="0.15">
      <c r="A1997" s="6">
        <v>1996</v>
      </c>
      <c r="B1997" s="7" t="s">
        <v>8</v>
      </c>
      <c r="C1997" s="8">
        <v>1887</v>
      </c>
      <c r="D1997" s="9">
        <v>45425</v>
      </c>
      <c r="E1997" s="13" t="str">
        <f>+HYPERLINK("http://trademark.i-assist.jp/data/china/image_1887th/77018939.pdf","77018939")</f>
        <v>77018939</v>
      </c>
      <c r="F1997" s="7" t="s">
        <v>5436</v>
      </c>
      <c r="G1997" s="7" t="s">
        <v>5437</v>
      </c>
      <c r="H1997" s="7" t="s">
        <v>5438</v>
      </c>
      <c r="I1997" s="9">
        <v>45351</v>
      </c>
    </row>
    <row r="1998" spans="1:9" x14ac:dyDescent="0.15">
      <c r="A1998" s="6">
        <v>1997</v>
      </c>
      <c r="B1998" s="7" t="s">
        <v>8</v>
      </c>
      <c r="C1998" s="8">
        <v>1887</v>
      </c>
      <c r="D1998" s="9">
        <v>45425</v>
      </c>
      <c r="E1998" s="13" t="str">
        <f>+HYPERLINK("http://trademark.i-assist.jp/data/china/image_1887th/77019035.pdf","77019035")</f>
        <v>77019035</v>
      </c>
      <c r="F1998" s="7" t="s">
        <v>5439</v>
      </c>
      <c r="G1998" s="7" t="s">
        <v>5440</v>
      </c>
      <c r="H1998" s="7" t="s">
        <v>5441</v>
      </c>
      <c r="I1998" s="9">
        <v>45351</v>
      </c>
    </row>
    <row r="1999" spans="1:9" x14ac:dyDescent="0.15">
      <c r="A1999" s="6">
        <v>1998</v>
      </c>
      <c r="B1999" s="7" t="s">
        <v>8</v>
      </c>
      <c r="C1999" s="8">
        <v>1887</v>
      </c>
      <c r="D1999" s="9">
        <v>45425</v>
      </c>
      <c r="E1999" s="13" t="str">
        <f>+HYPERLINK("http://trademark.i-assist.jp/data/china/image_1887th/77019219.pdf","77019219")</f>
        <v>77019219</v>
      </c>
      <c r="F1999" s="7" t="s">
        <v>5442</v>
      </c>
      <c r="G1999" s="7" t="s">
        <v>5443</v>
      </c>
      <c r="H1999" s="7" t="s">
        <v>5444</v>
      </c>
      <c r="I1999" s="9">
        <v>45351</v>
      </c>
    </row>
    <row r="2000" spans="1:9" x14ac:dyDescent="0.15">
      <c r="A2000" s="6">
        <v>1999</v>
      </c>
      <c r="B2000" s="7" t="s">
        <v>8</v>
      </c>
      <c r="C2000" s="8">
        <v>1887</v>
      </c>
      <c r="D2000" s="9">
        <v>45425</v>
      </c>
      <c r="E2000" s="13" t="str">
        <f>+HYPERLINK("http://trademark.i-assist.jp/data/china/image_1887th/77019351.pdf","77019351")</f>
        <v>77019351</v>
      </c>
      <c r="F2000" s="7" t="s">
        <v>5445</v>
      </c>
      <c r="G2000" s="7" t="s">
        <v>5446</v>
      </c>
      <c r="H2000" s="7" t="s">
        <v>5447</v>
      </c>
      <c r="I2000" s="9">
        <v>45351</v>
      </c>
    </row>
    <row r="2001" spans="1:9" ht="27" x14ac:dyDescent="0.15">
      <c r="A2001" s="6">
        <v>2000</v>
      </c>
      <c r="B2001" s="7" t="s">
        <v>8</v>
      </c>
      <c r="C2001" s="8">
        <v>1887</v>
      </c>
      <c r="D2001" s="9">
        <v>45425</v>
      </c>
      <c r="E2001" s="13" t="str">
        <f>+HYPERLINK("http://trademark.i-assist.jp/data/china/image_1887th/77019517.pdf","77019517")</f>
        <v>77019517</v>
      </c>
      <c r="F2001" s="7" t="s">
        <v>5448</v>
      </c>
      <c r="G2001" s="7" t="s">
        <v>5381</v>
      </c>
      <c r="H2001" s="7" t="s">
        <v>5449</v>
      </c>
      <c r="I2001" s="9">
        <v>45351</v>
      </c>
    </row>
    <row r="2002" spans="1:9" ht="27" x14ac:dyDescent="0.15">
      <c r="A2002" s="6">
        <v>2001</v>
      </c>
      <c r="B2002" s="7" t="s">
        <v>8</v>
      </c>
      <c r="C2002" s="8">
        <v>1887</v>
      </c>
      <c r="D2002" s="9">
        <v>45425</v>
      </c>
      <c r="E2002" s="13" t="str">
        <f>+HYPERLINK("http://trademark.i-assist.jp/data/china/image_1887th/77019543.pdf","77019543")</f>
        <v>77019543</v>
      </c>
      <c r="F2002" s="7" t="s">
        <v>5450</v>
      </c>
      <c r="G2002" s="7" t="s">
        <v>5381</v>
      </c>
      <c r="H2002" s="7" t="s">
        <v>5451</v>
      </c>
      <c r="I2002" s="9">
        <v>45351</v>
      </c>
    </row>
    <row r="2003" spans="1:9" x14ac:dyDescent="0.15">
      <c r="A2003" s="6">
        <v>2002</v>
      </c>
      <c r="B2003" s="7" t="s">
        <v>8</v>
      </c>
      <c r="C2003" s="8">
        <v>1887</v>
      </c>
      <c r="D2003" s="9">
        <v>45425</v>
      </c>
      <c r="E2003" s="13" t="str">
        <f>+HYPERLINK("http://trademark.i-assist.jp/data/china/image_1887th/77019599.pdf","77019599")</f>
        <v>77019599</v>
      </c>
      <c r="F2003" s="7" t="s">
        <v>5452</v>
      </c>
      <c r="G2003" s="7" t="s">
        <v>5453</v>
      </c>
      <c r="H2003" s="7" t="s">
        <v>5454</v>
      </c>
      <c r="I2003" s="9">
        <v>45351</v>
      </c>
    </row>
    <row r="2004" spans="1:9" ht="27" x14ac:dyDescent="0.15">
      <c r="A2004" s="6">
        <v>2003</v>
      </c>
      <c r="B2004" s="7" t="s">
        <v>8</v>
      </c>
      <c r="C2004" s="8">
        <v>1887</v>
      </c>
      <c r="D2004" s="9">
        <v>45425</v>
      </c>
      <c r="E2004" s="13" t="str">
        <f>+HYPERLINK("http://trademark.i-assist.jp/data/china/image_1887th/77019625.pdf","77019625")</f>
        <v>77019625</v>
      </c>
      <c r="F2004" s="7" t="s">
        <v>5455</v>
      </c>
      <c r="G2004" s="7" t="s">
        <v>5456</v>
      </c>
      <c r="H2004" s="7" t="s">
        <v>5457</v>
      </c>
      <c r="I2004" s="9">
        <v>45351</v>
      </c>
    </row>
    <row r="2005" spans="1:9" x14ac:dyDescent="0.15">
      <c r="A2005" s="6">
        <v>2004</v>
      </c>
      <c r="B2005" s="7" t="s">
        <v>8</v>
      </c>
      <c r="C2005" s="8">
        <v>1887</v>
      </c>
      <c r="D2005" s="9">
        <v>45425</v>
      </c>
      <c r="E2005" s="13" t="str">
        <f>+HYPERLINK("http://trademark.i-assist.jp/data/china/image_1887th/77019641.pdf","77019641")</f>
        <v>77019641</v>
      </c>
      <c r="F2005" s="7" t="s">
        <v>5458</v>
      </c>
      <c r="G2005" s="7" t="s">
        <v>5459</v>
      </c>
      <c r="H2005" s="7" t="s">
        <v>5460</v>
      </c>
      <c r="I2005" s="9">
        <v>45351</v>
      </c>
    </row>
    <row r="2006" spans="1:9" x14ac:dyDescent="0.15">
      <c r="A2006" s="6">
        <v>2005</v>
      </c>
      <c r="B2006" s="7" t="s">
        <v>8</v>
      </c>
      <c r="C2006" s="8">
        <v>1887</v>
      </c>
      <c r="D2006" s="9">
        <v>45425</v>
      </c>
      <c r="E2006" s="13" t="str">
        <f>+HYPERLINK("http://trademark.i-assist.jp/data/china/image_1887th/77019688.pdf","77019688")</f>
        <v>77019688</v>
      </c>
      <c r="F2006" s="7" t="s">
        <v>5461</v>
      </c>
      <c r="G2006" s="7" t="s">
        <v>5462</v>
      </c>
      <c r="H2006" s="7" t="s">
        <v>5463</v>
      </c>
      <c r="I2006" s="9">
        <v>45351</v>
      </c>
    </row>
    <row r="2007" spans="1:9" x14ac:dyDescent="0.15">
      <c r="A2007" s="6">
        <v>2006</v>
      </c>
      <c r="B2007" s="7" t="s">
        <v>8</v>
      </c>
      <c r="C2007" s="8">
        <v>1887</v>
      </c>
      <c r="D2007" s="9">
        <v>45425</v>
      </c>
      <c r="E2007" s="13" t="str">
        <f>+HYPERLINK("http://trademark.i-assist.jp/data/china/image_1887th/77019820.pdf","77019820")</f>
        <v>77019820</v>
      </c>
      <c r="F2007" s="7" t="s">
        <v>5464</v>
      </c>
      <c r="G2007" s="7" t="s">
        <v>3343</v>
      </c>
      <c r="H2007" s="7" t="s">
        <v>5465</v>
      </c>
      <c r="I2007" s="9">
        <v>45351</v>
      </c>
    </row>
    <row r="2008" spans="1:9" x14ac:dyDescent="0.15">
      <c r="A2008" s="6">
        <v>2007</v>
      </c>
      <c r="B2008" s="7" t="s">
        <v>8</v>
      </c>
      <c r="C2008" s="8">
        <v>1887</v>
      </c>
      <c r="D2008" s="9">
        <v>45425</v>
      </c>
      <c r="E2008" s="13" t="str">
        <f>+HYPERLINK("http://trademark.i-assist.jp/data/china/image_1887th/77019821.pdf","77019821")</f>
        <v>77019821</v>
      </c>
      <c r="F2008" s="7" t="s">
        <v>5466</v>
      </c>
      <c r="G2008" s="7" t="s">
        <v>5467</v>
      </c>
      <c r="H2008" s="7" t="s">
        <v>5468</v>
      </c>
      <c r="I2008" s="9">
        <v>45351</v>
      </c>
    </row>
    <row r="2009" spans="1:9" x14ac:dyDescent="0.15">
      <c r="A2009" s="6">
        <v>2008</v>
      </c>
      <c r="B2009" s="7" t="s">
        <v>8</v>
      </c>
      <c r="C2009" s="8">
        <v>1887</v>
      </c>
      <c r="D2009" s="9">
        <v>45425</v>
      </c>
      <c r="E2009" s="13" t="str">
        <f>+HYPERLINK("http://trademark.i-assist.jp/data/china/image_1887th/77019831.pdf","77019831")</f>
        <v>77019831</v>
      </c>
      <c r="F2009" s="7" t="s">
        <v>5469</v>
      </c>
      <c r="G2009" s="7" t="s">
        <v>5470</v>
      </c>
      <c r="H2009" s="7" t="s">
        <v>5471</v>
      </c>
      <c r="I2009" s="9">
        <v>45351</v>
      </c>
    </row>
    <row r="2010" spans="1:9" ht="27" x14ac:dyDescent="0.15">
      <c r="A2010" s="6">
        <v>2009</v>
      </c>
      <c r="B2010" s="7" t="s">
        <v>8</v>
      </c>
      <c r="C2010" s="8">
        <v>1887</v>
      </c>
      <c r="D2010" s="9">
        <v>45425</v>
      </c>
      <c r="E2010" s="13" t="str">
        <f>+HYPERLINK("http://trademark.i-assist.jp/data/china/image_1887th/77019922.pdf","77019922")</f>
        <v>77019922</v>
      </c>
      <c r="F2010" s="7" t="s">
        <v>5472</v>
      </c>
      <c r="G2010" s="7" t="s">
        <v>5473</v>
      </c>
      <c r="H2010" s="7" t="s">
        <v>5474</v>
      </c>
      <c r="I2010" s="9">
        <v>45351</v>
      </c>
    </row>
    <row r="2011" spans="1:9" ht="27" x14ac:dyDescent="0.15">
      <c r="A2011" s="6">
        <v>2010</v>
      </c>
      <c r="B2011" s="7" t="s">
        <v>8</v>
      </c>
      <c r="C2011" s="8">
        <v>1887</v>
      </c>
      <c r="D2011" s="9">
        <v>45425</v>
      </c>
      <c r="E2011" s="13" t="str">
        <f>+HYPERLINK("http://trademark.i-assist.jp/data/china/image_1887th/77020136.pdf","77020136")</f>
        <v>77020136</v>
      </c>
      <c r="F2011" s="7" t="s">
        <v>5475</v>
      </c>
      <c r="G2011" s="7" t="s">
        <v>5476</v>
      </c>
      <c r="H2011" s="7" t="s">
        <v>5477</v>
      </c>
      <c r="I2011" s="9">
        <v>45351</v>
      </c>
    </row>
    <row r="2012" spans="1:9" x14ac:dyDescent="0.15">
      <c r="A2012" s="6">
        <v>2011</v>
      </c>
      <c r="B2012" s="7" t="s">
        <v>8</v>
      </c>
      <c r="C2012" s="8">
        <v>1887</v>
      </c>
      <c r="D2012" s="9">
        <v>45425</v>
      </c>
      <c r="E2012" s="13" t="str">
        <f>+HYPERLINK("http://trademark.i-assist.jp/data/china/image_1887th/77020165.pdf","77020165")</f>
        <v>77020165</v>
      </c>
      <c r="F2012" s="7" t="s">
        <v>5478</v>
      </c>
      <c r="G2012" s="7" t="s">
        <v>5479</v>
      </c>
      <c r="H2012" s="7" t="s">
        <v>5480</v>
      </c>
      <c r="I2012" s="9">
        <v>45351</v>
      </c>
    </row>
    <row r="2013" spans="1:9" x14ac:dyDescent="0.15">
      <c r="A2013" s="6">
        <v>2012</v>
      </c>
      <c r="B2013" s="7" t="s">
        <v>8</v>
      </c>
      <c r="C2013" s="8">
        <v>1887</v>
      </c>
      <c r="D2013" s="9">
        <v>45425</v>
      </c>
      <c r="E2013" s="13" t="str">
        <f>+HYPERLINK("http://trademark.i-assist.jp/data/china/image_1887th/77020549.pdf","77020549")</f>
        <v>77020549</v>
      </c>
      <c r="F2013" s="7" t="s">
        <v>5481</v>
      </c>
      <c r="G2013" s="7" t="s">
        <v>5482</v>
      </c>
      <c r="H2013" s="7" t="s">
        <v>5483</v>
      </c>
      <c r="I2013" s="9">
        <v>45351</v>
      </c>
    </row>
    <row r="2014" spans="1:9" x14ac:dyDescent="0.15">
      <c r="A2014" s="6">
        <v>2013</v>
      </c>
      <c r="B2014" s="7" t="s">
        <v>8</v>
      </c>
      <c r="C2014" s="8">
        <v>1887</v>
      </c>
      <c r="D2014" s="9">
        <v>45425</v>
      </c>
      <c r="E2014" s="13" t="str">
        <f>+HYPERLINK("http://trademark.i-assist.jp/data/china/image_1887th/77020808.pdf","77020808")</f>
        <v>77020808</v>
      </c>
      <c r="F2014" s="7" t="s">
        <v>5484</v>
      </c>
      <c r="G2014" s="7" t="s">
        <v>5485</v>
      </c>
      <c r="H2014" s="7" t="s">
        <v>5486</v>
      </c>
      <c r="I2014" s="9">
        <v>45351</v>
      </c>
    </row>
    <row r="2015" spans="1:9" ht="40.5" x14ac:dyDescent="0.15">
      <c r="A2015" s="6">
        <v>2014</v>
      </c>
      <c r="B2015" s="7" t="s">
        <v>8</v>
      </c>
      <c r="C2015" s="8">
        <v>1887</v>
      </c>
      <c r="D2015" s="9">
        <v>45425</v>
      </c>
      <c r="E2015" s="13" t="str">
        <f>+HYPERLINK("http://trademark.i-assist.jp/data/china/image_1887th/77021014.pdf","77021014")</f>
        <v>77021014</v>
      </c>
      <c r="F2015" s="7" t="s">
        <v>5487</v>
      </c>
      <c r="G2015" s="7" t="s">
        <v>5488</v>
      </c>
      <c r="H2015" s="7" t="s">
        <v>5489</v>
      </c>
      <c r="I2015" s="9">
        <v>45351</v>
      </c>
    </row>
    <row r="2016" spans="1:9" x14ac:dyDescent="0.15">
      <c r="A2016" s="6">
        <v>2015</v>
      </c>
      <c r="B2016" s="7" t="s">
        <v>8</v>
      </c>
      <c r="C2016" s="8">
        <v>1887</v>
      </c>
      <c r="D2016" s="9">
        <v>45425</v>
      </c>
      <c r="E2016" s="13" t="str">
        <f>+HYPERLINK("http://trademark.i-assist.jp/data/china/image_1887th/77021074.pdf","77021074")</f>
        <v>77021074</v>
      </c>
      <c r="F2016" s="7" t="s">
        <v>5490</v>
      </c>
      <c r="G2016" s="7" t="s">
        <v>5491</v>
      </c>
      <c r="H2016" s="7" t="s">
        <v>5492</v>
      </c>
      <c r="I2016" s="9">
        <v>45351</v>
      </c>
    </row>
    <row r="2017" spans="1:9" x14ac:dyDescent="0.15">
      <c r="A2017" s="6">
        <v>2016</v>
      </c>
      <c r="B2017" s="7" t="s">
        <v>8</v>
      </c>
      <c r="C2017" s="8">
        <v>1887</v>
      </c>
      <c r="D2017" s="9">
        <v>45425</v>
      </c>
      <c r="E2017" s="13" t="str">
        <f>+HYPERLINK("http://trademark.i-assist.jp/data/china/image_1887th/77021320.pdf","77021320")</f>
        <v>77021320</v>
      </c>
      <c r="F2017" s="7" t="s">
        <v>5493</v>
      </c>
      <c r="G2017" s="7" t="s">
        <v>5494</v>
      </c>
      <c r="H2017" s="7" t="s">
        <v>5495</v>
      </c>
      <c r="I2017" s="9">
        <v>45351</v>
      </c>
    </row>
    <row r="2018" spans="1:9" x14ac:dyDescent="0.15">
      <c r="A2018" s="6">
        <v>2017</v>
      </c>
      <c r="B2018" s="7" t="s">
        <v>8</v>
      </c>
      <c r="C2018" s="8">
        <v>1887</v>
      </c>
      <c r="D2018" s="9">
        <v>45425</v>
      </c>
      <c r="E2018" s="13" t="str">
        <f>+HYPERLINK("http://trademark.i-assist.jp/data/china/image_1887th/77021532.pdf","77021532")</f>
        <v>77021532</v>
      </c>
      <c r="F2018" s="7" t="s">
        <v>5496</v>
      </c>
      <c r="G2018" s="7" t="s">
        <v>5497</v>
      </c>
      <c r="H2018" s="7" t="s">
        <v>5498</v>
      </c>
      <c r="I2018" s="9">
        <v>45351</v>
      </c>
    </row>
    <row r="2019" spans="1:9" ht="27" x14ac:dyDescent="0.15">
      <c r="A2019" s="6">
        <v>2018</v>
      </c>
      <c r="B2019" s="7" t="s">
        <v>8</v>
      </c>
      <c r="C2019" s="8">
        <v>1887</v>
      </c>
      <c r="D2019" s="9">
        <v>45425</v>
      </c>
      <c r="E2019" s="13" t="str">
        <f>+HYPERLINK("http://trademark.i-assist.jp/data/china/image_1887th/77021835.pdf","77021835")</f>
        <v>77021835</v>
      </c>
      <c r="F2019" s="7" t="s">
        <v>5499</v>
      </c>
      <c r="G2019" s="7" t="s">
        <v>5381</v>
      </c>
      <c r="H2019" s="7" t="s">
        <v>5500</v>
      </c>
      <c r="I2019" s="9">
        <v>45351</v>
      </c>
    </row>
    <row r="2020" spans="1:9" x14ac:dyDescent="0.15">
      <c r="A2020" s="6">
        <v>2019</v>
      </c>
      <c r="B2020" s="7" t="s">
        <v>8</v>
      </c>
      <c r="C2020" s="8">
        <v>1887</v>
      </c>
      <c r="D2020" s="9">
        <v>45425</v>
      </c>
      <c r="E2020" s="13" t="str">
        <f>+HYPERLINK("http://trademark.i-assist.jp/data/china/image_1887th/77021991.pdf","77021991")</f>
        <v>77021991</v>
      </c>
      <c r="F2020" s="7" t="s">
        <v>5501</v>
      </c>
      <c r="G2020" s="7" t="s">
        <v>5502</v>
      </c>
      <c r="H2020" s="7" t="s">
        <v>5503</v>
      </c>
      <c r="I2020" s="9">
        <v>45351</v>
      </c>
    </row>
    <row r="2021" spans="1:9" x14ac:dyDescent="0.15">
      <c r="A2021" s="6">
        <v>2020</v>
      </c>
      <c r="B2021" s="7" t="s">
        <v>8</v>
      </c>
      <c r="C2021" s="8">
        <v>1887</v>
      </c>
      <c r="D2021" s="9">
        <v>45425</v>
      </c>
      <c r="E2021" s="13" t="str">
        <f>+HYPERLINK("http://trademark.i-assist.jp/data/china/image_1887th/77022019.pdf","77022019")</f>
        <v>77022019</v>
      </c>
      <c r="F2021" s="7" t="s">
        <v>5504</v>
      </c>
      <c r="G2021" s="7" t="s">
        <v>4741</v>
      </c>
      <c r="H2021" s="7" t="s">
        <v>5505</v>
      </c>
      <c r="I2021" s="9">
        <v>45351</v>
      </c>
    </row>
    <row r="2022" spans="1:9" ht="27" x14ac:dyDescent="0.15">
      <c r="A2022" s="6">
        <v>2021</v>
      </c>
      <c r="B2022" s="7" t="s">
        <v>8</v>
      </c>
      <c r="C2022" s="8">
        <v>1887</v>
      </c>
      <c r="D2022" s="9">
        <v>45425</v>
      </c>
      <c r="E2022" s="13" t="str">
        <f>+HYPERLINK("http://trademark.i-assist.jp/data/china/image_1887th/77022076.pdf","77022076")</f>
        <v>77022076</v>
      </c>
      <c r="F2022" s="7" t="s">
        <v>5506</v>
      </c>
      <c r="G2022" s="7" t="s">
        <v>5381</v>
      </c>
      <c r="H2022" s="7" t="s">
        <v>5507</v>
      </c>
      <c r="I2022" s="9">
        <v>45351</v>
      </c>
    </row>
    <row r="2023" spans="1:9" x14ac:dyDescent="0.15">
      <c r="A2023" s="6">
        <v>2022</v>
      </c>
      <c r="B2023" s="7" t="s">
        <v>8</v>
      </c>
      <c r="C2023" s="8">
        <v>1887</v>
      </c>
      <c r="D2023" s="9">
        <v>45425</v>
      </c>
      <c r="E2023" s="13" t="str">
        <f>+HYPERLINK("http://trademark.i-assist.jp/data/china/image_1887th/77022759.pdf","77022759")</f>
        <v>77022759</v>
      </c>
      <c r="F2023" s="7" t="s">
        <v>5508</v>
      </c>
      <c r="G2023" s="7" t="s">
        <v>5491</v>
      </c>
      <c r="H2023" s="7" t="s">
        <v>5509</v>
      </c>
      <c r="I2023" s="9">
        <v>45351</v>
      </c>
    </row>
    <row r="2024" spans="1:9" x14ac:dyDescent="0.15">
      <c r="A2024" s="6">
        <v>2023</v>
      </c>
      <c r="B2024" s="7" t="s">
        <v>8</v>
      </c>
      <c r="C2024" s="8">
        <v>1887</v>
      </c>
      <c r="D2024" s="9">
        <v>45425</v>
      </c>
      <c r="E2024" s="13" t="str">
        <f>+HYPERLINK("http://trademark.i-assist.jp/data/china/image_1887th/77022843.pdf","77022843")</f>
        <v>77022843</v>
      </c>
      <c r="F2024" s="7" t="s">
        <v>5510</v>
      </c>
      <c r="G2024" s="7" t="s">
        <v>5511</v>
      </c>
      <c r="H2024" s="7" t="s">
        <v>5512</v>
      </c>
      <c r="I2024" s="9">
        <v>45351</v>
      </c>
    </row>
    <row r="2025" spans="1:9" x14ac:dyDescent="0.15">
      <c r="A2025" s="6">
        <v>2024</v>
      </c>
      <c r="B2025" s="7" t="s">
        <v>8</v>
      </c>
      <c r="C2025" s="8">
        <v>1887</v>
      </c>
      <c r="D2025" s="9">
        <v>45425</v>
      </c>
      <c r="E2025" s="13" t="str">
        <f>+HYPERLINK("http://trademark.i-assist.jp/data/china/image_1887th/77022980.pdf","77022980")</f>
        <v>77022980</v>
      </c>
      <c r="F2025" s="7" t="s">
        <v>5513</v>
      </c>
      <c r="G2025" s="7" t="s">
        <v>5514</v>
      </c>
      <c r="H2025" s="7" t="s">
        <v>5515</v>
      </c>
      <c r="I2025" s="9">
        <v>45351</v>
      </c>
    </row>
    <row r="2026" spans="1:9" x14ac:dyDescent="0.15">
      <c r="A2026" s="6">
        <v>2025</v>
      </c>
      <c r="B2026" s="7" t="s">
        <v>8</v>
      </c>
      <c r="C2026" s="8">
        <v>1887</v>
      </c>
      <c r="D2026" s="9">
        <v>45425</v>
      </c>
      <c r="E2026" s="13" t="str">
        <f>+HYPERLINK("http://trademark.i-assist.jp/data/china/image_1887th/77023121.pdf","77023121")</f>
        <v>77023121</v>
      </c>
      <c r="F2026" s="7" t="s">
        <v>5516</v>
      </c>
      <c r="G2026" s="7" t="s">
        <v>5517</v>
      </c>
      <c r="H2026" s="7" t="s">
        <v>5518</v>
      </c>
      <c r="I2026" s="9">
        <v>45351</v>
      </c>
    </row>
    <row r="2027" spans="1:9" x14ac:dyDescent="0.15">
      <c r="A2027" s="6">
        <v>2026</v>
      </c>
      <c r="B2027" s="7" t="s">
        <v>8</v>
      </c>
      <c r="C2027" s="8">
        <v>1887</v>
      </c>
      <c r="D2027" s="9">
        <v>45425</v>
      </c>
      <c r="E2027" s="13" t="str">
        <f>+HYPERLINK("http://trademark.i-assist.jp/data/china/image_1887th/77023277.pdf","77023277")</f>
        <v>77023277</v>
      </c>
      <c r="F2027" s="7" t="s">
        <v>5519</v>
      </c>
      <c r="G2027" s="7" t="s">
        <v>5520</v>
      </c>
      <c r="H2027" s="7" t="s">
        <v>5521</v>
      </c>
      <c r="I2027" s="9">
        <v>45351</v>
      </c>
    </row>
    <row r="2028" spans="1:9" x14ac:dyDescent="0.15">
      <c r="A2028" s="6">
        <v>2027</v>
      </c>
      <c r="B2028" s="7" t="s">
        <v>8</v>
      </c>
      <c r="C2028" s="8">
        <v>1887</v>
      </c>
      <c r="D2028" s="9">
        <v>45425</v>
      </c>
      <c r="E2028" s="13" t="str">
        <f>+HYPERLINK("http://trademark.i-assist.jp/data/china/image_1887th/77023445.pdf","77023445")</f>
        <v>77023445</v>
      </c>
      <c r="F2028" s="7" t="s">
        <v>54</v>
      </c>
      <c r="G2028" s="7" t="s">
        <v>5522</v>
      </c>
      <c r="H2028" s="7" t="s">
        <v>5523</v>
      </c>
      <c r="I2028" s="9">
        <v>45351</v>
      </c>
    </row>
    <row r="2029" spans="1:9" x14ac:dyDescent="0.15">
      <c r="A2029" s="6">
        <v>2028</v>
      </c>
      <c r="B2029" s="7" t="s">
        <v>8</v>
      </c>
      <c r="C2029" s="8">
        <v>1887</v>
      </c>
      <c r="D2029" s="9">
        <v>45425</v>
      </c>
      <c r="E2029" s="13" t="str">
        <f>+HYPERLINK("http://trademark.i-assist.jp/data/china/image_1887th/77023497.pdf","77023497")</f>
        <v>77023497</v>
      </c>
      <c r="F2029" s="7" t="s">
        <v>5524</v>
      </c>
      <c r="G2029" s="7" t="s">
        <v>5525</v>
      </c>
      <c r="H2029" s="7" t="s">
        <v>5526</v>
      </c>
      <c r="I2029" s="9">
        <v>45351</v>
      </c>
    </row>
    <row r="2030" spans="1:9" x14ac:dyDescent="0.15">
      <c r="A2030" s="6">
        <v>2029</v>
      </c>
      <c r="B2030" s="7" t="s">
        <v>8</v>
      </c>
      <c r="C2030" s="8">
        <v>1887</v>
      </c>
      <c r="D2030" s="9">
        <v>45425</v>
      </c>
      <c r="E2030" s="13" t="str">
        <f>+HYPERLINK("http://trademark.i-assist.jp/data/china/image_1887th/77023544.pdf","77023544")</f>
        <v>77023544</v>
      </c>
      <c r="F2030" s="7" t="s">
        <v>5527</v>
      </c>
      <c r="G2030" s="7" t="s">
        <v>5497</v>
      </c>
      <c r="H2030" s="7" t="s">
        <v>5528</v>
      </c>
      <c r="I2030" s="9">
        <v>45351</v>
      </c>
    </row>
    <row r="2031" spans="1:9" x14ac:dyDescent="0.15">
      <c r="A2031" s="6">
        <v>2030</v>
      </c>
      <c r="B2031" s="7" t="s">
        <v>8</v>
      </c>
      <c r="C2031" s="8">
        <v>1887</v>
      </c>
      <c r="D2031" s="9">
        <v>45425</v>
      </c>
      <c r="E2031" s="13" t="str">
        <f>+HYPERLINK("http://trademark.i-assist.jp/data/china/image_1887th/77024193.pdf","77024193")</f>
        <v>77024193</v>
      </c>
      <c r="F2031" s="7" t="s">
        <v>5529</v>
      </c>
      <c r="G2031" s="7" t="s">
        <v>5462</v>
      </c>
      <c r="H2031" s="7" t="s">
        <v>5530</v>
      </c>
      <c r="I2031" s="9">
        <v>45351</v>
      </c>
    </row>
    <row r="2032" spans="1:9" ht="27" x14ac:dyDescent="0.15">
      <c r="A2032" s="6">
        <v>2031</v>
      </c>
      <c r="B2032" s="7" t="s">
        <v>8</v>
      </c>
      <c r="C2032" s="8">
        <v>1887</v>
      </c>
      <c r="D2032" s="9">
        <v>45425</v>
      </c>
      <c r="E2032" s="13" t="str">
        <f>+HYPERLINK("http://trademark.i-assist.jp/data/china/image_1887th/77024214.pdf","77024214")</f>
        <v>77024214</v>
      </c>
      <c r="F2032" s="7" t="s">
        <v>5531</v>
      </c>
      <c r="G2032" s="7" t="s">
        <v>5393</v>
      </c>
      <c r="H2032" s="7" t="s">
        <v>5532</v>
      </c>
      <c r="I2032" s="9">
        <v>45351</v>
      </c>
    </row>
    <row r="2033" spans="1:9" x14ac:dyDescent="0.15">
      <c r="A2033" s="6">
        <v>2032</v>
      </c>
      <c r="B2033" s="7" t="s">
        <v>8</v>
      </c>
      <c r="C2033" s="8">
        <v>1887</v>
      </c>
      <c r="D2033" s="9">
        <v>45425</v>
      </c>
      <c r="E2033" s="13" t="str">
        <f>+HYPERLINK("http://trademark.i-assist.jp/data/china/image_1887th/77024262.pdf","77024262")</f>
        <v>77024262</v>
      </c>
      <c r="F2033" s="7" t="s">
        <v>5533</v>
      </c>
      <c r="G2033" s="7" t="s">
        <v>5517</v>
      </c>
      <c r="H2033" s="7" t="s">
        <v>5534</v>
      </c>
      <c r="I2033" s="9">
        <v>45351</v>
      </c>
    </row>
    <row r="2034" spans="1:9" x14ac:dyDescent="0.15">
      <c r="A2034" s="6">
        <v>2033</v>
      </c>
      <c r="B2034" s="7" t="s">
        <v>8</v>
      </c>
      <c r="C2034" s="8">
        <v>1887</v>
      </c>
      <c r="D2034" s="9">
        <v>45425</v>
      </c>
      <c r="E2034" s="13" t="str">
        <f>+HYPERLINK("http://trademark.i-assist.jp/data/china/image_1887th/77024585.pdf","77024585")</f>
        <v>77024585</v>
      </c>
      <c r="F2034" s="7" t="s">
        <v>5535</v>
      </c>
      <c r="G2034" s="7" t="s">
        <v>5417</v>
      </c>
      <c r="H2034" s="7" t="s">
        <v>5536</v>
      </c>
      <c r="I2034" s="9">
        <v>45351</v>
      </c>
    </row>
    <row r="2035" spans="1:9" ht="27" x14ac:dyDescent="0.15">
      <c r="A2035" s="6">
        <v>2034</v>
      </c>
      <c r="B2035" s="7" t="s">
        <v>8</v>
      </c>
      <c r="C2035" s="8">
        <v>1887</v>
      </c>
      <c r="D2035" s="9">
        <v>45425</v>
      </c>
      <c r="E2035" s="13" t="str">
        <f>+HYPERLINK("http://trademark.i-assist.jp/data/china/image_1887th/77025170.pdf","77025170")</f>
        <v>77025170</v>
      </c>
      <c r="F2035" s="7" t="s">
        <v>5537</v>
      </c>
      <c r="G2035" s="7" t="s">
        <v>5538</v>
      </c>
      <c r="H2035" s="7" t="s">
        <v>5539</v>
      </c>
      <c r="I2035" s="9">
        <v>45351</v>
      </c>
    </row>
    <row r="2036" spans="1:9" x14ac:dyDescent="0.15">
      <c r="A2036" s="6">
        <v>2035</v>
      </c>
      <c r="B2036" s="7" t="s">
        <v>8</v>
      </c>
      <c r="C2036" s="8">
        <v>1887</v>
      </c>
      <c r="D2036" s="9">
        <v>45425</v>
      </c>
      <c r="E2036" s="13" t="str">
        <f>+HYPERLINK("http://trademark.i-assist.jp/data/china/image_1887th/77025198.pdf","77025198")</f>
        <v>77025198</v>
      </c>
      <c r="F2036" s="7" t="s">
        <v>5540</v>
      </c>
      <c r="G2036" s="7" t="s">
        <v>5541</v>
      </c>
      <c r="H2036" s="7" t="s">
        <v>5542</v>
      </c>
      <c r="I2036" s="9">
        <v>45351</v>
      </c>
    </row>
    <row r="2037" spans="1:9" x14ac:dyDescent="0.15">
      <c r="A2037" s="6">
        <v>2036</v>
      </c>
      <c r="B2037" s="7" t="s">
        <v>8</v>
      </c>
      <c r="C2037" s="8">
        <v>1887</v>
      </c>
      <c r="D2037" s="9">
        <v>45425</v>
      </c>
      <c r="E2037" s="13" t="str">
        <f>+HYPERLINK("http://trademark.i-assist.jp/data/china/image_1887th/77025332.pdf","77025332")</f>
        <v>77025332</v>
      </c>
      <c r="F2037" s="7" t="s">
        <v>5543</v>
      </c>
      <c r="G2037" s="7" t="s">
        <v>5544</v>
      </c>
      <c r="H2037" s="7" t="s">
        <v>5545</v>
      </c>
      <c r="I2037" s="9">
        <v>45351</v>
      </c>
    </row>
    <row r="2038" spans="1:9" ht="27" x14ac:dyDescent="0.15">
      <c r="A2038" s="6">
        <v>2037</v>
      </c>
      <c r="B2038" s="7" t="s">
        <v>8</v>
      </c>
      <c r="C2038" s="8">
        <v>1887</v>
      </c>
      <c r="D2038" s="9">
        <v>45425</v>
      </c>
      <c r="E2038" s="13" t="str">
        <f>+HYPERLINK("http://trademark.i-assist.jp/data/china/image_1887th/77025492.pdf","77025492")</f>
        <v>77025492</v>
      </c>
      <c r="F2038" s="7" t="s">
        <v>5546</v>
      </c>
      <c r="G2038" s="7" t="s">
        <v>5381</v>
      </c>
      <c r="H2038" s="7" t="s">
        <v>5547</v>
      </c>
      <c r="I2038" s="9">
        <v>45351</v>
      </c>
    </row>
    <row r="2039" spans="1:9" ht="27" x14ac:dyDescent="0.15">
      <c r="A2039" s="6">
        <v>2038</v>
      </c>
      <c r="B2039" s="7" t="s">
        <v>8</v>
      </c>
      <c r="C2039" s="8">
        <v>1887</v>
      </c>
      <c r="D2039" s="9">
        <v>45425</v>
      </c>
      <c r="E2039" s="13" t="str">
        <f>+HYPERLINK("http://trademark.i-assist.jp/data/china/image_1887th/77025528.pdf","77025528")</f>
        <v>77025528</v>
      </c>
      <c r="F2039" s="7" t="s">
        <v>5548</v>
      </c>
      <c r="G2039" s="7" t="s">
        <v>5381</v>
      </c>
      <c r="H2039" s="7" t="s">
        <v>5549</v>
      </c>
      <c r="I2039" s="9">
        <v>45351</v>
      </c>
    </row>
    <row r="2040" spans="1:9" x14ac:dyDescent="0.15">
      <c r="A2040" s="6">
        <v>2039</v>
      </c>
      <c r="B2040" s="7" t="s">
        <v>8</v>
      </c>
      <c r="C2040" s="8">
        <v>1887</v>
      </c>
      <c r="D2040" s="9">
        <v>45425</v>
      </c>
      <c r="E2040" s="13" t="str">
        <f>+HYPERLINK("http://trademark.i-assist.jp/data/china/image_1887th/77025719.pdf","77025719")</f>
        <v>77025719</v>
      </c>
      <c r="F2040" s="7" t="s">
        <v>5550</v>
      </c>
      <c r="G2040" s="7" t="s">
        <v>5551</v>
      </c>
      <c r="H2040" s="7" t="s">
        <v>5552</v>
      </c>
      <c r="I2040" s="9">
        <v>45351</v>
      </c>
    </row>
    <row r="2041" spans="1:9" x14ac:dyDescent="0.15">
      <c r="A2041" s="6">
        <v>2040</v>
      </c>
      <c r="B2041" s="7" t="s">
        <v>8</v>
      </c>
      <c r="C2041" s="8">
        <v>1887</v>
      </c>
      <c r="D2041" s="9">
        <v>45425</v>
      </c>
      <c r="E2041" s="13" t="str">
        <f>+HYPERLINK("http://trademark.i-assist.jp/data/china/image_1887th/77025730.pdf","77025730")</f>
        <v>77025730</v>
      </c>
      <c r="F2041" s="7" t="s">
        <v>5553</v>
      </c>
      <c r="G2041" s="7" t="s">
        <v>5491</v>
      </c>
      <c r="H2041" s="7" t="s">
        <v>5554</v>
      </c>
      <c r="I2041" s="9">
        <v>45351</v>
      </c>
    </row>
    <row r="2042" spans="1:9" x14ac:dyDescent="0.15">
      <c r="A2042" s="6">
        <v>2041</v>
      </c>
      <c r="B2042" s="7" t="s">
        <v>8</v>
      </c>
      <c r="C2042" s="8">
        <v>1887</v>
      </c>
      <c r="D2042" s="9">
        <v>45425</v>
      </c>
      <c r="E2042" s="13" t="str">
        <f>+HYPERLINK("http://trademark.i-assist.jp/data/china/image_1887th/77025739.pdf","77025739")</f>
        <v>77025739</v>
      </c>
      <c r="F2042" s="7" t="s">
        <v>5555</v>
      </c>
      <c r="G2042" s="7" t="s">
        <v>5491</v>
      </c>
      <c r="H2042" s="7" t="s">
        <v>5556</v>
      </c>
      <c r="I2042" s="9">
        <v>45351</v>
      </c>
    </row>
    <row r="2043" spans="1:9" x14ac:dyDescent="0.15">
      <c r="A2043" s="6">
        <v>2042</v>
      </c>
      <c r="B2043" s="7" t="s">
        <v>8</v>
      </c>
      <c r="C2043" s="8">
        <v>1887</v>
      </c>
      <c r="D2043" s="9">
        <v>45425</v>
      </c>
      <c r="E2043" s="13" t="str">
        <f>+HYPERLINK("http://trademark.i-assist.jp/data/china/image_1887th/77026291.pdf","77026291")</f>
        <v>77026291</v>
      </c>
      <c r="F2043" s="7" t="s">
        <v>5557</v>
      </c>
      <c r="G2043" s="7" t="s">
        <v>5558</v>
      </c>
      <c r="H2043" s="7" t="s">
        <v>5559</v>
      </c>
      <c r="I2043" s="9">
        <v>45351</v>
      </c>
    </row>
    <row r="2044" spans="1:9" ht="27" x14ac:dyDescent="0.15">
      <c r="A2044" s="6">
        <v>2043</v>
      </c>
      <c r="B2044" s="7" t="s">
        <v>8</v>
      </c>
      <c r="C2044" s="8">
        <v>1887</v>
      </c>
      <c r="D2044" s="9">
        <v>45425</v>
      </c>
      <c r="E2044" s="13" t="str">
        <f>+HYPERLINK("http://trademark.i-assist.jp/data/china/image_1887th/77026348.pdf","77026348")</f>
        <v>77026348</v>
      </c>
      <c r="F2044" s="7" t="s">
        <v>5560</v>
      </c>
      <c r="G2044" s="7" t="s">
        <v>5561</v>
      </c>
      <c r="H2044" s="7" t="s">
        <v>5562</v>
      </c>
      <c r="I2044" s="9">
        <v>45351</v>
      </c>
    </row>
    <row r="2045" spans="1:9" x14ac:dyDescent="0.15">
      <c r="A2045" s="6">
        <v>2044</v>
      </c>
      <c r="B2045" s="7" t="s">
        <v>8</v>
      </c>
      <c r="C2045" s="8">
        <v>1887</v>
      </c>
      <c r="D2045" s="9">
        <v>45425</v>
      </c>
      <c r="E2045" s="13" t="str">
        <f>+HYPERLINK("http://trademark.i-assist.jp/data/china/image_1887th/77026366.pdf","77026366")</f>
        <v>77026366</v>
      </c>
      <c r="F2045" s="7" t="s">
        <v>5563</v>
      </c>
      <c r="G2045" s="7" t="s">
        <v>5564</v>
      </c>
      <c r="H2045" s="7" t="s">
        <v>5565</v>
      </c>
      <c r="I2045" s="9">
        <v>45351</v>
      </c>
    </row>
    <row r="2046" spans="1:9" x14ac:dyDescent="0.15">
      <c r="A2046" s="6">
        <v>2045</v>
      </c>
      <c r="B2046" s="7" t="s">
        <v>8</v>
      </c>
      <c r="C2046" s="8">
        <v>1887</v>
      </c>
      <c r="D2046" s="9">
        <v>45425</v>
      </c>
      <c r="E2046" s="13" t="str">
        <f>+HYPERLINK("http://trademark.i-assist.jp/data/china/image_1887th/77026526.pdf","77026526")</f>
        <v>77026526</v>
      </c>
      <c r="F2046" s="7" t="s">
        <v>5566</v>
      </c>
      <c r="G2046" s="7" t="s">
        <v>5567</v>
      </c>
      <c r="H2046" s="7" t="s">
        <v>5568</v>
      </c>
      <c r="I2046" s="9">
        <v>45351</v>
      </c>
    </row>
    <row r="2047" spans="1:9" ht="27" x14ac:dyDescent="0.15">
      <c r="A2047" s="6">
        <v>2046</v>
      </c>
      <c r="B2047" s="7" t="s">
        <v>8</v>
      </c>
      <c r="C2047" s="8">
        <v>1887</v>
      </c>
      <c r="D2047" s="9">
        <v>45425</v>
      </c>
      <c r="E2047" s="13" t="str">
        <f>+HYPERLINK("http://trademark.i-assist.jp/data/china/image_1887th/77026688.pdf","77026688")</f>
        <v>77026688</v>
      </c>
      <c r="F2047" s="7" t="s">
        <v>5569</v>
      </c>
      <c r="G2047" s="7" t="s">
        <v>5381</v>
      </c>
      <c r="H2047" s="7" t="s">
        <v>5570</v>
      </c>
      <c r="I2047" s="9">
        <v>45351</v>
      </c>
    </row>
    <row r="2048" spans="1:9" x14ac:dyDescent="0.15">
      <c r="A2048" s="6">
        <v>2047</v>
      </c>
      <c r="B2048" s="7" t="s">
        <v>8</v>
      </c>
      <c r="C2048" s="8">
        <v>1887</v>
      </c>
      <c r="D2048" s="9">
        <v>45425</v>
      </c>
      <c r="E2048" s="13" t="str">
        <f>+HYPERLINK("http://trademark.i-assist.jp/data/china/image_1887th/77027246.pdf","77027246")</f>
        <v>77027246</v>
      </c>
      <c r="F2048" s="7" t="s">
        <v>5571</v>
      </c>
      <c r="G2048" s="7" t="s">
        <v>5572</v>
      </c>
      <c r="H2048" s="7" t="s">
        <v>5573</v>
      </c>
      <c r="I2048" s="9">
        <v>45351</v>
      </c>
    </row>
    <row r="2049" spans="1:9" x14ac:dyDescent="0.15">
      <c r="A2049" s="6">
        <v>2048</v>
      </c>
      <c r="B2049" s="7" t="s">
        <v>8</v>
      </c>
      <c r="C2049" s="8">
        <v>1887</v>
      </c>
      <c r="D2049" s="9">
        <v>45425</v>
      </c>
      <c r="E2049" s="13" t="str">
        <f>+HYPERLINK("http://trademark.i-assist.jp/data/china/image_1887th/77027702.pdf","77027702")</f>
        <v>77027702</v>
      </c>
      <c r="F2049" s="7" t="s">
        <v>5574</v>
      </c>
      <c r="G2049" s="7" t="s">
        <v>5575</v>
      </c>
      <c r="H2049" s="7" t="s">
        <v>5576</v>
      </c>
      <c r="I2049" s="9">
        <v>45351</v>
      </c>
    </row>
    <row r="2050" spans="1:9" x14ac:dyDescent="0.15">
      <c r="A2050" s="6">
        <v>2049</v>
      </c>
      <c r="B2050" s="7" t="s">
        <v>8</v>
      </c>
      <c r="C2050" s="8">
        <v>1887</v>
      </c>
      <c r="D2050" s="9">
        <v>45425</v>
      </c>
      <c r="E2050" s="13" t="str">
        <f>+HYPERLINK("http://trademark.i-assist.jp/data/china/image_1887th/77027713.pdf","77027713")</f>
        <v>77027713</v>
      </c>
      <c r="F2050" s="7" t="s">
        <v>5577</v>
      </c>
      <c r="G2050" s="7" t="s">
        <v>5578</v>
      </c>
      <c r="H2050" s="7" t="s">
        <v>5579</v>
      </c>
      <c r="I2050" s="9">
        <v>45351</v>
      </c>
    </row>
    <row r="2051" spans="1:9" x14ac:dyDescent="0.15">
      <c r="A2051" s="6">
        <v>2050</v>
      </c>
      <c r="B2051" s="7" t="s">
        <v>8</v>
      </c>
      <c r="C2051" s="8">
        <v>1887</v>
      </c>
      <c r="D2051" s="9">
        <v>45425</v>
      </c>
      <c r="E2051" s="13" t="str">
        <f>+HYPERLINK("http://trademark.i-assist.jp/data/china/image_1887th/77027724.pdf","77027724")</f>
        <v>77027724</v>
      </c>
      <c r="F2051" s="7" t="s">
        <v>5580</v>
      </c>
      <c r="G2051" s="7" t="s">
        <v>5581</v>
      </c>
      <c r="H2051" s="7" t="s">
        <v>5582</v>
      </c>
      <c r="I2051" s="9">
        <v>45351</v>
      </c>
    </row>
    <row r="2052" spans="1:9" x14ac:dyDescent="0.15">
      <c r="A2052" s="6">
        <v>2051</v>
      </c>
      <c r="B2052" s="7" t="s">
        <v>8</v>
      </c>
      <c r="C2052" s="8">
        <v>1887</v>
      </c>
      <c r="D2052" s="9">
        <v>45425</v>
      </c>
      <c r="E2052" s="13" t="str">
        <f>+HYPERLINK("http://trademark.i-assist.jp/data/china/image_1887th/77027757.pdf","77027757")</f>
        <v>77027757</v>
      </c>
      <c r="F2052" s="7" t="s">
        <v>5583</v>
      </c>
      <c r="G2052" s="7" t="s">
        <v>5584</v>
      </c>
      <c r="H2052" s="7" t="s">
        <v>5585</v>
      </c>
      <c r="I2052" s="9">
        <v>45351</v>
      </c>
    </row>
    <row r="2053" spans="1:9" x14ac:dyDescent="0.15">
      <c r="A2053" s="6">
        <v>2052</v>
      </c>
      <c r="B2053" s="7" t="s">
        <v>8</v>
      </c>
      <c r="C2053" s="8">
        <v>1887</v>
      </c>
      <c r="D2053" s="9">
        <v>45425</v>
      </c>
      <c r="E2053" s="13" t="str">
        <f>+HYPERLINK("http://trademark.i-assist.jp/data/china/image_1887th/77027781.pdf","77027781")</f>
        <v>77027781</v>
      </c>
      <c r="F2053" s="7" t="s">
        <v>5586</v>
      </c>
      <c r="G2053" s="7" t="s">
        <v>5587</v>
      </c>
      <c r="H2053" s="7" t="s">
        <v>5588</v>
      </c>
      <c r="I2053" s="9">
        <v>45351</v>
      </c>
    </row>
    <row r="2054" spans="1:9" x14ac:dyDescent="0.15">
      <c r="A2054" s="6">
        <v>2053</v>
      </c>
      <c r="B2054" s="7" t="s">
        <v>8</v>
      </c>
      <c r="C2054" s="8">
        <v>1887</v>
      </c>
      <c r="D2054" s="9">
        <v>45425</v>
      </c>
      <c r="E2054" s="13" t="str">
        <f>+HYPERLINK("http://trademark.i-assist.jp/data/china/image_1887th/77027786.pdf","77027786")</f>
        <v>77027786</v>
      </c>
      <c r="F2054" s="7" t="s">
        <v>5589</v>
      </c>
      <c r="G2054" s="7" t="s">
        <v>5590</v>
      </c>
      <c r="H2054" s="7" t="s">
        <v>5591</v>
      </c>
      <c r="I2054" s="9">
        <v>45351</v>
      </c>
    </row>
    <row r="2055" spans="1:9" ht="27" x14ac:dyDescent="0.15">
      <c r="A2055" s="6">
        <v>2054</v>
      </c>
      <c r="B2055" s="7" t="s">
        <v>8</v>
      </c>
      <c r="C2055" s="8">
        <v>1887</v>
      </c>
      <c r="D2055" s="9">
        <v>45425</v>
      </c>
      <c r="E2055" s="13" t="str">
        <f>+HYPERLINK("http://trademark.i-assist.jp/data/china/image_1887th/77028008.pdf","77028008")</f>
        <v>77028008</v>
      </c>
      <c r="F2055" s="7" t="s">
        <v>5592</v>
      </c>
      <c r="G2055" s="7" t="s">
        <v>5593</v>
      </c>
      <c r="H2055" s="7" t="s">
        <v>5594</v>
      </c>
      <c r="I2055" s="9">
        <v>45351</v>
      </c>
    </row>
    <row r="2056" spans="1:9" x14ac:dyDescent="0.15">
      <c r="A2056" s="6">
        <v>2055</v>
      </c>
      <c r="B2056" s="7" t="s">
        <v>8</v>
      </c>
      <c r="C2056" s="8">
        <v>1887</v>
      </c>
      <c r="D2056" s="9">
        <v>45425</v>
      </c>
      <c r="E2056" s="13" t="str">
        <f>+HYPERLINK("http://trademark.i-assist.jp/data/china/image_1887th/77028223.pdf","77028223")</f>
        <v>77028223</v>
      </c>
      <c r="F2056" s="7" t="s">
        <v>5595</v>
      </c>
      <c r="G2056" s="7" t="s">
        <v>5596</v>
      </c>
      <c r="H2056" s="7" t="s">
        <v>5597</v>
      </c>
      <c r="I2056" s="9">
        <v>45351</v>
      </c>
    </row>
    <row r="2057" spans="1:9" x14ac:dyDescent="0.15">
      <c r="A2057" s="6">
        <v>2056</v>
      </c>
      <c r="B2057" s="7" t="s">
        <v>8</v>
      </c>
      <c r="C2057" s="8">
        <v>1887</v>
      </c>
      <c r="D2057" s="9">
        <v>45425</v>
      </c>
      <c r="E2057" s="13" t="str">
        <f>+HYPERLINK("http://trademark.i-assist.jp/data/china/image_1887th/77028263.pdf","77028263")</f>
        <v>77028263</v>
      </c>
      <c r="F2057" s="7" t="s">
        <v>5598</v>
      </c>
      <c r="G2057" s="7" t="s">
        <v>5599</v>
      </c>
      <c r="H2057" s="7" t="s">
        <v>5600</v>
      </c>
      <c r="I2057" s="9">
        <v>45351</v>
      </c>
    </row>
    <row r="2058" spans="1:9" x14ac:dyDescent="0.15">
      <c r="A2058" s="6">
        <v>2057</v>
      </c>
      <c r="B2058" s="7" t="s">
        <v>8</v>
      </c>
      <c r="C2058" s="8">
        <v>1887</v>
      </c>
      <c r="D2058" s="9">
        <v>45425</v>
      </c>
      <c r="E2058" s="13" t="str">
        <f>+HYPERLINK("http://trademark.i-assist.jp/data/china/image_1887th/77028414.pdf","77028414")</f>
        <v>77028414</v>
      </c>
      <c r="F2058" s="7" t="s">
        <v>5601</v>
      </c>
      <c r="G2058" s="7" t="s">
        <v>5602</v>
      </c>
      <c r="H2058" s="7" t="s">
        <v>5603</v>
      </c>
      <c r="I2058" s="9">
        <v>45351</v>
      </c>
    </row>
    <row r="2059" spans="1:9" ht="27" x14ac:dyDescent="0.15">
      <c r="A2059" s="6">
        <v>2058</v>
      </c>
      <c r="B2059" s="7" t="s">
        <v>8</v>
      </c>
      <c r="C2059" s="8">
        <v>1887</v>
      </c>
      <c r="D2059" s="9">
        <v>45425</v>
      </c>
      <c r="E2059" s="13" t="str">
        <f>+HYPERLINK("http://trademark.i-assist.jp/data/china/image_1887th/77028600.pdf","77028600")</f>
        <v>77028600</v>
      </c>
      <c r="F2059" s="7" t="s">
        <v>5604</v>
      </c>
      <c r="G2059" s="7" t="s">
        <v>5605</v>
      </c>
      <c r="H2059" s="7" t="s">
        <v>5606</v>
      </c>
      <c r="I2059" s="9">
        <v>45351</v>
      </c>
    </row>
    <row r="2060" spans="1:9" x14ac:dyDescent="0.15">
      <c r="A2060" s="6">
        <v>2059</v>
      </c>
      <c r="B2060" s="7" t="s">
        <v>8</v>
      </c>
      <c r="C2060" s="8">
        <v>1887</v>
      </c>
      <c r="D2060" s="9">
        <v>45425</v>
      </c>
      <c r="E2060" s="13" t="str">
        <f>+HYPERLINK("http://trademark.i-assist.jp/data/china/image_1887th/77028889.pdf","77028889")</f>
        <v>77028889</v>
      </c>
      <c r="F2060" s="7" t="s">
        <v>5607</v>
      </c>
      <c r="G2060" s="7" t="s">
        <v>5608</v>
      </c>
      <c r="H2060" s="7" t="s">
        <v>5609</v>
      </c>
      <c r="I2060" s="9">
        <v>45351</v>
      </c>
    </row>
    <row r="2061" spans="1:9" x14ac:dyDescent="0.15">
      <c r="A2061" s="6">
        <v>2060</v>
      </c>
      <c r="B2061" s="7" t="s">
        <v>8</v>
      </c>
      <c r="C2061" s="8">
        <v>1887</v>
      </c>
      <c r="D2061" s="9">
        <v>45425</v>
      </c>
      <c r="E2061" s="13" t="str">
        <f>+HYPERLINK("http://trademark.i-assist.jp/data/china/image_1887th/77029307.pdf","77029307")</f>
        <v>77029307</v>
      </c>
      <c r="F2061" s="7" t="s">
        <v>5610</v>
      </c>
      <c r="G2061" s="7" t="s">
        <v>5611</v>
      </c>
      <c r="H2061" s="7" t="s">
        <v>5612</v>
      </c>
      <c r="I2061" s="9">
        <v>45351</v>
      </c>
    </row>
    <row r="2062" spans="1:9" x14ac:dyDescent="0.15">
      <c r="A2062" s="6">
        <v>2061</v>
      </c>
      <c r="B2062" s="7" t="s">
        <v>8</v>
      </c>
      <c r="C2062" s="8">
        <v>1887</v>
      </c>
      <c r="D2062" s="9">
        <v>45425</v>
      </c>
      <c r="E2062" s="13" t="str">
        <f>+HYPERLINK("http://trademark.i-assist.jp/data/china/image_1887th/77029317.pdf","77029317")</f>
        <v>77029317</v>
      </c>
      <c r="F2062" s="7" t="s">
        <v>5613</v>
      </c>
      <c r="G2062" s="7" t="s">
        <v>5614</v>
      </c>
      <c r="H2062" s="7" t="s">
        <v>5615</v>
      </c>
      <c r="I2062" s="9">
        <v>45351</v>
      </c>
    </row>
    <row r="2063" spans="1:9" x14ac:dyDescent="0.15">
      <c r="A2063" s="6">
        <v>2062</v>
      </c>
      <c r="B2063" s="7" t="s">
        <v>8</v>
      </c>
      <c r="C2063" s="8">
        <v>1887</v>
      </c>
      <c r="D2063" s="9">
        <v>45425</v>
      </c>
      <c r="E2063" s="13" t="str">
        <f>+HYPERLINK("http://trademark.i-assist.jp/data/china/image_1887th/77029407.pdf","77029407")</f>
        <v>77029407</v>
      </c>
      <c r="F2063" s="7" t="s">
        <v>5616</v>
      </c>
      <c r="G2063" s="7" t="s">
        <v>5617</v>
      </c>
      <c r="H2063" s="7" t="s">
        <v>5618</v>
      </c>
      <c r="I2063" s="9">
        <v>45351</v>
      </c>
    </row>
    <row r="2064" spans="1:9" x14ac:dyDescent="0.15">
      <c r="A2064" s="6">
        <v>2063</v>
      </c>
      <c r="B2064" s="7" t="s">
        <v>8</v>
      </c>
      <c r="C2064" s="8">
        <v>1887</v>
      </c>
      <c r="D2064" s="9">
        <v>45425</v>
      </c>
      <c r="E2064" s="13" t="str">
        <f>+HYPERLINK("http://trademark.i-assist.jp/data/china/image_1887th/77029674.pdf","77029674")</f>
        <v>77029674</v>
      </c>
      <c r="F2064" s="7" t="s">
        <v>5619</v>
      </c>
      <c r="G2064" s="7" t="s">
        <v>5620</v>
      </c>
      <c r="H2064" s="7" t="s">
        <v>5621</v>
      </c>
      <c r="I2064" s="9">
        <v>45351</v>
      </c>
    </row>
    <row r="2065" spans="1:9" ht="27" x14ac:dyDescent="0.15">
      <c r="A2065" s="6">
        <v>2064</v>
      </c>
      <c r="B2065" s="7" t="s">
        <v>8</v>
      </c>
      <c r="C2065" s="8">
        <v>1887</v>
      </c>
      <c r="D2065" s="9">
        <v>45425</v>
      </c>
      <c r="E2065" s="13" t="str">
        <f>+HYPERLINK("http://trademark.i-assist.jp/data/china/image_1887th/77030992.pdf","77030992")</f>
        <v>77030992</v>
      </c>
      <c r="F2065" s="7" t="s">
        <v>5622</v>
      </c>
      <c r="G2065" s="7" t="s">
        <v>5623</v>
      </c>
      <c r="H2065" s="7" t="s">
        <v>5624</v>
      </c>
      <c r="I2065" s="9">
        <v>45351</v>
      </c>
    </row>
    <row r="2066" spans="1:9" x14ac:dyDescent="0.15">
      <c r="A2066" s="6">
        <v>2065</v>
      </c>
      <c r="B2066" s="7" t="s">
        <v>8</v>
      </c>
      <c r="C2066" s="8">
        <v>1887</v>
      </c>
      <c r="D2066" s="9">
        <v>45425</v>
      </c>
      <c r="E2066" s="13" t="str">
        <f>+HYPERLINK("http://trademark.i-assist.jp/data/china/image_1887th/77031023.pdf","77031023")</f>
        <v>77031023</v>
      </c>
      <c r="F2066" s="7" t="s">
        <v>5625</v>
      </c>
      <c r="G2066" s="7" t="s">
        <v>5625</v>
      </c>
      <c r="H2066" s="7" t="s">
        <v>5626</v>
      </c>
      <c r="I2066" s="9">
        <v>45351</v>
      </c>
    </row>
    <row r="2067" spans="1:9" x14ac:dyDescent="0.15">
      <c r="A2067" s="6">
        <v>2066</v>
      </c>
      <c r="B2067" s="7" t="s">
        <v>8</v>
      </c>
      <c r="C2067" s="8">
        <v>1887</v>
      </c>
      <c r="D2067" s="9">
        <v>45425</v>
      </c>
      <c r="E2067" s="13" t="str">
        <f>+HYPERLINK("http://trademark.i-assist.jp/data/china/image_1887th/77031131.pdf","77031131")</f>
        <v>77031131</v>
      </c>
      <c r="F2067" s="7" t="s">
        <v>5627</v>
      </c>
      <c r="G2067" s="7" t="s">
        <v>5628</v>
      </c>
      <c r="H2067" s="7" t="s">
        <v>5629</v>
      </c>
      <c r="I2067" s="9">
        <v>45351</v>
      </c>
    </row>
    <row r="2068" spans="1:9" x14ac:dyDescent="0.15">
      <c r="A2068" s="6">
        <v>2067</v>
      </c>
      <c r="B2068" s="7" t="s">
        <v>8</v>
      </c>
      <c r="C2068" s="8">
        <v>1887</v>
      </c>
      <c r="D2068" s="9">
        <v>45425</v>
      </c>
      <c r="E2068" s="13" t="str">
        <f>+HYPERLINK("http://trademark.i-assist.jp/data/china/image_1887th/77031440.pdf","77031440")</f>
        <v>77031440</v>
      </c>
      <c r="F2068" s="7" t="s">
        <v>5630</v>
      </c>
      <c r="G2068" s="7" t="s">
        <v>5631</v>
      </c>
      <c r="H2068" s="7" t="s">
        <v>5632</v>
      </c>
      <c r="I2068" s="9">
        <v>45351</v>
      </c>
    </row>
    <row r="2069" spans="1:9" ht="27" x14ac:dyDescent="0.15">
      <c r="A2069" s="6">
        <v>2068</v>
      </c>
      <c r="B2069" s="7" t="s">
        <v>8</v>
      </c>
      <c r="C2069" s="8">
        <v>1887</v>
      </c>
      <c r="D2069" s="9">
        <v>45425</v>
      </c>
      <c r="E2069" s="13" t="str">
        <f>+HYPERLINK("http://trademark.i-assist.jp/data/china/image_1887th/77031468.pdf","77031468")</f>
        <v>77031468</v>
      </c>
      <c r="F2069" s="7" t="s">
        <v>54</v>
      </c>
      <c r="G2069" s="7" t="s">
        <v>5633</v>
      </c>
      <c r="H2069" s="7" t="s">
        <v>5634</v>
      </c>
      <c r="I2069" s="9">
        <v>45351</v>
      </c>
    </row>
    <row r="2070" spans="1:9" x14ac:dyDescent="0.15">
      <c r="A2070" s="6">
        <v>2069</v>
      </c>
      <c r="B2070" s="7" t="s">
        <v>8</v>
      </c>
      <c r="C2070" s="8">
        <v>1887</v>
      </c>
      <c r="D2070" s="9">
        <v>45425</v>
      </c>
      <c r="E2070" s="13" t="str">
        <f>+HYPERLINK("http://trademark.i-assist.jp/data/china/image_1887th/77031621.pdf","77031621")</f>
        <v>77031621</v>
      </c>
      <c r="F2070" s="7" t="s">
        <v>5635</v>
      </c>
      <c r="G2070" s="7" t="s">
        <v>5636</v>
      </c>
      <c r="H2070" s="7" t="s">
        <v>5637</v>
      </c>
      <c r="I2070" s="9">
        <v>45351</v>
      </c>
    </row>
    <row r="2071" spans="1:9" x14ac:dyDescent="0.15">
      <c r="A2071" s="6">
        <v>2070</v>
      </c>
      <c r="B2071" s="7" t="s">
        <v>8</v>
      </c>
      <c r="C2071" s="8">
        <v>1887</v>
      </c>
      <c r="D2071" s="9">
        <v>45425</v>
      </c>
      <c r="E2071" s="13" t="str">
        <f>+HYPERLINK("http://trademark.i-assist.jp/data/china/image_1887th/77031686.pdf","77031686")</f>
        <v>77031686</v>
      </c>
      <c r="F2071" s="7" t="s">
        <v>5638</v>
      </c>
      <c r="G2071" s="7" t="s">
        <v>5639</v>
      </c>
      <c r="H2071" s="7" t="s">
        <v>5640</v>
      </c>
      <c r="I2071" s="9">
        <v>45351</v>
      </c>
    </row>
    <row r="2072" spans="1:9" ht="27" x14ac:dyDescent="0.15">
      <c r="A2072" s="6">
        <v>2071</v>
      </c>
      <c r="B2072" s="7" t="s">
        <v>8</v>
      </c>
      <c r="C2072" s="8">
        <v>1887</v>
      </c>
      <c r="D2072" s="9">
        <v>45425</v>
      </c>
      <c r="E2072" s="13" t="str">
        <f>+HYPERLINK("http://trademark.i-assist.jp/data/china/image_1887th/77032447.pdf","77032447")</f>
        <v>77032447</v>
      </c>
      <c r="F2072" s="7" t="s">
        <v>5641</v>
      </c>
      <c r="G2072" s="7" t="s">
        <v>5593</v>
      </c>
      <c r="H2072" s="7" t="s">
        <v>5642</v>
      </c>
      <c r="I2072" s="9">
        <v>45351</v>
      </c>
    </row>
    <row r="2073" spans="1:9" x14ac:dyDescent="0.15">
      <c r="A2073" s="6">
        <v>2072</v>
      </c>
      <c r="B2073" s="7" t="s">
        <v>8</v>
      </c>
      <c r="C2073" s="8">
        <v>1887</v>
      </c>
      <c r="D2073" s="9">
        <v>45425</v>
      </c>
      <c r="E2073" s="13" t="str">
        <f>+HYPERLINK("http://trademark.i-assist.jp/data/china/image_1887th/77032534.pdf","77032534")</f>
        <v>77032534</v>
      </c>
      <c r="F2073" s="7" t="s">
        <v>5643</v>
      </c>
      <c r="G2073" s="7" t="s">
        <v>5602</v>
      </c>
      <c r="H2073" s="7" t="s">
        <v>5644</v>
      </c>
      <c r="I2073" s="9">
        <v>45351</v>
      </c>
    </row>
    <row r="2074" spans="1:9" x14ac:dyDescent="0.15">
      <c r="A2074" s="6">
        <v>2073</v>
      </c>
      <c r="B2074" s="7" t="s">
        <v>8</v>
      </c>
      <c r="C2074" s="8">
        <v>1887</v>
      </c>
      <c r="D2074" s="9">
        <v>45425</v>
      </c>
      <c r="E2074" s="13" t="str">
        <f>+HYPERLINK("http://trademark.i-assist.jp/data/china/image_1887th/77032557.pdf","77032557")</f>
        <v>77032557</v>
      </c>
      <c r="F2074" s="7" t="s">
        <v>5645</v>
      </c>
      <c r="G2074" s="7" t="s">
        <v>5646</v>
      </c>
      <c r="H2074" s="7" t="s">
        <v>5647</v>
      </c>
      <c r="I2074" s="9">
        <v>45351</v>
      </c>
    </row>
    <row r="2075" spans="1:9" x14ac:dyDescent="0.15">
      <c r="A2075" s="6">
        <v>2074</v>
      </c>
      <c r="B2075" s="7" t="s">
        <v>8</v>
      </c>
      <c r="C2075" s="8">
        <v>1887</v>
      </c>
      <c r="D2075" s="9">
        <v>45425</v>
      </c>
      <c r="E2075" s="13" t="str">
        <f>+HYPERLINK("http://trademark.i-assist.jp/data/china/image_1887th/77032675.pdf","77032675")</f>
        <v>77032675</v>
      </c>
      <c r="F2075" s="7" t="s">
        <v>5648</v>
      </c>
      <c r="G2075" s="7" t="s">
        <v>5649</v>
      </c>
      <c r="H2075" s="7" t="s">
        <v>5650</v>
      </c>
      <c r="I2075" s="9">
        <v>45351</v>
      </c>
    </row>
    <row r="2076" spans="1:9" x14ac:dyDescent="0.15">
      <c r="A2076" s="6">
        <v>2075</v>
      </c>
      <c r="B2076" s="7" t="s">
        <v>8</v>
      </c>
      <c r="C2076" s="8">
        <v>1887</v>
      </c>
      <c r="D2076" s="9">
        <v>45425</v>
      </c>
      <c r="E2076" s="13" t="str">
        <f>+HYPERLINK("http://trademark.i-assist.jp/data/china/image_1887th/77033098.pdf","77033098")</f>
        <v>77033098</v>
      </c>
      <c r="F2076" s="7" t="s">
        <v>5651</v>
      </c>
      <c r="G2076" s="7" t="s">
        <v>5387</v>
      </c>
      <c r="H2076" s="7" t="s">
        <v>5652</v>
      </c>
      <c r="I2076" s="9">
        <v>45351</v>
      </c>
    </row>
    <row r="2077" spans="1:9" ht="27" x14ac:dyDescent="0.15">
      <c r="A2077" s="6">
        <v>2076</v>
      </c>
      <c r="B2077" s="7" t="s">
        <v>8</v>
      </c>
      <c r="C2077" s="8">
        <v>1887</v>
      </c>
      <c r="D2077" s="9">
        <v>45425</v>
      </c>
      <c r="E2077" s="13" t="str">
        <f>+HYPERLINK("http://trademark.i-assist.jp/data/china/image_1887th/77033352.pdf","77033352")</f>
        <v>77033352</v>
      </c>
      <c r="F2077" s="7" t="s">
        <v>5653</v>
      </c>
      <c r="G2077" s="7" t="s">
        <v>5381</v>
      </c>
      <c r="H2077" s="7" t="s">
        <v>5654</v>
      </c>
      <c r="I2077" s="9">
        <v>45351</v>
      </c>
    </row>
    <row r="2078" spans="1:9" x14ac:dyDescent="0.15">
      <c r="A2078" s="6">
        <v>2077</v>
      </c>
      <c r="B2078" s="7" t="s">
        <v>8</v>
      </c>
      <c r="C2078" s="8">
        <v>1887</v>
      </c>
      <c r="D2078" s="9">
        <v>45425</v>
      </c>
      <c r="E2078" s="13" t="str">
        <f>+HYPERLINK("http://trademark.i-assist.jp/data/china/image_1887th/77033446.pdf","77033446")</f>
        <v>77033446</v>
      </c>
      <c r="F2078" s="7" t="s">
        <v>5655</v>
      </c>
      <c r="G2078" s="7" t="s">
        <v>5656</v>
      </c>
      <c r="H2078" s="7" t="s">
        <v>5657</v>
      </c>
      <c r="I2078" s="9">
        <v>45351</v>
      </c>
    </row>
    <row r="2079" spans="1:9" x14ac:dyDescent="0.15">
      <c r="A2079" s="6">
        <v>2078</v>
      </c>
      <c r="B2079" s="7" t="s">
        <v>8</v>
      </c>
      <c r="C2079" s="8">
        <v>1887</v>
      </c>
      <c r="D2079" s="9">
        <v>45425</v>
      </c>
      <c r="E2079" s="13" t="str">
        <f>+HYPERLINK("http://trademark.i-assist.jp/data/china/image_1887th/77033464.pdf","77033464")</f>
        <v>77033464</v>
      </c>
      <c r="F2079" s="7" t="s">
        <v>5658</v>
      </c>
      <c r="G2079" s="7" t="s">
        <v>5491</v>
      </c>
      <c r="H2079" s="7" t="s">
        <v>5659</v>
      </c>
      <c r="I2079" s="9">
        <v>45351</v>
      </c>
    </row>
    <row r="2080" spans="1:9" x14ac:dyDescent="0.15">
      <c r="A2080" s="6">
        <v>2079</v>
      </c>
      <c r="B2080" s="7" t="s">
        <v>8</v>
      </c>
      <c r="C2080" s="8">
        <v>1887</v>
      </c>
      <c r="D2080" s="9">
        <v>45425</v>
      </c>
      <c r="E2080" s="13" t="str">
        <f>+HYPERLINK("http://trademark.i-assist.jp/data/china/image_1887th/77033678.pdf","77033678")</f>
        <v>77033678</v>
      </c>
      <c r="F2080" s="7" t="s">
        <v>54</v>
      </c>
      <c r="G2080" s="7" t="s">
        <v>5660</v>
      </c>
      <c r="H2080" s="7" t="s">
        <v>5661</v>
      </c>
      <c r="I2080" s="9">
        <v>45351</v>
      </c>
    </row>
    <row r="2081" spans="1:9" x14ac:dyDescent="0.15">
      <c r="A2081" s="6">
        <v>2080</v>
      </c>
      <c r="B2081" s="7" t="s">
        <v>8</v>
      </c>
      <c r="C2081" s="8">
        <v>1887</v>
      </c>
      <c r="D2081" s="9">
        <v>45425</v>
      </c>
      <c r="E2081" s="13" t="str">
        <f>+HYPERLINK("http://trademark.i-assist.jp/data/china/image_1887th/77034207.pdf","77034207")</f>
        <v>77034207</v>
      </c>
      <c r="F2081" s="7" t="s">
        <v>5662</v>
      </c>
      <c r="G2081" s="7" t="s">
        <v>4741</v>
      </c>
      <c r="H2081" s="7" t="s">
        <v>5663</v>
      </c>
      <c r="I2081" s="9">
        <v>45351</v>
      </c>
    </row>
    <row r="2082" spans="1:9" x14ac:dyDescent="0.15">
      <c r="A2082" s="6">
        <v>2081</v>
      </c>
      <c r="B2082" s="7" t="s">
        <v>8</v>
      </c>
      <c r="C2082" s="8">
        <v>1887</v>
      </c>
      <c r="D2082" s="9">
        <v>45425</v>
      </c>
      <c r="E2082" s="13" t="str">
        <f>+HYPERLINK("http://trademark.i-assist.jp/data/china/image_1887th/77034487.pdf","77034487")</f>
        <v>77034487</v>
      </c>
      <c r="F2082" s="7" t="s">
        <v>5469</v>
      </c>
      <c r="G2082" s="7" t="s">
        <v>5470</v>
      </c>
      <c r="H2082" s="7" t="s">
        <v>5664</v>
      </c>
      <c r="I2082" s="9">
        <v>45351</v>
      </c>
    </row>
    <row r="2083" spans="1:9" ht="27" x14ac:dyDescent="0.15">
      <c r="A2083" s="6">
        <v>2082</v>
      </c>
      <c r="B2083" s="7" t="s">
        <v>8</v>
      </c>
      <c r="C2083" s="8">
        <v>1887</v>
      </c>
      <c r="D2083" s="9">
        <v>45425</v>
      </c>
      <c r="E2083" s="13" t="str">
        <f>+HYPERLINK("http://trademark.i-assist.jp/data/china/image_1887th/77034897.pdf","77034897")</f>
        <v>77034897</v>
      </c>
      <c r="F2083" s="7" t="s">
        <v>5665</v>
      </c>
      <c r="G2083" s="7" t="s">
        <v>5623</v>
      </c>
      <c r="H2083" s="7" t="s">
        <v>5666</v>
      </c>
      <c r="I2083" s="9">
        <v>45351</v>
      </c>
    </row>
    <row r="2084" spans="1:9" x14ac:dyDescent="0.15">
      <c r="A2084" s="6">
        <v>2083</v>
      </c>
      <c r="B2084" s="7" t="s">
        <v>8</v>
      </c>
      <c r="C2084" s="8">
        <v>1887</v>
      </c>
      <c r="D2084" s="9">
        <v>45425</v>
      </c>
      <c r="E2084" s="13" t="str">
        <f>+HYPERLINK("http://trademark.i-assist.jp/data/china/image_1887th/77035041.pdf","77035041")</f>
        <v>77035041</v>
      </c>
      <c r="F2084" s="7" t="s">
        <v>5667</v>
      </c>
      <c r="G2084" s="7" t="s">
        <v>5668</v>
      </c>
      <c r="H2084" s="7" t="s">
        <v>5669</v>
      </c>
      <c r="I2084" s="9">
        <v>45351</v>
      </c>
    </row>
    <row r="2085" spans="1:9" x14ac:dyDescent="0.15">
      <c r="A2085" s="6">
        <v>2084</v>
      </c>
      <c r="B2085" s="7" t="s">
        <v>8</v>
      </c>
      <c r="C2085" s="8">
        <v>1887</v>
      </c>
      <c r="D2085" s="9">
        <v>45425</v>
      </c>
      <c r="E2085" s="13" t="str">
        <f>+HYPERLINK("http://trademark.i-assist.jp/data/china/image_1887th/77035118.pdf","77035118")</f>
        <v>77035118</v>
      </c>
      <c r="F2085" s="7" t="s">
        <v>5670</v>
      </c>
      <c r="G2085" s="7" t="s">
        <v>5671</v>
      </c>
      <c r="H2085" s="7" t="s">
        <v>5672</v>
      </c>
      <c r="I2085" s="9">
        <v>45351</v>
      </c>
    </row>
    <row r="2086" spans="1:9" x14ac:dyDescent="0.15">
      <c r="A2086" s="6">
        <v>2085</v>
      </c>
      <c r="B2086" s="7" t="s">
        <v>8</v>
      </c>
      <c r="C2086" s="8">
        <v>1887</v>
      </c>
      <c r="D2086" s="9">
        <v>45425</v>
      </c>
      <c r="E2086" s="13" t="str">
        <f>+HYPERLINK("http://trademark.i-assist.jp/data/china/image_1887th/77035789.pdf","77035789")</f>
        <v>77035789</v>
      </c>
      <c r="F2086" s="7" t="s">
        <v>5673</v>
      </c>
      <c r="G2086" s="7" t="s">
        <v>5674</v>
      </c>
      <c r="H2086" s="7" t="s">
        <v>5675</v>
      </c>
      <c r="I2086" s="9">
        <v>45351</v>
      </c>
    </row>
    <row r="2087" spans="1:9" x14ac:dyDescent="0.15">
      <c r="A2087" s="6">
        <v>2086</v>
      </c>
      <c r="B2087" s="7" t="s">
        <v>8</v>
      </c>
      <c r="C2087" s="8">
        <v>1887</v>
      </c>
      <c r="D2087" s="9">
        <v>45425</v>
      </c>
      <c r="E2087" s="13" t="str">
        <f>+HYPERLINK("http://trademark.i-assist.jp/data/china/image_1887th/77035827.pdf","77035827")</f>
        <v>77035827</v>
      </c>
      <c r="F2087" s="7" t="s">
        <v>5676</v>
      </c>
      <c r="G2087" s="7" t="s">
        <v>5674</v>
      </c>
      <c r="H2087" s="7" t="s">
        <v>5677</v>
      </c>
      <c r="I2087" s="9">
        <v>45351</v>
      </c>
    </row>
    <row r="2088" spans="1:9" ht="27" x14ac:dyDescent="0.15">
      <c r="A2088" s="6">
        <v>2087</v>
      </c>
      <c r="B2088" s="7" t="s">
        <v>8</v>
      </c>
      <c r="C2088" s="8">
        <v>1887</v>
      </c>
      <c r="D2088" s="9">
        <v>45425</v>
      </c>
      <c r="E2088" s="13" t="str">
        <f>+HYPERLINK("http://trademark.i-assist.jp/data/china/image_1887th/77035897.pdf","77035897")</f>
        <v>77035897</v>
      </c>
      <c r="F2088" s="7" t="s">
        <v>5678</v>
      </c>
      <c r="G2088" s="7" t="s">
        <v>5679</v>
      </c>
      <c r="H2088" s="7" t="s">
        <v>5680</v>
      </c>
      <c r="I2088" s="9">
        <v>45351</v>
      </c>
    </row>
    <row r="2089" spans="1:9" x14ac:dyDescent="0.15">
      <c r="A2089" s="6">
        <v>2088</v>
      </c>
      <c r="B2089" s="7" t="s">
        <v>8</v>
      </c>
      <c r="C2089" s="8">
        <v>1887</v>
      </c>
      <c r="D2089" s="9">
        <v>45425</v>
      </c>
      <c r="E2089" s="13" t="str">
        <f>+HYPERLINK("http://trademark.i-assist.jp/data/china/image_1887th/77036277.pdf","77036277")</f>
        <v>77036277</v>
      </c>
      <c r="F2089" s="7" t="s">
        <v>5681</v>
      </c>
      <c r="G2089" s="7" t="s">
        <v>5682</v>
      </c>
      <c r="H2089" s="7" t="s">
        <v>5683</v>
      </c>
      <c r="I2089" s="9">
        <v>45351</v>
      </c>
    </row>
    <row r="2090" spans="1:9" x14ac:dyDescent="0.15">
      <c r="A2090" s="6">
        <v>2089</v>
      </c>
      <c r="B2090" s="7" t="s">
        <v>8</v>
      </c>
      <c r="C2090" s="8">
        <v>1887</v>
      </c>
      <c r="D2090" s="9">
        <v>45425</v>
      </c>
      <c r="E2090" s="13" t="str">
        <f>+HYPERLINK("http://trademark.i-assist.jp/data/china/image_1887th/77036540.pdf","77036540")</f>
        <v>77036540</v>
      </c>
      <c r="F2090" s="7" t="s">
        <v>5684</v>
      </c>
      <c r="G2090" s="7" t="s">
        <v>5685</v>
      </c>
      <c r="H2090" s="7" t="s">
        <v>5686</v>
      </c>
      <c r="I2090" s="9">
        <v>45351</v>
      </c>
    </row>
    <row r="2091" spans="1:9" ht="27" x14ac:dyDescent="0.15">
      <c r="A2091" s="6">
        <v>2090</v>
      </c>
      <c r="B2091" s="7" t="s">
        <v>8</v>
      </c>
      <c r="C2091" s="8">
        <v>1887</v>
      </c>
      <c r="D2091" s="9">
        <v>45425</v>
      </c>
      <c r="E2091" s="13" t="str">
        <f>+HYPERLINK("http://trademark.i-assist.jp/data/china/image_1887th/77036647.pdf","77036647")</f>
        <v>77036647</v>
      </c>
      <c r="F2091" s="7" t="s">
        <v>5687</v>
      </c>
      <c r="G2091" s="7" t="s">
        <v>5381</v>
      </c>
      <c r="H2091" s="7" t="s">
        <v>5688</v>
      </c>
      <c r="I2091" s="9">
        <v>45351</v>
      </c>
    </row>
    <row r="2092" spans="1:9" x14ac:dyDescent="0.15">
      <c r="A2092" s="6">
        <v>2091</v>
      </c>
      <c r="B2092" s="7" t="s">
        <v>8</v>
      </c>
      <c r="C2092" s="8">
        <v>1887</v>
      </c>
      <c r="D2092" s="9">
        <v>45425</v>
      </c>
      <c r="E2092" s="13" t="str">
        <f>+HYPERLINK("http://trademark.i-assist.jp/data/china/image_1887th/77036679.pdf","77036679")</f>
        <v>77036679</v>
      </c>
      <c r="F2092" s="7" t="s">
        <v>5689</v>
      </c>
      <c r="G2092" s="7" t="s">
        <v>5690</v>
      </c>
      <c r="H2092" s="7" t="s">
        <v>5691</v>
      </c>
      <c r="I2092" s="9">
        <v>45351</v>
      </c>
    </row>
    <row r="2093" spans="1:9" x14ac:dyDescent="0.15">
      <c r="A2093" s="6">
        <v>2092</v>
      </c>
      <c r="B2093" s="7" t="s">
        <v>8</v>
      </c>
      <c r="C2093" s="8">
        <v>1887</v>
      </c>
      <c r="D2093" s="9">
        <v>45425</v>
      </c>
      <c r="E2093" s="13" t="str">
        <f>+HYPERLINK("http://trademark.i-assist.jp/data/china/image_1887th/77037468.pdf","77037468")</f>
        <v>77037468</v>
      </c>
      <c r="F2093" s="7" t="s">
        <v>5692</v>
      </c>
      <c r="G2093" s="7" t="s">
        <v>5522</v>
      </c>
      <c r="H2093" s="7" t="s">
        <v>5693</v>
      </c>
      <c r="I2093" s="9">
        <v>45351</v>
      </c>
    </row>
    <row r="2094" spans="1:9" x14ac:dyDescent="0.15">
      <c r="A2094" s="6">
        <v>2093</v>
      </c>
      <c r="B2094" s="7" t="s">
        <v>8</v>
      </c>
      <c r="C2094" s="8">
        <v>1887</v>
      </c>
      <c r="D2094" s="9">
        <v>45425</v>
      </c>
      <c r="E2094" s="13" t="str">
        <f>+HYPERLINK("http://trademark.i-assist.jp/data/china/image_1887th/77037631.pdf","77037631")</f>
        <v>77037631</v>
      </c>
      <c r="F2094" s="7" t="s">
        <v>5694</v>
      </c>
      <c r="G2094" s="7" t="s">
        <v>5608</v>
      </c>
      <c r="H2094" s="7" t="s">
        <v>5695</v>
      </c>
      <c r="I2094" s="9">
        <v>45351</v>
      </c>
    </row>
    <row r="2095" spans="1:9" x14ac:dyDescent="0.15">
      <c r="A2095" s="6">
        <v>2094</v>
      </c>
      <c r="B2095" s="7" t="s">
        <v>8</v>
      </c>
      <c r="C2095" s="8">
        <v>1887</v>
      </c>
      <c r="D2095" s="9">
        <v>45425</v>
      </c>
      <c r="E2095" s="13" t="str">
        <f>+HYPERLINK("http://trademark.i-assist.jp/data/china/image_1887th/77037721.pdf","77037721")</f>
        <v>77037721</v>
      </c>
      <c r="F2095" s="7" t="s">
        <v>5696</v>
      </c>
      <c r="G2095" s="7" t="s">
        <v>5697</v>
      </c>
      <c r="H2095" s="7" t="s">
        <v>5698</v>
      </c>
      <c r="I2095" s="9">
        <v>45351</v>
      </c>
    </row>
    <row r="2096" spans="1:9" ht="27" x14ac:dyDescent="0.15">
      <c r="A2096" s="6">
        <v>2095</v>
      </c>
      <c r="B2096" s="7" t="s">
        <v>8</v>
      </c>
      <c r="C2096" s="8">
        <v>1887</v>
      </c>
      <c r="D2096" s="9">
        <v>45425</v>
      </c>
      <c r="E2096" s="13" t="str">
        <f>+HYPERLINK("http://trademark.i-assist.jp/data/china/image_1887th/77037822.pdf","77037822")</f>
        <v>77037822</v>
      </c>
      <c r="F2096" s="7" t="s">
        <v>5699</v>
      </c>
      <c r="G2096" s="7" t="s">
        <v>5381</v>
      </c>
      <c r="H2096" s="7" t="s">
        <v>5700</v>
      </c>
      <c r="I2096" s="9">
        <v>45351</v>
      </c>
    </row>
    <row r="2097" spans="1:9" x14ac:dyDescent="0.15">
      <c r="A2097" s="6">
        <v>2096</v>
      </c>
      <c r="B2097" s="7" t="s">
        <v>8</v>
      </c>
      <c r="C2097" s="8">
        <v>1887</v>
      </c>
      <c r="D2097" s="9">
        <v>45425</v>
      </c>
      <c r="E2097" s="13" t="str">
        <f>+HYPERLINK("http://trademark.i-assist.jp/data/china/image_1887th/77037860.pdf","77037860")</f>
        <v>77037860</v>
      </c>
      <c r="F2097" s="7" t="s">
        <v>5701</v>
      </c>
      <c r="G2097" s="7" t="s">
        <v>5702</v>
      </c>
      <c r="H2097" s="7" t="s">
        <v>5703</v>
      </c>
      <c r="I2097" s="9">
        <v>45351</v>
      </c>
    </row>
    <row r="2098" spans="1:9" x14ac:dyDescent="0.15">
      <c r="A2098" s="6">
        <v>2097</v>
      </c>
      <c r="B2098" s="7" t="s">
        <v>8</v>
      </c>
      <c r="C2098" s="8">
        <v>1887</v>
      </c>
      <c r="D2098" s="9">
        <v>45425</v>
      </c>
      <c r="E2098" s="13" t="str">
        <f>+HYPERLINK("http://trademark.i-assist.jp/data/china/image_1887th/77037903.pdf","77037903")</f>
        <v>77037903</v>
      </c>
      <c r="F2098" s="7" t="s">
        <v>54</v>
      </c>
      <c r="G2098" s="7" t="s">
        <v>5704</v>
      </c>
      <c r="H2098" s="7" t="s">
        <v>5705</v>
      </c>
      <c r="I2098" s="9">
        <v>45351</v>
      </c>
    </row>
    <row r="2099" spans="1:9" x14ac:dyDescent="0.15">
      <c r="A2099" s="6">
        <v>2098</v>
      </c>
      <c r="B2099" s="7" t="s">
        <v>8</v>
      </c>
      <c r="C2099" s="8">
        <v>1887</v>
      </c>
      <c r="D2099" s="9">
        <v>45425</v>
      </c>
      <c r="E2099" s="13" t="str">
        <f>+HYPERLINK("http://trademark.i-assist.jp/data/china/image_1887th/77038182.pdf","77038182")</f>
        <v>77038182</v>
      </c>
      <c r="F2099" s="7" t="s">
        <v>54</v>
      </c>
      <c r="G2099" s="7" t="s">
        <v>5660</v>
      </c>
      <c r="H2099" s="7" t="s">
        <v>5706</v>
      </c>
      <c r="I2099" s="9">
        <v>45351</v>
      </c>
    </row>
    <row r="2100" spans="1:9" x14ac:dyDescent="0.15">
      <c r="A2100" s="6">
        <v>2099</v>
      </c>
      <c r="B2100" s="7" t="s">
        <v>8</v>
      </c>
      <c r="C2100" s="8">
        <v>1887</v>
      </c>
      <c r="D2100" s="9">
        <v>45425</v>
      </c>
      <c r="E2100" s="13" t="str">
        <f>+HYPERLINK("http://trademark.i-assist.jp/data/china/image_1887th/77038253.pdf","77038253")</f>
        <v>77038253</v>
      </c>
      <c r="F2100" s="7" t="s">
        <v>5707</v>
      </c>
      <c r="G2100" s="7" t="s">
        <v>5708</v>
      </c>
      <c r="H2100" s="7" t="s">
        <v>5709</v>
      </c>
      <c r="I2100" s="9">
        <v>45351</v>
      </c>
    </row>
    <row r="2101" spans="1:9" x14ac:dyDescent="0.15">
      <c r="A2101" s="6">
        <v>2100</v>
      </c>
      <c r="B2101" s="7" t="s">
        <v>8</v>
      </c>
      <c r="C2101" s="8">
        <v>1887</v>
      </c>
      <c r="D2101" s="9">
        <v>45425</v>
      </c>
      <c r="E2101" s="13" t="str">
        <f>+HYPERLINK("http://trademark.i-assist.jp/data/china/image_1887th/77038707.pdf","77038707")</f>
        <v>77038707</v>
      </c>
      <c r="F2101" s="7" t="s">
        <v>5710</v>
      </c>
      <c r="G2101" s="7" t="s">
        <v>5711</v>
      </c>
      <c r="H2101" s="7" t="s">
        <v>5712</v>
      </c>
      <c r="I2101" s="9">
        <v>45352</v>
      </c>
    </row>
    <row r="2102" spans="1:9" x14ac:dyDescent="0.15">
      <c r="A2102" s="6">
        <v>2101</v>
      </c>
      <c r="B2102" s="7" t="s">
        <v>8</v>
      </c>
      <c r="C2102" s="8">
        <v>1887</v>
      </c>
      <c r="D2102" s="9">
        <v>45425</v>
      </c>
      <c r="E2102" s="13" t="str">
        <f>+HYPERLINK("http://trademark.i-assist.jp/data/china/image_1887th/77038709.pdf","77038709")</f>
        <v>77038709</v>
      </c>
      <c r="F2102" s="7" t="s">
        <v>5713</v>
      </c>
      <c r="G2102" s="7" t="s">
        <v>5714</v>
      </c>
      <c r="H2102" s="7" t="s">
        <v>5715</v>
      </c>
      <c r="I2102" s="9">
        <v>45352</v>
      </c>
    </row>
    <row r="2103" spans="1:9" x14ac:dyDescent="0.15">
      <c r="A2103" s="6">
        <v>2102</v>
      </c>
      <c r="B2103" s="7" t="s">
        <v>8</v>
      </c>
      <c r="C2103" s="8">
        <v>1887</v>
      </c>
      <c r="D2103" s="9">
        <v>45425</v>
      </c>
      <c r="E2103" s="13" t="str">
        <f>+HYPERLINK("http://trademark.i-assist.jp/data/china/image_1887th/77038874.pdf","77038874")</f>
        <v>77038874</v>
      </c>
      <c r="F2103" s="7" t="s">
        <v>5716</v>
      </c>
      <c r="G2103" s="7" t="s">
        <v>5717</v>
      </c>
      <c r="H2103" s="7" t="s">
        <v>5718</v>
      </c>
      <c r="I2103" s="9">
        <v>45352</v>
      </c>
    </row>
    <row r="2104" spans="1:9" ht="27" x14ac:dyDescent="0.15">
      <c r="A2104" s="6">
        <v>2103</v>
      </c>
      <c r="B2104" s="7" t="s">
        <v>8</v>
      </c>
      <c r="C2104" s="8">
        <v>1887</v>
      </c>
      <c r="D2104" s="9">
        <v>45425</v>
      </c>
      <c r="E2104" s="13" t="str">
        <f>+HYPERLINK("http://trademark.i-assist.jp/data/china/image_1887th/77039438.pdf","77039438")</f>
        <v>77039438</v>
      </c>
      <c r="F2104" s="7" t="s">
        <v>5719</v>
      </c>
      <c r="G2104" s="7" t="s">
        <v>3581</v>
      </c>
      <c r="H2104" s="7" t="s">
        <v>5720</v>
      </c>
      <c r="I2104" s="9">
        <v>45352</v>
      </c>
    </row>
    <row r="2105" spans="1:9" x14ac:dyDescent="0.15">
      <c r="A2105" s="6">
        <v>2104</v>
      </c>
      <c r="B2105" s="7" t="s">
        <v>8</v>
      </c>
      <c r="C2105" s="8">
        <v>1887</v>
      </c>
      <c r="D2105" s="9">
        <v>45425</v>
      </c>
      <c r="E2105" s="13" t="str">
        <f>+HYPERLINK("http://trademark.i-assist.jp/data/china/image_1887th/77039551.pdf","77039551")</f>
        <v>77039551</v>
      </c>
      <c r="F2105" s="7" t="s">
        <v>5721</v>
      </c>
      <c r="G2105" s="7" t="s">
        <v>5722</v>
      </c>
      <c r="H2105" s="7" t="s">
        <v>5723</v>
      </c>
      <c r="I2105" s="9">
        <v>45352</v>
      </c>
    </row>
    <row r="2106" spans="1:9" x14ac:dyDescent="0.15">
      <c r="A2106" s="6">
        <v>2105</v>
      </c>
      <c r="B2106" s="7" t="s">
        <v>8</v>
      </c>
      <c r="C2106" s="8">
        <v>1887</v>
      </c>
      <c r="D2106" s="9">
        <v>45425</v>
      </c>
      <c r="E2106" s="13" t="str">
        <f>+HYPERLINK("http://trademark.i-assist.jp/data/china/image_1887th/77039771.pdf","77039771")</f>
        <v>77039771</v>
      </c>
      <c r="F2106" s="7" t="s">
        <v>5724</v>
      </c>
      <c r="G2106" s="7" t="s">
        <v>5725</v>
      </c>
      <c r="H2106" s="7" t="s">
        <v>5726</v>
      </c>
      <c r="I2106" s="9">
        <v>45352</v>
      </c>
    </row>
    <row r="2107" spans="1:9" x14ac:dyDescent="0.15">
      <c r="A2107" s="6">
        <v>2106</v>
      </c>
      <c r="B2107" s="7" t="s">
        <v>8</v>
      </c>
      <c r="C2107" s="8">
        <v>1887</v>
      </c>
      <c r="D2107" s="9">
        <v>45425</v>
      </c>
      <c r="E2107" s="13" t="str">
        <f>+HYPERLINK("http://trademark.i-assist.jp/data/china/image_1887th/77039824.pdf","77039824")</f>
        <v>77039824</v>
      </c>
      <c r="F2107" s="7" t="s">
        <v>5727</v>
      </c>
      <c r="G2107" s="7" t="s">
        <v>5728</v>
      </c>
      <c r="H2107" s="7" t="s">
        <v>5729</v>
      </c>
      <c r="I2107" s="9">
        <v>45352</v>
      </c>
    </row>
    <row r="2108" spans="1:9" x14ac:dyDescent="0.15">
      <c r="A2108" s="6">
        <v>2107</v>
      </c>
      <c r="B2108" s="7" t="s">
        <v>8</v>
      </c>
      <c r="C2108" s="8">
        <v>1887</v>
      </c>
      <c r="D2108" s="9">
        <v>45425</v>
      </c>
      <c r="E2108" s="13" t="str">
        <f>+HYPERLINK("http://trademark.i-assist.jp/data/china/image_1887th/77039999.pdf","77039999")</f>
        <v>77039999</v>
      </c>
      <c r="F2108" s="7" t="s">
        <v>5730</v>
      </c>
      <c r="G2108" s="7" t="s">
        <v>5731</v>
      </c>
      <c r="H2108" s="7" t="s">
        <v>5732</v>
      </c>
      <c r="I2108" s="9">
        <v>45352</v>
      </c>
    </row>
    <row r="2109" spans="1:9" x14ac:dyDescent="0.15">
      <c r="A2109" s="6">
        <v>2108</v>
      </c>
      <c r="B2109" s="7" t="s">
        <v>8</v>
      </c>
      <c r="C2109" s="8">
        <v>1887</v>
      </c>
      <c r="D2109" s="9">
        <v>45425</v>
      </c>
      <c r="E2109" s="13" t="str">
        <f>+HYPERLINK("http://trademark.i-assist.jp/data/china/image_1887th/77040004.pdf","77040004")</f>
        <v>77040004</v>
      </c>
      <c r="F2109" s="7" t="s">
        <v>5733</v>
      </c>
      <c r="G2109" s="7" t="s">
        <v>5734</v>
      </c>
      <c r="H2109" s="7" t="s">
        <v>5735</v>
      </c>
      <c r="I2109" s="9">
        <v>45352</v>
      </c>
    </row>
    <row r="2110" spans="1:9" x14ac:dyDescent="0.15">
      <c r="A2110" s="6">
        <v>2109</v>
      </c>
      <c r="B2110" s="7" t="s">
        <v>8</v>
      </c>
      <c r="C2110" s="8">
        <v>1887</v>
      </c>
      <c r="D2110" s="9">
        <v>45425</v>
      </c>
      <c r="E2110" s="13" t="str">
        <f>+HYPERLINK("http://trademark.i-assist.jp/data/china/image_1887th/77040086.pdf","77040086")</f>
        <v>77040086</v>
      </c>
      <c r="F2110" s="7" t="s">
        <v>5736</v>
      </c>
      <c r="G2110" s="7" t="s">
        <v>5737</v>
      </c>
      <c r="H2110" s="7" t="s">
        <v>5738</v>
      </c>
      <c r="I2110" s="9">
        <v>45352</v>
      </c>
    </row>
    <row r="2111" spans="1:9" ht="27" x14ac:dyDescent="0.15">
      <c r="A2111" s="6">
        <v>2110</v>
      </c>
      <c r="B2111" s="7" t="s">
        <v>8</v>
      </c>
      <c r="C2111" s="8">
        <v>1887</v>
      </c>
      <c r="D2111" s="9">
        <v>45425</v>
      </c>
      <c r="E2111" s="13" t="str">
        <f>+HYPERLINK("http://trademark.i-assist.jp/data/china/image_1887th/77040104.pdf","77040104")</f>
        <v>77040104</v>
      </c>
      <c r="F2111" s="7" t="s">
        <v>54</v>
      </c>
      <c r="G2111" s="7" t="s">
        <v>5739</v>
      </c>
      <c r="H2111" s="7" t="s">
        <v>5740</v>
      </c>
      <c r="I2111" s="9">
        <v>45352</v>
      </c>
    </row>
    <row r="2112" spans="1:9" x14ac:dyDescent="0.15">
      <c r="A2112" s="6">
        <v>2111</v>
      </c>
      <c r="B2112" s="7" t="s">
        <v>8</v>
      </c>
      <c r="C2112" s="8">
        <v>1887</v>
      </c>
      <c r="D2112" s="9">
        <v>45425</v>
      </c>
      <c r="E2112" s="13" t="str">
        <f>+HYPERLINK("http://trademark.i-assist.jp/data/china/image_1887th/77040136.pdf","77040136")</f>
        <v>77040136</v>
      </c>
      <c r="F2112" s="7" t="s">
        <v>5741</v>
      </c>
      <c r="G2112" s="7" t="s">
        <v>5742</v>
      </c>
      <c r="H2112" s="7" t="s">
        <v>5743</v>
      </c>
      <c r="I2112" s="9">
        <v>45352</v>
      </c>
    </row>
    <row r="2113" spans="1:9" ht="27" x14ac:dyDescent="0.15">
      <c r="A2113" s="6">
        <v>2112</v>
      </c>
      <c r="B2113" s="7" t="s">
        <v>8</v>
      </c>
      <c r="C2113" s="8">
        <v>1887</v>
      </c>
      <c r="D2113" s="9">
        <v>45425</v>
      </c>
      <c r="E2113" s="13" t="str">
        <f>+HYPERLINK("http://trademark.i-assist.jp/data/china/image_1887th/77040222.pdf","77040222")</f>
        <v>77040222</v>
      </c>
      <c r="F2113" s="7" t="s">
        <v>5744</v>
      </c>
      <c r="G2113" s="7" t="s">
        <v>5745</v>
      </c>
      <c r="H2113" s="7" t="s">
        <v>5746</v>
      </c>
      <c r="I2113" s="9">
        <v>45352</v>
      </c>
    </row>
    <row r="2114" spans="1:9" x14ac:dyDescent="0.15">
      <c r="A2114" s="6">
        <v>2113</v>
      </c>
      <c r="B2114" s="7" t="s">
        <v>8</v>
      </c>
      <c r="C2114" s="8">
        <v>1887</v>
      </c>
      <c r="D2114" s="9">
        <v>45425</v>
      </c>
      <c r="E2114" s="13" t="str">
        <f>+HYPERLINK("http://trademark.i-assist.jp/data/china/image_1887th/77040435.pdf","77040435")</f>
        <v>77040435</v>
      </c>
      <c r="F2114" s="7" t="s">
        <v>5747</v>
      </c>
      <c r="G2114" s="7" t="s">
        <v>5748</v>
      </c>
      <c r="H2114" s="7" t="s">
        <v>5749</v>
      </c>
      <c r="I2114" s="9">
        <v>45352</v>
      </c>
    </row>
    <row r="2115" spans="1:9" x14ac:dyDescent="0.15">
      <c r="A2115" s="6">
        <v>2114</v>
      </c>
      <c r="B2115" s="7" t="s">
        <v>8</v>
      </c>
      <c r="C2115" s="8">
        <v>1887</v>
      </c>
      <c r="D2115" s="9">
        <v>45425</v>
      </c>
      <c r="E2115" s="13" t="str">
        <f>+HYPERLINK("http://trademark.i-assist.jp/data/china/image_1887th/77040951.pdf","77040951")</f>
        <v>77040951</v>
      </c>
      <c r="F2115" s="7" t="s">
        <v>5750</v>
      </c>
      <c r="G2115" s="7" t="s">
        <v>5751</v>
      </c>
      <c r="H2115" s="7" t="s">
        <v>5752</v>
      </c>
      <c r="I2115" s="9">
        <v>45352</v>
      </c>
    </row>
    <row r="2116" spans="1:9" x14ac:dyDescent="0.15">
      <c r="A2116" s="6">
        <v>2115</v>
      </c>
      <c r="B2116" s="7" t="s">
        <v>8</v>
      </c>
      <c r="C2116" s="8">
        <v>1887</v>
      </c>
      <c r="D2116" s="9">
        <v>45425</v>
      </c>
      <c r="E2116" s="13" t="str">
        <f>+HYPERLINK("http://trademark.i-assist.jp/data/china/image_1887th/77041134.pdf","77041134")</f>
        <v>77041134</v>
      </c>
      <c r="F2116" s="7" t="s">
        <v>5753</v>
      </c>
      <c r="G2116" s="7" t="s">
        <v>5754</v>
      </c>
      <c r="H2116" s="7" t="s">
        <v>5755</v>
      </c>
      <c r="I2116" s="9">
        <v>45352</v>
      </c>
    </row>
    <row r="2117" spans="1:9" x14ac:dyDescent="0.15">
      <c r="A2117" s="6">
        <v>2116</v>
      </c>
      <c r="B2117" s="7" t="s">
        <v>8</v>
      </c>
      <c r="C2117" s="8">
        <v>1887</v>
      </c>
      <c r="D2117" s="9">
        <v>45425</v>
      </c>
      <c r="E2117" s="13" t="str">
        <f>+HYPERLINK("http://trademark.i-assist.jp/data/china/image_1887th/77041290.pdf","77041290")</f>
        <v>77041290</v>
      </c>
      <c r="F2117" s="7" t="s">
        <v>5756</v>
      </c>
      <c r="G2117" s="7" t="s">
        <v>5757</v>
      </c>
      <c r="H2117" s="7" t="s">
        <v>5758</v>
      </c>
      <c r="I2117" s="9">
        <v>45352</v>
      </c>
    </row>
    <row r="2118" spans="1:9" x14ac:dyDescent="0.15">
      <c r="A2118" s="6">
        <v>2117</v>
      </c>
      <c r="B2118" s="7" t="s">
        <v>8</v>
      </c>
      <c r="C2118" s="8">
        <v>1887</v>
      </c>
      <c r="D2118" s="9">
        <v>45425</v>
      </c>
      <c r="E2118" s="13" t="str">
        <f>+HYPERLINK("http://trademark.i-assist.jp/data/china/image_1887th/77041394.pdf","77041394")</f>
        <v>77041394</v>
      </c>
      <c r="F2118" s="7" t="s">
        <v>5759</v>
      </c>
      <c r="G2118" s="7" t="s">
        <v>5760</v>
      </c>
      <c r="H2118" s="7" t="s">
        <v>5761</v>
      </c>
      <c r="I2118" s="9">
        <v>45352</v>
      </c>
    </row>
    <row r="2119" spans="1:9" x14ac:dyDescent="0.15">
      <c r="A2119" s="6">
        <v>2118</v>
      </c>
      <c r="B2119" s="7" t="s">
        <v>8</v>
      </c>
      <c r="C2119" s="8">
        <v>1887</v>
      </c>
      <c r="D2119" s="9">
        <v>45425</v>
      </c>
      <c r="E2119" s="13" t="str">
        <f>+HYPERLINK("http://trademark.i-assist.jp/data/china/image_1887th/77041763.pdf","77041763")</f>
        <v>77041763</v>
      </c>
      <c r="F2119" s="7" t="s">
        <v>5762</v>
      </c>
      <c r="G2119" s="7" t="s">
        <v>5763</v>
      </c>
      <c r="H2119" s="7" t="s">
        <v>5764</v>
      </c>
      <c r="I2119" s="9">
        <v>45352</v>
      </c>
    </row>
    <row r="2120" spans="1:9" x14ac:dyDescent="0.15">
      <c r="A2120" s="6">
        <v>2119</v>
      </c>
      <c r="B2120" s="7" t="s">
        <v>8</v>
      </c>
      <c r="C2120" s="8">
        <v>1887</v>
      </c>
      <c r="D2120" s="9">
        <v>45425</v>
      </c>
      <c r="E2120" s="13" t="str">
        <f>+HYPERLINK("http://trademark.i-assist.jp/data/china/image_1887th/77041781.pdf","77041781")</f>
        <v>77041781</v>
      </c>
      <c r="F2120" s="7" t="s">
        <v>5765</v>
      </c>
      <c r="G2120" s="7" t="s">
        <v>5766</v>
      </c>
      <c r="H2120" s="7" t="s">
        <v>5767</v>
      </c>
      <c r="I2120" s="9">
        <v>45352</v>
      </c>
    </row>
    <row r="2121" spans="1:9" x14ac:dyDescent="0.15">
      <c r="A2121" s="6">
        <v>2120</v>
      </c>
      <c r="B2121" s="7" t="s">
        <v>8</v>
      </c>
      <c r="C2121" s="8">
        <v>1887</v>
      </c>
      <c r="D2121" s="9">
        <v>45425</v>
      </c>
      <c r="E2121" s="13" t="str">
        <f>+HYPERLINK("http://trademark.i-assist.jp/data/china/image_1887th/77041816.pdf","77041816")</f>
        <v>77041816</v>
      </c>
      <c r="F2121" s="7" t="s">
        <v>5768</v>
      </c>
      <c r="G2121" s="7" t="s">
        <v>5769</v>
      </c>
      <c r="H2121" s="7" t="s">
        <v>5770</v>
      </c>
      <c r="I2121" s="9">
        <v>45352</v>
      </c>
    </row>
    <row r="2122" spans="1:9" x14ac:dyDescent="0.15">
      <c r="A2122" s="6">
        <v>2121</v>
      </c>
      <c r="B2122" s="7" t="s">
        <v>8</v>
      </c>
      <c r="C2122" s="8">
        <v>1887</v>
      </c>
      <c r="D2122" s="9">
        <v>45425</v>
      </c>
      <c r="E2122" s="13" t="str">
        <f>+HYPERLINK("http://trademark.i-assist.jp/data/china/image_1887th/77041845.pdf","77041845")</f>
        <v>77041845</v>
      </c>
      <c r="F2122" s="7" t="s">
        <v>5771</v>
      </c>
      <c r="G2122" s="7" t="s">
        <v>3283</v>
      </c>
      <c r="H2122" s="7" t="s">
        <v>5772</v>
      </c>
      <c r="I2122" s="9">
        <v>45352</v>
      </c>
    </row>
    <row r="2123" spans="1:9" x14ac:dyDescent="0.15">
      <c r="A2123" s="6">
        <v>2122</v>
      </c>
      <c r="B2123" s="7" t="s">
        <v>8</v>
      </c>
      <c r="C2123" s="8">
        <v>1887</v>
      </c>
      <c r="D2123" s="9">
        <v>45425</v>
      </c>
      <c r="E2123" s="13" t="str">
        <f>+HYPERLINK("http://trademark.i-assist.jp/data/china/image_1887th/77041902.pdf","77041902")</f>
        <v>77041902</v>
      </c>
      <c r="F2123" s="7" t="s">
        <v>5773</v>
      </c>
      <c r="G2123" s="7" t="s">
        <v>5774</v>
      </c>
      <c r="H2123" s="7" t="s">
        <v>5775</v>
      </c>
      <c r="I2123" s="9">
        <v>45352</v>
      </c>
    </row>
    <row r="2124" spans="1:9" x14ac:dyDescent="0.15">
      <c r="A2124" s="6">
        <v>2123</v>
      </c>
      <c r="B2124" s="7" t="s">
        <v>8</v>
      </c>
      <c r="C2124" s="8">
        <v>1887</v>
      </c>
      <c r="D2124" s="9">
        <v>45425</v>
      </c>
      <c r="E2124" s="13" t="str">
        <f>+HYPERLINK("http://trademark.i-assist.jp/data/china/image_1887th/77042004.pdf","77042004")</f>
        <v>77042004</v>
      </c>
      <c r="F2124" s="7" t="s">
        <v>54</v>
      </c>
      <c r="G2124" s="7" t="s">
        <v>5776</v>
      </c>
      <c r="H2124" s="7" t="s">
        <v>5777</v>
      </c>
      <c r="I2124" s="9">
        <v>45352</v>
      </c>
    </row>
    <row r="2125" spans="1:9" x14ac:dyDescent="0.15">
      <c r="A2125" s="6">
        <v>2124</v>
      </c>
      <c r="B2125" s="7" t="s">
        <v>8</v>
      </c>
      <c r="C2125" s="8">
        <v>1887</v>
      </c>
      <c r="D2125" s="9">
        <v>45425</v>
      </c>
      <c r="E2125" s="13" t="str">
        <f>+HYPERLINK("http://trademark.i-assist.jp/data/china/image_1887th/77042071.pdf","77042071")</f>
        <v>77042071</v>
      </c>
      <c r="F2125" s="7" t="s">
        <v>5778</v>
      </c>
      <c r="G2125" s="7" t="s">
        <v>5779</v>
      </c>
      <c r="H2125" s="7" t="s">
        <v>5780</v>
      </c>
      <c r="I2125" s="9">
        <v>45352</v>
      </c>
    </row>
    <row r="2126" spans="1:9" x14ac:dyDescent="0.15">
      <c r="A2126" s="6">
        <v>2125</v>
      </c>
      <c r="B2126" s="7" t="s">
        <v>8</v>
      </c>
      <c r="C2126" s="8">
        <v>1887</v>
      </c>
      <c r="D2126" s="9">
        <v>45425</v>
      </c>
      <c r="E2126" s="13" t="str">
        <f>+HYPERLINK("http://trademark.i-assist.jp/data/china/image_1887th/77042265.pdf","77042265")</f>
        <v>77042265</v>
      </c>
      <c r="F2126" s="7" t="s">
        <v>5781</v>
      </c>
      <c r="G2126" s="7" t="s">
        <v>5782</v>
      </c>
      <c r="H2126" s="7" t="s">
        <v>5783</v>
      </c>
      <c r="I2126" s="9">
        <v>45352</v>
      </c>
    </row>
    <row r="2127" spans="1:9" x14ac:dyDescent="0.15">
      <c r="A2127" s="6">
        <v>2126</v>
      </c>
      <c r="B2127" s="7" t="s">
        <v>8</v>
      </c>
      <c r="C2127" s="8">
        <v>1887</v>
      </c>
      <c r="D2127" s="9">
        <v>45425</v>
      </c>
      <c r="E2127" s="13" t="str">
        <f>+HYPERLINK("http://trademark.i-assist.jp/data/china/image_1887th/77042658.pdf","77042658")</f>
        <v>77042658</v>
      </c>
      <c r="F2127" s="7" t="s">
        <v>5784</v>
      </c>
      <c r="G2127" s="7" t="s">
        <v>5785</v>
      </c>
      <c r="H2127" s="7" t="s">
        <v>5786</v>
      </c>
      <c r="I2127" s="9">
        <v>45352</v>
      </c>
    </row>
    <row r="2128" spans="1:9" x14ac:dyDescent="0.15">
      <c r="A2128" s="6">
        <v>2127</v>
      </c>
      <c r="B2128" s="7" t="s">
        <v>8</v>
      </c>
      <c r="C2128" s="8">
        <v>1887</v>
      </c>
      <c r="D2128" s="9">
        <v>45425</v>
      </c>
      <c r="E2128" s="13" t="str">
        <f>+HYPERLINK("http://trademark.i-assist.jp/data/china/image_1887th/77042893.pdf","77042893")</f>
        <v>77042893</v>
      </c>
      <c r="F2128" s="7" t="s">
        <v>5787</v>
      </c>
      <c r="G2128" s="7" t="s">
        <v>5788</v>
      </c>
      <c r="H2128" s="7" t="s">
        <v>5789</v>
      </c>
      <c r="I2128" s="9">
        <v>45352</v>
      </c>
    </row>
    <row r="2129" spans="1:9" x14ac:dyDescent="0.15">
      <c r="A2129" s="6">
        <v>2128</v>
      </c>
      <c r="B2129" s="7" t="s">
        <v>8</v>
      </c>
      <c r="C2129" s="8">
        <v>1887</v>
      </c>
      <c r="D2129" s="9">
        <v>45425</v>
      </c>
      <c r="E2129" s="13" t="str">
        <f>+HYPERLINK("http://trademark.i-assist.jp/data/china/image_1887th/77043334.pdf","77043334")</f>
        <v>77043334</v>
      </c>
      <c r="F2129" s="7" t="s">
        <v>5790</v>
      </c>
      <c r="G2129" s="7" t="s">
        <v>5791</v>
      </c>
      <c r="H2129" s="7" t="s">
        <v>5792</v>
      </c>
      <c r="I2129" s="9">
        <v>45352</v>
      </c>
    </row>
    <row r="2130" spans="1:9" x14ac:dyDescent="0.15">
      <c r="A2130" s="6">
        <v>2129</v>
      </c>
      <c r="B2130" s="7" t="s">
        <v>8</v>
      </c>
      <c r="C2130" s="8">
        <v>1887</v>
      </c>
      <c r="D2130" s="9">
        <v>45425</v>
      </c>
      <c r="E2130" s="13" t="str">
        <f>+HYPERLINK("http://trademark.i-assist.jp/data/china/image_1887th/77043447.pdf","77043447")</f>
        <v>77043447</v>
      </c>
      <c r="F2130" s="7" t="s">
        <v>5793</v>
      </c>
      <c r="G2130" s="7" t="s">
        <v>5794</v>
      </c>
      <c r="H2130" s="7" t="s">
        <v>5795</v>
      </c>
      <c r="I2130" s="9">
        <v>45352</v>
      </c>
    </row>
    <row r="2131" spans="1:9" x14ac:dyDescent="0.15">
      <c r="A2131" s="6">
        <v>2130</v>
      </c>
      <c r="B2131" s="7" t="s">
        <v>8</v>
      </c>
      <c r="C2131" s="8">
        <v>1887</v>
      </c>
      <c r="D2131" s="9">
        <v>45425</v>
      </c>
      <c r="E2131" s="13" t="str">
        <f>+HYPERLINK("http://trademark.i-assist.jp/data/china/image_1887th/77043613.pdf","77043613")</f>
        <v>77043613</v>
      </c>
      <c r="F2131" s="7" t="s">
        <v>5796</v>
      </c>
      <c r="G2131" s="7" t="s">
        <v>5797</v>
      </c>
      <c r="H2131" s="7" t="s">
        <v>5798</v>
      </c>
      <c r="I2131" s="9">
        <v>45352</v>
      </c>
    </row>
    <row r="2132" spans="1:9" x14ac:dyDescent="0.15">
      <c r="A2132" s="6">
        <v>2131</v>
      </c>
      <c r="B2132" s="7" t="s">
        <v>8</v>
      </c>
      <c r="C2132" s="8">
        <v>1887</v>
      </c>
      <c r="D2132" s="9">
        <v>45425</v>
      </c>
      <c r="E2132" s="13" t="str">
        <f>+HYPERLINK("http://trademark.i-assist.jp/data/china/image_1887th/77043762.pdf","77043762")</f>
        <v>77043762</v>
      </c>
      <c r="F2132" s="7" t="s">
        <v>5799</v>
      </c>
      <c r="G2132" s="7" t="s">
        <v>5800</v>
      </c>
      <c r="H2132" s="7" t="s">
        <v>5801</v>
      </c>
      <c r="I2132" s="9">
        <v>45352</v>
      </c>
    </row>
    <row r="2133" spans="1:9" x14ac:dyDescent="0.15">
      <c r="A2133" s="6">
        <v>2132</v>
      </c>
      <c r="B2133" s="7" t="s">
        <v>8</v>
      </c>
      <c r="C2133" s="8">
        <v>1887</v>
      </c>
      <c r="D2133" s="9">
        <v>45425</v>
      </c>
      <c r="E2133" s="13" t="str">
        <f>+HYPERLINK("http://trademark.i-assist.jp/data/china/image_1887th/77043769.pdf","77043769")</f>
        <v>77043769</v>
      </c>
      <c r="F2133" s="7" t="s">
        <v>5802</v>
      </c>
      <c r="G2133" s="7" t="s">
        <v>5803</v>
      </c>
      <c r="H2133" s="7" t="s">
        <v>5804</v>
      </c>
      <c r="I2133" s="9">
        <v>45352</v>
      </c>
    </row>
    <row r="2134" spans="1:9" x14ac:dyDescent="0.15">
      <c r="A2134" s="6">
        <v>2133</v>
      </c>
      <c r="B2134" s="7" t="s">
        <v>8</v>
      </c>
      <c r="C2134" s="8">
        <v>1887</v>
      </c>
      <c r="D2134" s="9">
        <v>45425</v>
      </c>
      <c r="E2134" s="13" t="str">
        <f>+HYPERLINK("http://trademark.i-assist.jp/data/china/image_1887th/77043788.pdf","77043788")</f>
        <v>77043788</v>
      </c>
      <c r="F2134" s="7" t="s">
        <v>5805</v>
      </c>
      <c r="G2134" s="7" t="s">
        <v>5806</v>
      </c>
      <c r="H2134" s="7" t="s">
        <v>5807</v>
      </c>
      <c r="I2134" s="9">
        <v>45352</v>
      </c>
    </row>
    <row r="2135" spans="1:9" ht="27" x14ac:dyDescent="0.15">
      <c r="A2135" s="6">
        <v>2134</v>
      </c>
      <c r="B2135" s="7" t="s">
        <v>8</v>
      </c>
      <c r="C2135" s="8">
        <v>1887</v>
      </c>
      <c r="D2135" s="9">
        <v>45425</v>
      </c>
      <c r="E2135" s="13" t="str">
        <f>+HYPERLINK("http://trademark.i-assist.jp/data/china/image_1887th/77044163.pdf","77044163")</f>
        <v>77044163</v>
      </c>
      <c r="F2135" s="7" t="s">
        <v>5808</v>
      </c>
      <c r="G2135" s="7" t="s">
        <v>5809</v>
      </c>
      <c r="H2135" s="7" t="s">
        <v>5810</v>
      </c>
      <c r="I2135" s="9">
        <v>45352</v>
      </c>
    </row>
    <row r="2136" spans="1:9" x14ac:dyDescent="0.15">
      <c r="A2136" s="6">
        <v>2135</v>
      </c>
      <c r="B2136" s="7" t="s">
        <v>8</v>
      </c>
      <c r="C2136" s="8">
        <v>1887</v>
      </c>
      <c r="D2136" s="9">
        <v>45425</v>
      </c>
      <c r="E2136" s="13" t="str">
        <f>+HYPERLINK("http://trademark.i-assist.jp/data/china/image_1887th/77044518.pdf","77044518")</f>
        <v>77044518</v>
      </c>
      <c r="F2136" s="7" t="s">
        <v>5811</v>
      </c>
      <c r="G2136" s="7" t="s">
        <v>5812</v>
      </c>
      <c r="H2136" s="7" t="s">
        <v>5813</v>
      </c>
      <c r="I2136" s="9">
        <v>45352</v>
      </c>
    </row>
    <row r="2137" spans="1:9" ht="27" x14ac:dyDescent="0.15">
      <c r="A2137" s="6">
        <v>2136</v>
      </c>
      <c r="B2137" s="7" t="s">
        <v>8</v>
      </c>
      <c r="C2137" s="8">
        <v>1887</v>
      </c>
      <c r="D2137" s="9">
        <v>45425</v>
      </c>
      <c r="E2137" s="13" t="str">
        <f>+HYPERLINK("http://trademark.i-assist.jp/data/china/image_1887th/77044546.pdf","77044546")</f>
        <v>77044546</v>
      </c>
      <c r="F2137" s="7" t="s">
        <v>5814</v>
      </c>
      <c r="G2137" s="7" t="s">
        <v>5815</v>
      </c>
      <c r="H2137" s="7" t="s">
        <v>5816</v>
      </c>
      <c r="I2137" s="9">
        <v>45352</v>
      </c>
    </row>
    <row r="2138" spans="1:9" x14ac:dyDescent="0.15">
      <c r="A2138" s="6">
        <v>2137</v>
      </c>
      <c r="B2138" s="7" t="s">
        <v>8</v>
      </c>
      <c r="C2138" s="8">
        <v>1887</v>
      </c>
      <c r="D2138" s="9">
        <v>45425</v>
      </c>
      <c r="E2138" s="13" t="str">
        <f>+HYPERLINK("http://trademark.i-assist.jp/data/china/image_1887th/77044669.pdf","77044669")</f>
        <v>77044669</v>
      </c>
      <c r="F2138" s="7" t="s">
        <v>5817</v>
      </c>
      <c r="G2138" s="7" t="s">
        <v>5818</v>
      </c>
      <c r="H2138" s="7" t="s">
        <v>5819</v>
      </c>
      <c r="I2138" s="9">
        <v>45352</v>
      </c>
    </row>
    <row r="2139" spans="1:9" x14ac:dyDescent="0.15">
      <c r="A2139" s="6">
        <v>2138</v>
      </c>
      <c r="B2139" s="7" t="s">
        <v>8</v>
      </c>
      <c r="C2139" s="8">
        <v>1887</v>
      </c>
      <c r="D2139" s="9">
        <v>45425</v>
      </c>
      <c r="E2139" s="13" t="str">
        <f>+HYPERLINK("http://trademark.i-assist.jp/data/china/image_1887th/77044742.pdf","77044742")</f>
        <v>77044742</v>
      </c>
      <c r="F2139" s="7" t="s">
        <v>5820</v>
      </c>
      <c r="G2139" s="7" t="s">
        <v>5674</v>
      </c>
      <c r="H2139" s="7" t="s">
        <v>5821</v>
      </c>
      <c r="I2139" s="9">
        <v>45352</v>
      </c>
    </row>
    <row r="2140" spans="1:9" x14ac:dyDescent="0.15">
      <c r="A2140" s="6">
        <v>2139</v>
      </c>
      <c r="B2140" s="7" t="s">
        <v>8</v>
      </c>
      <c r="C2140" s="8">
        <v>1887</v>
      </c>
      <c r="D2140" s="9">
        <v>45425</v>
      </c>
      <c r="E2140" s="13" t="str">
        <f>+HYPERLINK("http://trademark.i-assist.jp/data/china/image_1887th/77044814.pdf","77044814")</f>
        <v>77044814</v>
      </c>
      <c r="F2140" s="7" t="s">
        <v>5822</v>
      </c>
      <c r="G2140" s="7" t="s">
        <v>5823</v>
      </c>
      <c r="H2140" s="7" t="s">
        <v>5824</v>
      </c>
      <c r="I2140" s="9">
        <v>45352</v>
      </c>
    </row>
    <row r="2141" spans="1:9" x14ac:dyDescent="0.15">
      <c r="A2141" s="6">
        <v>2140</v>
      </c>
      <c r="B2141" s="7" t="s">
        <v>8</v>
      </c>
      <c r="C2141" s="8">
        <v>1887</v>
      </c>
      <c r="D2141" s="9">
        <v>45425</v>
      </c>
      <c r="E2141" s="13" t="str">
        <f>+HYPERLINK("http://trademark.i-assist.jp/data/china/image_1887th/77044837.pdf","77044837")</f>
        <v>77044837</v>
      </c>
      <c r="F2141" s="7" t="s">
        <v>5825</v>
      </c>
      <c r="G2141" s="7" t="s">
        <v>5826</v>
      </c>
      <c r="H2141" s="7" t="s">
        <v>5827</v>
      </c>
      <c r="I2141" s="9">
        <v>45352</v>
      </c>
    </row>
    <row r="2142" spans="1:9" ht="27" x14ac:dyDescent="0.15">
      <c r="A2142" s="6">
        <v>2141</v>
      </c>
      <c r="B2142" s="7" t="s">
        <v>8</v>
      </c>
      <c r="C2142" s="8">
        <v>1887</v>
      </c>
      <c r="D2142" s="9">
        <v>45425</v>
      </c>
      <c r="E2142" s="13" t="str">
        <f>+HYPERLINK("http://trademark.i-assist.jp/data/china/image_1887th/77044847.pdf","77044847")</f>
        <v>77044847</v>
      </c>
      <c r="F2142" s="7" t="s">
        <v>5828</v>
      </c>
      <c r="G2142" s="7" t="s">
        <v>5829</v>
      </c>
      <c r="H2142" s="7" t="s">
        <v>5830</v>
      </c>
      <c r="I2142" s="9">
        <v>45352</v>
      </c>
    </row>
    <row r="2143" spans="1:9" ht="27" x14ac:dyDescent="0.15">
      <c r="A2143" s="6">
        <v>2142</v>
      </c>
      <c r="B2143" s="7" t="s">
        <v>8</v>
      </c>
      <c r="C2143" s="8">
        <v>1887</v>
      </c>
      <c r="D2143" s="9">
        <v>45425</v>
      </c>
      <c r="E2143" s="13" t="str">
        <f>+HYPERLINK("http://trademark.i-assist.jp/data/china/image_1887th/77044858.pdf","77044858")</f>
        <v>77044858</v>
      </c>
      <c r="F2143" s="7" t="s">
        <v>5831</v>
      </c>
      <c r="G2143" s="7" t="s">
        <v>5832</v>
      </c>
      <c r="H2143" s="7" t="s">
        <v>5833</v>
      </c>
      <c r="I2143" s="9">
        <v>45352</v>
      </c>
    </row>
    <row r="2144" spans="1:9" ht="27" x14ac:dyDescent="0.15">
      <c r="A2144" s="6">
        <v>2143</v>
      </c>
      <c r="B2144" s="7" t="s">
        <v>8</v>
      </c>
      <c r="C2144" s="8">
        <v>1887</v>
      </c>
      <c r="D2144" s="9">
        <v>45425</v>
      </c>
      <c r="E2144" s="13" t="str">
        <f>+HYPERLINK("http://trademark.i-assist.jp/data/china/image_1887th/77044930.pdf","77044930")</f>
        <v>77044930</v>
      </c>
      <c r="F2144" s="7" t="s">
        <v>5834</v>
      </c>
      <c r="G2144" s="7" t="s">
        <v>5835</v>
      </c>
      <c r="H2144" s="7" t="s">
        <v>5836</v>
      </c>
      <c r="I2144" s="9">
        <v>45352</v>
      </c>
    </row>
    <row r="2145" spans="1:9" x14ac:dyDescent="0.15">
      <c r="A2145" s="6">
        <v>2144</v>
      </c>
      <c r="B2145" s="7" t="s">
        <v>8</v>
      </c>
      <c r="C2145" s="8">
        <v>1887</v>
      </c>
      <c r="D2145" s="9">
        <v>45425</v>
      </c>
      <c r="E2145" s="13" t="str">
        <f>+HYPERLINK("http://trademark.i-assist.jp/data/china/image_1887th/77045096.pdf","77045096")</f>
        <v>77045096</v>
      </c>
      <c r="F2145" s="7" t="s">
        <v>5837</v>
      </c>
      <c r="G2145" s="7" t="s">
        <v>5838</v>
      </c>
      <c r="H2145" s="7" t="s">
        <v>5839</v>
      </c>
      <c r="I2145" s="9">
        <v>45352</v>
      </c>
    </row>
    <row r="2146" spans="1:9" x14ac:dyDescent="0.15">
      <c r="A2146" s="6">
        <v>2145</v>
      </c>
      <c r="B2146" s="7" t="s">
        <v>8</v>
      </c>
      <c r="C2146" s="8">
        <v>1887</v>
      </c>
      <c r="D2146" s="9">
        <v>45425</v>
      </c>
      <c r="E2146" s="13" t="str">
        <f>+HYPERLINK("http://trademark.i-assist.jp/data/china/image_1887th/77045189.pdf","77045189")</f>
        <v>77045189</v>
      </c>
      <c r="F2146" s="7" t="s">
        <v>54</v>
      </c>
      <c r="G2146" s="7" t="s">
        <v>5840</v>
      </c>
      <c r="H2146" s="7" t="s">
        <v>5841</v>
      </c>
      <c r="I2146" s="9">
        <v>45352</v>
      </c>
    </row>
    <row r="2147" spans="1:9" x14ac:dyDescent="0.15">
      <c r="A2147" s="6">
        <v>2146</v>
      </c>
      <c r="B2147" s="7" t="s">
        <v>8</v>
      </c>
      <c r="C2147" s="8">
        <v>1887</v>
      </c>
      <c r="D2147" s="9">
        <v>45425</v>
      </c>
      <c r="E2147" s="13" t="str">
        <f>+HYPERLINK("http://trademark.i-assist.jp/data/china/image_1887th/77045197.pdf","77045197")</f>
        <v>77045197</v>
      </c>
      <c r="F2147" s="7" t="s">
        <v>5842</v>
      </c>
      <c r="G2147" s="7" t="s">
        <v>5843</v>
      </c>
      <c r="H2147" s="7" t="s">
        <v>5844</v>
      </c>
      <c r="I2147" s="9">
        <v>45352</v>
      </c>
    </row>
    <row r="2148" spans="1:9" x14ac:dyDescent="0.15">
      <c r="A2148" s="6">
        <v>2147</v>
      </c>
      <c r="B2148" s="7" t="s">
        <v>8</v>
      </c>
      <c r="C2148" s="8">
        <v>1887</v>
      </c>
      <c r="D2148" s="9">
        <v>45425</v>
      </c>
      <c r="E2148" s="13" t="str">
        <f>+HYPERLINK("http://trademark.i-assist.jp/data/china/image_1887th/77045416.pdf","77045416")</f>
        <v>77045416</v>
      </c>
      <c r="F2148" s="7" t="s">
        <v>5845</v>
      </c>
      <c r="G2148" s="7" t="s">
        <v>5846</v>
      </c>
      <c r="H2148" s="7" t="s">
        <v>5847</v>
      </c>
      <c r="I2148" s="9">
        <v>45352</v>
      </c>
    </row>
    <row r="2149" spans="1:9" x14ac:dyDescent="0.15">
      <c r="A2149" s="6">
        <v>2148</v>
      </c>
      <c r="B2149" s="7" t="s">
        <v>8</v>
      </c>
      <c r="C2149" s="8">
        <v>1887</v>
      </c>
      <c r="D2149" s="9">
        <v>45425</v>
      </c>
      <c r="E2149" s="13" t="str">
        <f>+HYPERLINK("http://trademark.i-assist.jp/data/china/image_1887th/77045597.pdf","77045597")</f>
        <v>77045597</v>
      </c>
      <c r="F2149" s="7" t="s">
        <v>5848</v>
      </c>
      <c r="G2149" s="7" t="s">
        <v>5849</v>
      </c>
      <c r="H2149" s="7" t="s">
        <v>5850</v>
      </c>
      <c r="I2149" s="9">
        <v>45352</v>
      </c>
    </row>
    <row r="2150" spans="1:9" x14ac:dyDescent="0.15">
      <c r="A2150" s="6">
        <v>2149</v>
      </c>
      <c r="B2150" s="7" t="s">
        <v>8</v>
      </c>
      <c r="C2150" s="8">
        <v>1887</v>
      </c>
      <c r="D2150" s="9">
        <v>45425</v>
      </c>
      <c r="E2150" s="13" t="str">
        <f>+HYPERLINK("http://trademark.i-assist.jp/data/china/image_1887th/77045605.pdf","77045605")</f>
        <v>77045605</v>
      </c>
      <c r="F2150" s="7" t="s">
        <v>5851</v>
      </c>
      <c r="G2150" s="7" t="s">
        <v>5852</v>
      </c>
      <c r="H2150" s="7" t="s">
        <v>5853</v>
      </c>
      <c r="I2150" s="9">
        <v>45352</v>
      </c>
    </row>
    <row r="2151" spans="1:9" x14ac:dyDescent="0.15">
      <c r="A2151" s="6">
        <v>2150</v>
      </c>
      <c r="B2151" s="7" t="s">
        <v>8</v>
      </c>
      <c r="C2151" s="8">
        <v>1887</v>
      </c>
      <c r="D2151" s="9">
        <v>45425</v>
      </c>
      <c r="E2151" s="13" t="str">
        <f>+HYPERLINK("http://trademark.i-assist.jp/data/china/image_1887th/77045631.pdf","77045631")</f>
        <v>77045631</v>
      </c>
      <c r="F2151" s="7" t="s">
        <v>5854</v>
      </c>
      <c r="G2151" s="7" t="s">
        <v>5855</v>
      </c>
      <c r="H2151" s="7" t="s">
        <v>5856</v>
      </c>
      <c r="I2151" s="9">
        <v>45352</v>
      </c>
    </row>
    <row r="2152" spans="1:9" x14ac:dyDescent="0.15">
      <c r="A2152" s="6">
        <v>2151</v>
      </c>
      <c r="B2152" s="7" t="s">
        <v>8</v>
      </c>
      <c r="C2152" s="8">
        <v>1887</v>
      </c>
      <c r="D2152" s="9">
        <v>45425</v>
      </c>
      <c r="E2152" s="13" t="str">
        <f>+HYPERLINK("http://trademark.i-assist.jp/data/china/image_1887th/77045673.pdf","77045673")</f>
        <v>77045673</v>
      </c>
      <c r="F2152" s="7" t="s">
        <v>5857</v>
      </c>
      <c r="G2152" s="7" t="s">
        <v>5858</v>
      </c>
      <c r="H2152" s="7" t="s">
        <v>5859</v>
      </c>
      <c r="I2152" s="9">
        <v>45352</v>
      </c>
    </row>
    <row r="2153" spans="1:9" x14ac:dyDescent="0.15">
      <c r="A2153" s="6">
        <v>2152</v>
      </c>
      <c r="B2153" s="7" t="s">
        <v>8</v>
      </c>
      <c r="C2153" s="8">
        <v>1887</v>
      </c>
      <c r="D2153" s="9">
        <v>45425</v>
      </c>
      <c r="E2153" s="13" t="str">
        <f>+HYPERLINK("http://trademark.i-assist.jp/data/china/image_1887th/77045688.pdf","77045688")</f>
        <v>77045688</v>
      </c>
      <c r="F2153" s="7" t="s">
        <v>5860</v>
      </c>
      <c r="G2153" s="7" t="s">
        <v>5861</v>
      </c>
      <c r="H2153" s="7" t="s">
        <v>5862</v>
      </c>
      <c r="I2153" s="9">
        <v>45352</v>
      </c>
    </row>
    <row r="2154" spans="1:9" x14ac:dyDescent="0.15">
      <c r="A2154" s="6">
        <v>2153</v>
      </c>
      <c r="B2154" s="7" t="s">
        <v>8</v>
      </c>
      <c r="C2154" s="8">
        <v>1887</v>
      </c>
      <c r="D2154" s="9">
        <v>45425</v>
      </c>
      <c r="E2154" s="13" t="str">
        <f>+HYPERLINK("http://trademark.i-assist.jp/data/china/image_1887th/77046013.pdf","77046013")</f>
        <v>77046013</v>
      </c>
      <c r="F2154" s="7" t="s">
        <v>5863</v>
      </c>
      <c r="G2154" s="7" t="s">
        <v>5864</v>
      </c>
      <c r="H2154" s="7" t="s">
        <v>5865</v>
      </c>
      <c r="I2154" s="9">
        <v>45352</v>
      </c>
    </row>
    <row r="2155" spans="1:9" x14ac:dyDescent="0.15">
      <c r="A2155" s="6">
        <v>2154</v>
      </c>
      <c r="B2155" s="7" t="s">
        <v>8</v>
      </c>
      <c r="C2155" s="8">
        <v>1887</v>
      </c>
      <c r="D2155" s="9">
        <v>45425</v>
      </c>
      <c r="E2155" s="13" t="str">
        <f>+HYPERLINK("http://trademark.i-assist.jp/data/china/image_1887th/77046126.pdf","77046126")</f>
        <v>77046126</v>
      </c>
      <c r="F2155" s="7" t="s">
        <v>5866</v>
      </c>
      <c r="G2155" s="7" t="s">
        <v>5867</v>
      </c>
      <c r="H2155" s="7" t="s">
        <v>5868</v>
      </c>
      <c r="I2155" s="9">
        <v>45352</v>
      </c>
    </row>
    <row r="2156" spans="1:9" x14ac:dyDescent="0.15">
      <c r="A2156" s="6">
        <v>2155</v>
      </c>
      <c r="B2156" s="7" t="s">
        <v>8</v>
      </c>
      <c r="C2156" s="8">
        <v>1887</v>
      </c>
      <c r="D2156" s="9">
        <v>45425</v>
      </c>
      <c r="E2156" s="13" t="str">
        <f>+HYPERLINK("http://trademark.i-assist.jp/data/china/image_1887th/77046330.pdf","77046330")</f>
        <v>77046330</v>
      </c>
      <c r="F2156" s="7" t="s">
        <v>5750</v>
      </c>
      <c r="G2156" s="7" t="s">
        <v>5751</v>
      </c>
      <c r="H2156" s="7" t="s">
        <v>5869</v>
      </c>
      <c r="I2156" s="9">
        <v>45352</v>
      </c>
    </row>
    <row r="2157" spans="1:9" x14ac:dyDescent="0.15">
      <c r="A2157" s="6">
        <v>2156</v>
      </c>
      <c r="B2157" s="7" t="s">
        <v>8</v>
      </c>
      <c r="C2157" s="8">
        <v>1887</v>
      </c>
      <c r="D2157" s="9">
        <v>45425</v>
      </c>
      <c r="E2157" s="13" t="str">
        <f>+HYPERLINK("http://trademark.i-assist.jp/data/china/image_1887th/77046423.pdf","77046423")</f>
        <v>77046423</v>
      </c>
      <c r="F2157" s="7" t="s">
        <v>5870</v>
      </c>
      <c r="G2157" s="7" t="s">
        <v>5871</v>
      </c>
      <c r="H2157" s="7" t="s">
        <v>5872</v>
      </c>
      <c r="I2157" s="9">
        <v>45352</v>
      </c>
    </row>
    <row r="2158" spans="1:9" x14ac:dyDescent="0.15">
      <c r="A2158" s="6">
        <v>2157</v>
      </c>
      <c r="B2158" s="7" t="s">
        <v>8</v>
      </c>
      <c r="C2158" s="8">
        <v>1887</v>
      </c>
      <c r="D2158" s="9">
        <v>45425</v>
      </c>
      <c r="E2158" s="13" t="str">
        <f>+HYPERLINK("http://trademark.i-assist.jp/data/china/image_1887th/77046436.pdf","77046436")</f>
        <v>77046436</v>
      </c>
      <c r="F2158" s="7" t="s">
        <v>5873</v>
      </c>
      <c r="G2158" s="7" t="s">
        <v>5874</v>
      </c>
      <c r="H2158" s="7" t="s">
        <v>5875</v>
      </c>
      <c r="I2158" s="9">
        <v>45352</v>
      </c>
    </row>
    <row r="2159" spans="1:9" x14ac:dyDescent="0.15">
      <c r="A2159" s="6">
        <v>2158</v>
      </c>
      <c r="B2159" s="7" t="s">
        <v>8</v>
      </c>
      <c r="C2159" s="8">
        <v>1887</v>
      </c>
      <c r="D2159" s="9">
        <v>45425</v>
      </c>
      <c r="E2159" s="13" t="str">
        <f>+HYPERLINK("http://trademark.i-assist.jp/data/china/image_1887th/77046690.pdf","77046690")</f>
        <v>77046690</v>
      </c>
      <c r="F2159" s="7" t="s">
        <v>5876</v>
      </c>
      <c r="G2159" s="7" t="s">
        <v>5877</v>
      </c>
      <c r="H2159" s="7" t="s">
        <v>5878</v>
      </c>
      <c r="I2159" s="9">
        <v>45352</v>
      </c>
    </row>
    <row r="2160" spans="1:9" x14ac:dyDescent="0.15">
      <c r="A2160" s="6">
        <v>2159</v>
      </c>
      <c r="B2160" s="7" t="s">
        <v>8</v>
      </c>
      <c r="C2160" s="8">
        <v>1887</v>
      </c>
      <c r="D2160" s="9">
        <v>45425</v>
      </c>
      <c r="E2160" s="13" t="str">
        <f>+HYPERLINK("http://trademark.i-assist.jp/data/china/image_1887th/77046841.pdf","77046841")</f>
        <v>77046841</v>
      </c>
      <c r="F2160" s="7" t="s">
        <v>5879</v>
      </c>
      <c r="G2160" s="7" t="s">
        <v>5748</v>
      </c>
      <c r="H2160" s="7" t="s">
        <v>5880</v>
      </c>
      <c r="I2160" s="9">
        <v>45352</v>
      </c>
    </row>
    <row r="2161" spans="1:9" x14ac:dyDescent="0.15">
      <c r="A2161" s="6">
        <v>2160</v>
      </c>
      <c r="B2161" s="7" t="s">
        <v>8</v>
      </c>
      <c r="C2161" s="8">
        <v>1887</v>
      </c>
      <c r="D2161" s="9">
        <v>45425</v>
      </c>
      <c r="E2161" s="13" t="str">
        <f>+HYPERLINK("http://trademark.i-assist.jp/data/china/image_1887th/77047072.pdf","77047072")</f>
        <v>77047072</v>
      </c>
      <c r="F2161" s="7" t="s">
        <v>5881</v>
      </c>
      <c r="G2161" s="7" t="s">
        <v>5882</v>
      </c>
      <c r="H2161" s="7" t="s">
        <v>5883</v>
      </c>
      <c r="I2161" s="9">
        <v>45352</v>
      </c>
    </row>
    <row r="2162" spans="1:9" x14ac:dyDescent="0.15">
      <c r="A2162" s="6">
        <v>2161</v>
      </c>
      <c r="B2162" s="7" t="s">
        <v>8</v>
      </c>
      <c r="C2162" s="8">
        <v>1887</v>
      </c>
      <c r="D2162" s="9">
        <v>45425</v>
      </c>
      <c r="E2162" s="13" t="str">
        <f>+HYPERLINK("http://trademark.i-assist.jp/data/china/image_1887th/77047426.pdf","77047426")</f>
        <v>77047426</v>
      </c>
      <c r="F2162" s="7" t="s">
        <v>5884</v>
      </c>
      <c r="G2162" s="7" t="s">
        <v>5885</v>
      </c>
      <c r="H2162" s="7" t="s">
        <v>5886</v>
      </c>
      <c r="I2162" s="9">
        <v>45352</v>
      </c>
    </row>
    <row r="2163" spans="1:9" ht="27" x14ac:dyDescent="0.15">
      <c r="A2163" s="6">
        <v>2162</v>
      </c>
      <c r="B2163" s="7" t="s">
        <v>8</v>
      </c>
      <c r="C2163" s="8">
        <v>1887</v>
      </c>
      <c r="D2163" s="9">
        <v>45425</v>
      </c>
      <c r="E2163" s="13" t="str">
        <f>+HYPERLINK("http://trademark.i-assist.jp/data/china/image_1887th/77047678.pdf","77047678")</f>
        <v>77047678</v>
      </c>
      <c r="F2163" s="7" t="s">
        <v>5887</v>
      </c>
      <c r="G2163" s="7" t="s">
        <v>5888</v>
      </c>
      <c r="H2163" s="7" t="s">
        <v>5889</v>
      </c>
      <c r="I2163" s="9">
        <v>45352</v>
      </c>
    </row>
    <row r="2164" spans="1:9" x14ac:dyDescent="0.15">
      <c r="A2164" s="6">
        <v>2163</v>
      </c>
      <c r="B2164" s="7" t="s">
        <v>8</v>
      </c>
      <c r="C2164" s="8">
        <v>1887</v>
      </c>
      <c r="D2164" s="9">
        <v>45425</v>
      </c>
      <c r="E2164" s="13" t="str">
        <f>+HYPERLINK("http://trademark.i-assist.jp/data/china/image_1887th/77047849.pdf","77047849")</f>
        <v>77047849</v>
      </c>
      <c r="F2164" s="7" t="s">
        <v>5890</v>
      </c>
      <c r="G2164" s="7" t="s">
        <v>5891</v>
      </c>
      <c r="H2164" s="7" t="s">
        <v>5892</v>
      </c>
      <c r="I2164" s="9">
        <v>45352</v>
      </c>
    </row>
    <row r="2165" spans="1:9" x14ac:dyDescent="0.15">
      <c r="A2165" s="6">
        <v>2164</v>
      </c>
      <c r="B2165" s="7" t="s">
        <v>8</v>
      </c>
      <c r="C2165" s="8">
        <v>1887</v>
      </c>
      <c r="D2165" s="9">
        <v>45425</v>
      </c>
      <c r="E2165" s="13" t="str">
        <f>+HYPERLINK("http://trademark.i-assist.jp/data/china/image_1887th/77047863.pdf","77047863")</f>
        <v>77047863</v>
      </c>
      <c r="F2165" s="7" t="s">
        <v>5893</v>
      </c>
      <c r="G2165" s="7" t="s">
        <v>5894</v>
      </c>
      <c r="H2165" s="7" t="s">
        <v>5895</v>
      </c>
      <c r="I2165" s="9">
        <v>45352</v>
      </c>
    </row>
    <row r="2166" spans="1:9" x14ac:dyDescent="0.15">
      <c r="A2166" s="6">
        <v>2165</v>
      </c>
      <c r="B2166" s="7" t="s">
        <v>8</v>
      </c>
      <c r="C2166" s="8">
        <v>1887</v>
      </c>
      <c r="D2166" s="9">
        <v>45425</v>
      </c>
      <c r="E2166" s="13" t="str">
        <f>+HYPERLINK("http://trademark.i-assist.jp/data/china/image_1887th/77048089.pdf","77048089")</f>
        <v>77048089</v>
      </c>
      <c r="F2166" s="7" t="s">
        <v>5896</v>
      </c>
      <c r="G2166" s="7" t="s">
        <v>5897</v>
      </c>
      <c r="H2166" s="7" t="s">
        <v>5898</v>
      </c>
      <c r="I2166" s="9">
        <v>45352</v>
      </c>
    </row>
    <row r="2167" spans="1:9" x14ac:dyDescent="0.15">
      <c r="A2167" s="6">
        <v>2166</v>
      </c>
      <c r="B2167" s="7" t="s">
        <v>8</v>
      </c>
      <c r="C2167" s="8">
        <v>1887</v>
      </c>
      <c r="D2167" s="9">
        <v>45425</v>
      </c>
      <c r="E2167" s="13" t="str">
        <f>+HYPERLINK("http://trademark.i-assist.jp/data/china/image_1887th/77048569.pdf","77048569")</f>
        <v>77048569</v>
      </c>
      <c r="F2167" s="7" t="s">
        <v>5899</v>
      </c>
      <c r="G2167" s="7" t="s">
        <v>5900</v>
      </c>
      <c r="H2167" s="7" t="s">
        <v>5901</v>
      </c>
      <c r="I2167" s="9">
        <v>45352</v>
      </c>
    </row>
    <row r="2168" spans="1:9" x14ac:dyDescent="0.15">
      <c r="A2168" s="6">
        <v>2167</v>
      </c>
      <c r="B2168" s="7" t="s">
        <v>8</v>
      </c>
      <c r="C2168" s="8">
        <v>1887</v>
      </c>
      <c r="D2168" s="9">
        <v>45425</v>
      </c>
      <c r="E2168" s="13" t="str">
        <f>+HYPERLINK("http://trademark.i-assist.jp/data/china/image_1887th/77049039.pdf","77049039")</f>
        <v>77049039</v>
      </c>
      <c r="F2168" s="7" t="s">
        <v>5902</v>
      </c>
      <c r="G2168" s="7" t="s">
        <v>5903</v>
      </c>
      <c r="H2168" s="7" t="s">
        <v>5904</v>
      </c>
      <c r="I2168" s="9">
        <v>45352</v>
      </c>
    </row>
    <row r="2169" spans="1:9" x14ac:dyDescent="0.15">
      <c r="A2169" s="6">
        <v>2168</v>
      </c>
      <c r="B2169" s="7" t="s">
        <v>8</v>
      </c>
      <c r="C2169" s="8">
        <v>1887</v>
      </c>
      <c r="D2169" s="9">
        <v>45425</v>
      </c>
      <c r="E2169" s="13" t="str">
        <f>+HYPERLINK("http://trademark.i-assist.jp/data/china/image_1887th/77049115.pdf","77049115")</f>
        <v>77049115</v>
      </c>
      <c r="F2169" s="7" t="s">
        <v>5905</v>
      </c>
      <c r="G2169" s="7" t="s">
        <v>5906</v>
      </c>
      <c r="H2169" s="7" t="s">
        <v>5907</v>
      </c>
      <c r="I2169" s="9">
        <v>45352</v>
      </c>
    </row>
    <row r="2170" spans="1:9" ht="27" x14ac:dyDescent="0.15">
      <c r="A2170" s="6">
        <v>2169</v>
      </c>
      <c r="B2170" s="7" t="s">
        <v>8</v>
      </c>
      <c r="C2170" s="8">
        <v>1887</v>
      </c>
      <c r="D2170" s="9">
        <v>45425</v>
      </c>
      <c r="E2170" s="13" t="str">
        <f>+HYPERLINK("http://trademark.i-assist.jp/data/china/image_1887th/77049435.pdf","77049435")</f>
        <v>77049435</v>
      </c>
      <c r="F2170" s="7" t="s">
        <v>5908</v>
      </c>
      <c r="G2170" s="7" t="s">
        <v>5829</v>
      </c>
      <c r="H2170" s="7" t="s">
        <v>5909</v>
      </c>
      <c r="I2170" s="9">
        <v>45352</v>
      </c>
    </row>
    <row r="2171" spans="1:9" x14ac:dyDescent="0.15">
      <c r="A2171" s="6">
        <v>2170</v>
      </c>
      <c r="B2171" s="7" t="s">
        <v>8</v>
      </c>
      <c r="C2171" s="8">
        <v>1887</v>
      </c>
      <c r="D2171" s="9">
        <v>45425</v>
      </c>
      <c r="E2171" s="13" t="str">
        <f>+HYPERLINK("http://trademark.i-assist.jp/data/china/image_1887th/77049575.pdf","77049575")</f>
        <v>77049575</v>
      </c>
      <c r="F2171" s="7" t="s">
        <v>5910</v>
      </c>
      <c r="G2171" s="7" t="s">
        <v>2257</v>
      </c>
      <c r="H2171" s="7" t="s">
        <v>5911</v>
      </c>
      <c r="I2171" s="9">
        <v>45352</v>
      </c>
    </row>
    <row r="2172" spans="1:9" x14ac:dyDescent="0.15">
      <c r="A2172" s="6">
        <v>2171</v>
      </c>
      <c r="B2172" s="7" t="s">
        <v>8</v>
      </c>
      <c r="C2172" s="8">
        <v>1887</v>
      </c>
      <c r="D2172" s="9">
        <v>45425</v>
      </c>
      <c r="E2172" s="13" t="str">
        <f>+HYPERLINK("http://trademark.i-assist.jp/data/china/image_1887th/77049764.pdf","77049764")</f>
        <v>77049764</v>
      </c>
      <c r="F2172" s="7" t="s">
        <v>5912</v>
      </c>
      <c r="G2172" s="7" t="s">
        <v>5913</v>
      </c>
      <c r="H2172" s="7" t="s">
        <v>5914</v>
      </c>
      <c r="I2172" s="9">
        <v>45352</v>
      </c>
    </row>
    <row r="2173" spans="1:9" x14ac:dyDescent="0.15">
      <c r="A2173" s="6">
        <v>2172</v>
      </c>
      <c r="B2173" s="7" t="s">
        <v>8</v>
      </c>
      <c r="C2173" s="8">
        <v>1887</v>
      </c>
      <c r="D2173" s="9">
        <v>45425</v>
      </c>
      <c r="E2173" s="13" t="str">
        <f>+HYPERLINK("http://trademark.i-assist.jp/data/china/image_1887th/77050082.pdf","77050082")</f>
        <v>77050082</v>
      </c>
      <c r="F2173" s="7" t="s">
        <v>5915</v>
      </c>
      <c r="G2173" s="7" t="s">
        <v>5916</v>
      </c>
      <c r="H2173" s="7" t="s">
        <v>5917</v>
      </c>
      <c r="I2173" s="9">
        <v>45352</v>
      </c>
    </row>
    <row r="2174" spans="1:9" x14ac:dyDescent="0.15">
      <c r="A2174" s="6">
        <v>2173</v>
      </c>
      <c r="B2174" s="7" t="s">
        <v>8</v>
      </c>
      <c r="C2174" s="8">
        <v>1887</v>
      </c>
      <c r="D2174" s="9">
        <v>45425</v>
      </c>
      <c r="E2174" s="13" t="str">
        <f>+HYPERLINK("http://trademark.i-assist.jp/data/china/image_1887th/77050263.pdf","77050263")</f>
        <v>77050263</v>
      </c>
      <c r="F2174" s="7" t="s">
        <v>5918</v>
      </c>
      <c r="G2174" s="7" t="s">
        <v>5919</v>
      </c>
      <c r="H2174" s="7" t="s">
        <v>5920</v>
      </c>
      <c r="I2174" s="9">
        <v>45352</v>
      </c>
    </row>
    <row r="2175" spans="1:9" x14ac:dyDescent="0.15">
      <c r="A2175" s="6">
        <v>2174</v>
      </c>
      <c r="B2175" s="7" t="s">
        <v>8</v>
      </c>
      <c r="C2175" s="8">
        <v>1887</v>
      </c>
      <c r="D2175" s="9">
        <v>45425</v>
      </c>
      <c r="E2175" s="13" t="str">
        <f>+HYPERLINK("http://trademark.i-assist.jp/data/china/image_1887th/77050264.pdf","77050264")</f>
        <v>77050264</v>
      </c>
      <c r="F2175" s="7" t="s">
        <v>5921</v>
      </c>
      <c r="G2175" s="7" t="s">
        <v>5922</v>
      </c>
      <c r="H2175" s="7" t="s">
        <v>5923</v>
      </c>
      <c r="I2175" s="9">
        <v>45352</v>
      </c>
    </row>
    <row r="2176" spans="1:9" x14ac:dyDescent="0.15">
      <c r="A2176" s="6">
        <v>2175</v>
      </c>
      <c r="B2176" s="7" t="s">
        <v>8</v>
      </c>
      <c r="C2176" s="8">
        <v>1887</v>
      </c>
      <c r="D2176" s="9">
        <v>45425</v>
      </c>
      <c r="E2176" s="13" t="str">
        <f>+HYPERLINK("http://trademark.i-assist.jp/data/china/image_1887th/77050281.pdf","77050281")</f>
        <v>77050281</v>
      </c>
      <c r="F2176" s="7" t="s">
        <v>5924</v>
      </c>
      <c r="G2176" s="7" t="s">
        <v>5714</v>
      </c>
      <c r="H2176" s="7" t="s">
        <v>5925</v>
      </c>
      <c r="I2176" s="9">
        <v>45352</v>
      </c>
    </row>
    <row r="2177" spans="1:9" x14ac:dyDescent="0.15">
      <c r="A2177" s="6">
        <v>2176</v>
      </c>
      <c r="B2177" s="7" t="s">
        <v>8</v>
      </c>
      <c r="C2177" s="8">
        <v>1887</v>
      </c>
      <c r="D2177" s="9">
        <v>45425</v>
      </c>
      <c r="E2177" s="13" t="str">
        <f>+HYPERLINK("http://trademark.i-assist.jp/data/china/image_1887th/77051104.pdf","77051104")</f>
        <v>77051104</v>
      </c>
      <c r="F2177" s="7" t="s">
        <v>5926</v>
      </c>
      <c r="G2177" s="7" t="s">
        <v>5927</v>
      </c>
      <c r="H2177" s="7" t="s">
        <v>5928</v>
      </c>
      <c r="I2177" s="9">
        <v>45352</v>
      </c>
    </row>
    <row r="2178" spans="1:9" x14ac:dyDescent="0.15">
      <c r="A2178" s="6">
        <v>2177</v>
      </c>
      <c r="B2178" s="7" t="s">
        <v>8</v>
      </c>
      <c r="C2178" s="8">
        <v>1887</v>
      </c>
      <c r="D2178" s="9">
        <v>45425</v>
      </c>
      <c r="E2178" s="13" t="str">
        <f>+HYPERLINK("http://trademark.i-assist.jp/data/china/image_1887th/77051151.pdf","77051151")</f>
        <v>77051151</v>
      </c>
      <c r="F2178" s="7" t="s">
        <v>5929</v>
      </c>
      <c r="G2178" s="7" t="s">
        <v>5930</v>
      </c>
      <c r="H2178" s="7" t="s">
        <v>5931</v>
      </c>
      <c r="I2178" s="9">
        <v>45352</v>
      </c>
    </row>
    <row r="2179" spans="1:9" x14ac:dyDescent="0.15">
      <c r="A2179" s="6">
        <v>2178</v>
      </c>
      <c r="B2179" s="7" t="s">
        <v>8</v>
      </c>
      <c r="C2179" s="8">
        <v>1887</v>
      </c>
      <c r="D2179" s="9">
        <v>45425</v>
      </c>
      <c r="E2179" s="13" t="str">
        <f>+HYPERLINK("http://trademark.i-assist.jp/data/china/image_1887th/77051304.pdf","77051304")</f>
        <v>77051304</v>
      </c>
      <c r="F2179" s="7" t="s">
        <v>5932</v>
      </c>
      <c r="G2179" s="7" t="s">
        <v>5933</v>
      </c>
      <c r="H2179" s="7" t="s">
        <v>5934</v>
      </c>
      <c r="I2179" s="9">
        <v>45352</v>
      </c>
    </row>
    <row r="2180" spans="1:9" x14ac:dyDescent="0.15">
      <c r="A2180" s="6">
        <v>2179</v>
      </c>
      <c r="B2180" s="7" t="s">
        <v>8</v>
      </c>
      <c r="C2180" s="8">
        <v>1887</v>
      </c>
      <c r="D2180" s="9">
        <v>45425</v>
      </c>
      <c r="E2180" s="13" t="str">
        <f>+HYPERLINK("http://trademark.i-assist.jp/data/china/image_1887th/77051393.pdf","77051393")</f>
        <v>77051393</v>
      </c>
      <c r="F2180" s="7" t="s">
        <v>5935</v>
      </c>
      <c r="G2180" s="7" t="s">
        <v>5936</v>
      </c>
      <c r="H2180" s="7" t="s">
        <v>5937</v>
      </c>
      <c r="I2180" s="9">
        <v>45352</v>
      </c>
    </row>
    <row r="2181" spans="1:9" x14ac:dyDescent="0.15">
      <c r="A2181" s="6">
        <v>2180</v>
      </c>
      <c r="B2181" s="7" t="s">
        <v>8</v>
      </c>
      <c r="C2181" s="8">
        <v>1887</v>
      </c>
      <c r="D2181" s="9">
        <v>45425</v>
      </c>
      <c r="E2181" s="13" t="str">
        <f>+HYPERLINK("http://trademark.i-assist.jp/data/china/image_1887th/77052268.pdf","77052268")</f>
        <v>77052268</v>
      </c>
      <c r="F2181" s="7" t="s">
        <v>5938</v>
      </c>
      <c r="G2181" s="7" t="s">
        <v>5939</v>
      </c>
      <c r="H2181" s="7" t="s">
        <v>5940</v>
      </c>
      <c r="I2181" s="9">
        <v>45352</v>
      </c>
    </row>
    <row r="2182" spans="1:9" x14ac:dyDescent="0.15">
      <c r="A2182" s="6">
        <v>2181</v>
      </c>
      <c r="B2182" s="7" t="s">
        <v>8</v>
      </c>
      <c r="C2182" s="8">
        <v>1887</v>
      </c>
      <c r="D2182" s="9">
        <v>45425</v>
      </c>
      <c r="E2182" s="13" t="str">
        <f>+HYPERLINK("http://trademark.i-assist.jp/data/china/image_1887th/77052990.pdf","77052990")</f>
        <v>77052990</v>
      </c>
      <c r="F2182" s="7" t="s">
        <v>54</v>
      </c>
      <c r="G2182" s="7" t="s">
        <v>5941</v>
      </c>
      <c r="H2182" s="7" t="s">
        <v>5942</v>
      </c>
      <c r="I2182" s="9">
        <v>45352</v>
      </c>
    </row>
    <row r="2183" spans="1:9" x14ac:dyDescent="0.15">
      <c r="A2183" s="6">
        <v>2182</v>
      </c>
      <c r="B2183" s="7" t="s">
        <v>8</v>
      </c>
      <c r="C2183" s="8">
        <v>1887</v>
      </c>
      <c r="D2183" s="9">
        <v>45425</v>
      </c>
      <c r="E2183" s="13" t="str">
        <f>+HYPERLINK("http://trademark.i-assist.jp/data/china/image_1887th/77052991.pdf","77052991")</f>
        <v>77052991</v>
      </c>
      <c r="F2183" s="7" t="s">
        <v>5943</v>
      </c>
      <c r="G2183" s="7" t="s">
        <v>5944</v>
      </c>
      <c r="H2183" s="7" t="s">
        <v>5945</v>
      </c>
      <c r="I2183" s="9">
        <v>45352</v>
      </c>
    </row>
    <row r="2184" spans="1:9" x14ac:dyDescent="0.15">
      <c r="A2184" s="6">
        <v>2183</v>
      </c>
      <c r="B2184" s="7" t="s">
        <v>8</v>
      </c>
      <c r="C2184" s="8">
        <v>1887</v>
      </c>
      <c r="D2184" s="9">
        <v>45425</v>
      </c>
      <c r="E2184" s="13" t="str">
        <f>+HYPERLINK("http://trademark.i-assist.jp/data/china/image_1887th/77053813.pdf","77053813")</f>
        <v>77053813</v>
      </c>
      <c r="F2184" s="7" t="s">
        <v>5946</v>
      </c>
      <c r="G2184" s="7" t="s">
        <v>5867</v>
      </c>
      <c r="H2184" s="7" t="s">
        <v>5947</v>
      </c>
      <c r="I2184" s="9">
        <v>45352</v>
      </c>
    </row>
    <row r="2185" spans="1:9" ht="27" x14ac:dyDescent="0.15">
      <c r="A2185" s="6">
        <v>2184</v>
      </c>
      <c r="B2185" s="7" t="s">
        <v>8</v>
      </c>
      <c r="C2185" s="8">
        <v>1887</v>
      </c>
      <c r="D2185" s="9">
        <v>45425</v>
      </c>
      <c r="E2185" s="13" t="str">
        <f>+HYPERLINK("http://trademark.i-assist.jp/data/china/image_1887th/77053880.pdf","77053880")</f>
        <v>77053880</v>
      </c>
      <c r="F2185" s="7" t="s">
        <v>5948</v>
      </c>
      <c r="G2185" s="7" t="s">
        <v>5832</v>
      </c>
      <c r="H2185" s="7" t="s">
        <v>5949</v>
      </c>
      <c r="I2185" s="9">
        <v>45352</v>
      </c>
    </row>
    <row r="2186" spans="1:9" x14ac:dyDescent="0.15">
      <c r="A2186" s="6">
        <v>2185</v>
      </c>
      <c r="B2186" s="7" t="s">
        <v>8</v>
      </c>
      <c r="C2186" s="8">
        <v>1887</v>
      </c>
      <c r="D2186" s="9">
        <v>45425</v>
      </c>
      <c r="E2186" s="13" t="str">
        <f>+HYPERLINK("http://trademark.i-assist.jp/data/china/image_1887th/77054198.pdf","77054198")</f>
        <v>77054198</v>
      </c>
      <c r="F2186" s="7" t="s">
        <v>5950</v>
      </c>
      <c r="G2186" s="7" t="s">
        <v>5951</v>
      </c>
      <c r="H2186" s="7" t="s">
        <v>5952</v>
      </c>
      <c r="I2186" s="9">
        <v>45352</v>
      </c>
    </row>
    <row r="2187" spans="1:9" x14ac:dyDescent="0.15">
      <c r="A2187" s="6">
        <v>2186</v>
      </c>
      <c r="B2187" s="7" t="s">
        <v>8</v>
      </c>
      <c r="C2187" s="8">
        <v>1887</v>
      </c>
      <c r="D2187" s="9">
        <v>45425</v>
      </c>
      <c r="E2187" s="13" t="str">
        <f>+HYPERLINK("http://trademark.i-assist.jp/data/china/image_1887th/77054223.pdf","77054223")</f>
        <v>77054223</v>
      </c>
      <c r="F2187" s="7" t="s">
        <v>54</v>
      </c>
      <c r="G2187" s="7" t="s">
        <v>5953</v>
      </c>
      <c r="H2187" s="7" t="s">
        <v>5954</v>
      </c>
      <c r="I2187" s="9">
        <v>45352</v>
      </c>
    </row>
    <row r="2188" spans="1:9" x14ac:dyDescent="0.15">
      <c r="A2188" s="6">
        <v>2187</v>
      </c>
      <c r="B2188" s="7" t="s">
        <v>8</v>
      </c>
      <c r="C2188" s="8">
        <v>1887</v>
      </c>
      <c r="D2188" s="9">
        <v>45425</v>
      </c>
      <c r="E2188" s="13" t="str">
        <f>+HYPERLINK("http://trademark.i-assist.jp/data/china/image_1887th/77054246.pdf","77054246")</f>
        <v>77054246</v>
      </c>
      <c r="F2188" s="7" t="s">
        <v>5955</v>
      </c>
      <c r="G2188" s="7" t="s">
        <v>5956</v>
      </c>
      <c r="H2188" s="7" t="s">
        <v>5957</v>
      </c>
      <c r="I2188" s="9">
        <v>45352</v>
      </c>
    </row>
    <row r="2189" spans="1:9" x14ac:dyDescent="0.15">
      <c r="A2189" s="6">
        <v>2188</v>
      </c>
      <c r="B2189" s="7" t="s">
        <v>8</v>
      </c>
      <c r="C2189" s="8">
        <v>1887</v>
      </c>
      <c r="D2189" s="9">
        <v>45425</v>
      </c>
      <c r="E2189" s="13" t="str">
        <f>+HYPERLINK("http://trademark.i-assist.jp/data/china/image_1887th/77054293.pdf","77054293")</f>
        <v>77054293</v>
      </c>
      <c r="F2189" s="7" t="s">
        <v>5958</v>
      </c>
      <c r="G2189" s="7" t="s">
        <v>5959</v>
      </c>
      <c r="H2189" s="7" t="s">
        <v>5960</v>
      </c>
      <c r="I2189" s="9">
        <v>45352</v>
      </c>
    </row>
    <row r="2190" spans="1:9" x14ac:dyDescent="0.15">
      <c r="A2190" s="6">
        <v>2189</v>
      </c>
      <c r="B2190" s="7" t="s">
        <v>8</v>
      </c>
      <c r="C2190" s="8">
        <v>1887</v>
      </c>
      <c r="D2190" s="9">
        <v>45425</v>
      </c>
      <c r="E2190" s="13" t="str">
        <f>+HYPERLINK("http://trademark.i-assist.jp/data/china/image_1887th/77054316.pdf","77054316")</f>
        <v>77054316</v>
      </c>
      <c r="F2190" s="7" t="s">
        <v>5961</v>
      </c>
      <c r="G2190" s="7" t="s">
        <v>5962</v>
      </c>
      <c r="H2190" s="7" t="s">
        <v>5963</v>
      </c>
      <c r="I2190" s="9">
        <v>45352</v>
      </c>
    </row>
    <row r="2191" spans="1:9" x14ac:dyDescent="0.15">
      <c r="A2191" s="6">
        <v>2190</v>
      </c>
      <c r="B2191" s="7" t="s">
        <v>8</v>
      </c>
      <c r="C2191" s="8">
        <v>1887</v>
      </c>
      <c r="D2191" s="9">
        <v>45425</v>
      </c>
      <c r="E2191" s="13" t="str">
        <f>+HYPERLINK("http://trademark.i-assist.jp/data/china/image_1887th/77054448.pdf","77054448")</f>
        <v>77054448</v>
      </c>
      <c r="F2191" s="7" t="s">
        <v>5964</v>
      </c>
      <c r="G2191" s="7" t="s">
        <v>5965</v>
      </c>
      <c r="H2191" s="7" t="s">
        <v>5966</v>
      </c>
      <c r="I2191" s="9">
        <v>45352</v>
      </c>
    </row>
    <row r="2192" spans="1:9" ht="27" x14ac:dyDescent="0.15">
      <c r="A2192" s="6">
        <v>2191</v>
      </c>
      <c r="B2192" s="7" t="s">
        <v>8</v>
      </c>
      <c r="C2192" s="8">
        <v>1887</v>
      </c>
      <c r="D2192" s="9">
        <v>45425</v>
      </c>
      <c r="E2192" s="13" t="str">
        <f>+HYPERLINK("http://trademark.i-assist.jp/data/china/image_1887th/77054588.pdf","77054588")</f>
        <v>77054588</v>
      </c>
      <c r="F2192" s="7" t="s">
        <v>5967</v>
      </c>
      <c r="G2192" s="7" t="s">
        <v>5968</v>
      </c>
      <c r="H2192" s="7" t="s">
        <v>5969</v>
      </c>
      <c r="I2192" s="9">
        <v>45352</v>
      </c>
    </row>
    <row r="2193" spans="1:9" x14ac:dyDescent="0.15">
      <c r="A2193" s="6">
        <v>2192</v>
      </c>
      <c r="B2193" s="7" t="s">
        <v>8</v>
      </c>
      <c r="C2193" s="8">
        <v>1887</v>
      </c>
      <c r="D2193" s="9">
        <v>45425</v>
      </c>
      <c r="E2193" s="13" t="str">
        <f>+HYPERLINK("http://trademark.i-assist.jp/data/china/image_1887th/77054660.pdf","77054660")</f>
        <v>77054660</v>
      </c>
      <c r="F2193" s="7" t="s">
        <v>5970</v>
      </c>
      <c r="G2193" s="7" t="s">
        <v>5936</v>
      </c>
      <c r="H2193" s="7" t="s">
        <v>5971</v>
      </c>
      <c r="I2193" s="9">
        <v>45352</v>
      </c>
    </row>
    <row r="2194" spans="1:9" x14ac:dyDescent="0.15">
      <c r="A2194" s="6">
        <v>2193</v>
      </c>
      <c r="B2194" s="7" t="s">
        <v>8</v>
      </c>
      <c r="C2194" s="8">
        <v>1887</v>
      </c>
      <c r="D2194" s="9">
        <v>45425</v>
      </c>
      <c r="E2194" s="13" t="str">
        <f>+HYPERLINK("http://trademark.i-assist.jp/data/china/image_1887th/77054868.pdf","77054868")</f>
        <v>77054868</v>
      </c>
      <c r="F2194" s="7" t="s">
        <v>5972</v>
      </c>
      <c r="G2194" s="7" t="s">
        <v>5973</v>
      </c>
      <c r="H2194" s="7" t="s">
        <v>5974</v>
      </c>
      <c r="I2194" s="9">
        <v>45352</v>
      </c>
    </row>
    <row r="2195" spans="1:9" x14ac:dyDescent="0.15">
      <c r="A2195" s="6">
        <v>2194</v>
      </c>
      <c r="B2195" s="7" t="s">
        <v>8</v>
      </c>
      <c r="C2195" s="8">
        <v>1887</v>
      </c>
      <c r="D2195" s="9">
        <v>45425</v>
      </c>
      <c r="E2195" s="13" t="str">
        <f>+HYPERLINK("http://trademark.i-assist.jp/data/china/image_1887th/77055009.pdf","77055009")</f>
        <v>77055009</v>
      </c>
      <c r="F2195" s="7" t="s">
        <v>5975</v>
      </c>
      <c r="G2195" s="7" t="s">
        <v>5976</v>
      </c>
      <c r="H2195" s="7" t="s">
        <v>5977</v>
      </c>
      <c r="I2195" s="9">
        <v>45352</v>
      </c>
    </row>
    <row r="2196" spans="1:9" ht="27" x14ac:dyDescent="0.15">
      <c r="A2196" s="6">
        <v>2195</v>
      </c>
      <c r="B2196" s="7" t="s">
        <v>8</v>
      </c>
      <c r="C2196" s="8">
        <v>1887</v>
      </c>
      <c r="D2196" s="9">
        <v>45425</v>
      </c>
      <c r="E2196" s="13" t="str">
        <f>+HYPERLINK("http://trademark.i-assist.jp/data/china/image_1887th/77055342.pdf","77055342")</f>
        <v>77055342</v>
      </c>
      <c r="F2196" s="7" t="s">
        <v>5978</v>
      </c>
      <c r="G2196" s="7" t="s">
        <v>5979</v>
      </c>
      <c r="H2196" s="7" t="s">
        <v>5980</v>
      </c>
      <c r="I2196" s="9">
        <v>45352</v>
      </c>
    </row>
    <row r="2197" spans="1:9" x14ac:dyDescent="0.15">
      <c r="A2197" s="6">
        <v>2196</v>
      </c>
      <c r="B2197" s="7" t="s">
        <v>8</v>
      </c>
      <c r="C2197" s="8">
        <v>1887</v>
      </c>
      <c r="D2197" s="9">
        <v>45425</v>
      </c>
      <c r="E2197" s="13" t="str">
        <f>+HYPERLINK("http://trademark.i-assist.jp/data/china/image_1887th/77055347.pdf","77055347")</f>
        <v>77055347</v>
      </c>
      <c r="F2197" s="7" t="s">
        <v>5981</v>
      </c>
      <c r="G2197" s="7" t="s">
        <v>5982</v>
      </c>
      <c r="H2197" s="7" t="s">
        <v>5983</v>
      </c>
      <c r="I2197" s="9">
        <v>45352</v>
      </c>
    </row>
    <row r="2198" spans="1:9" ht="27" x14ac:dyDescent="0.15">
      <c r="A2198" s="6">
        <v>2197</v>
      </c>
      <c r="B2198" s="7" t="s">
        <v>8</v>
      </c>
      <c r="C2198" s="8">
        <v>1887</v>
      </c>
      <c r="D2198" s="9">
        <v>45425</v>
      </c>
      <c r="E2198" s="13" t="str">
        <f>+HYPERLINK("http://trademark.i-assist.jp/data/china/image_1887th/77055493.pdf","77055493")</f>
        <v>77055493</v>
      </c>
      <c r="F2198" s="7" t="s">
        <v>5984</v>
      </c>
      <c r="G2198" s="7" t="s">
        <v>5985</v>
      </c>
      <c r="H2198" s="7" t="s">
        <v>5986</v>
      </c>
      <c r="I2198" s="9">
        <v>45352</v>
      </c>
    </row>
    <row r="2199" spans="1:9" x14ac:dyDescent="0.15">
      <c r="A2199" s="6">
        <v>2198</v>
      </c>
      <c r="B2199" s="7" t="s">
        <v>8</v>
      </c>
      <c r="C2199" s="8">
        <v>1887</v>
      </c>
      <c r="D2199" s="9">
        <v>45425</v>
      </c>
      <c r="E2199" s="13" t="str">
        <f>+HYPERLINK("http://trademark.i-assist.jp/data/china/image_1887th/77055669.pdf","77055669")</f>
        <v>77055669</v>
      </c>
      <c r="F2199" s="7" t="s">
        <v>5987</v>
      </c>
      <c r="G2199" s="7" t="s">
        <v>5988</v>
      </c>
      <c r="H2199" s="7" t="s">
        <v>5989</v>
      </c>
      <c r="I2199" s="9">
        <v>45352</v>
      </c>
    </row>
    <row r="2200" spans="1:9" x14ac:dyDescent="0.15">
      <c r="A2200" s="6">
        <v>2199</v>
      </c>
      <c r="B2200" s="7" t="s">
        <v>8</v>
      </c>
      <c r="C2200" s="8">
        <v>1887</v>
      </c>
      <c r="D2200" s="9">
        <v>45425</v>
      </c>
      <c r="E2200" s="13" t="str">
        <f>+HYPERLINK("http://trademark.i-assist.jp/data/china/image_1887th/77055719.pdf","77055719")</f>
        <v>77055719</v>
      </c>
      <c r="F2200" s="7" t="s">
        <v>5990</v>
      </c>
      <c r="G2200" s="7" t="s">
        <v>5991</v>
      </c>
      <c r="H2200" s="7" t="s">
        <v>5992</v>
      </c>
      <c r="I2200" s="9">
        <v>45352</v>
      </c>
    </row>
    <row r="2201" spans="1:9" x14ac:dyDescent="0.15">
      <c r="A2201" s="6">
        <v>2200</v>
      </c>
      <c r="B2201" s="7" t="s">
        <v>8</v>
      </c>
      <c r="C2201" s="8">
        <v>1887</v>
      </c>
      <c r="D2201" s="9">
        <v>45425</v>
      </c>
      <c r="E2201" s="13" t="str">
        <f>+HYPERLINK("http://trademark.i-assist.jp/data/china/image_1887th/77055778.pdf","77055778")</f>
        <v>77055778</v>
      </c>
      <c r="F2201" s="7" t="s">
        <v>54</v>
      </c>
      <c r="G2201" s="7" t="s">
        <v>5993</v>
      </c>
      <c r="H2201" s="7" t="s">
        <v>5994</v>
      </c>
      <c r="I2201" s="9">
        <v>45352</v>
      </c>
    </row>
    <row r="2202" spans="1:9" x14ac:dyDescent="0.15">
      <c r="A2202" s="6">
        <v>2201</v>
      </c>
      <c r="B2202" s="7" t="s">
        <v>8</v>
      </c>
      <c r="C2202" s="8">
        <v>1887</v>
      </c>
      <c r="D2202" s="9">
        <v>45425</v>
      </c>
      <c r="E2202" s="13" t="str">
        <f>+HYPERLINK("http://trademark.i-assist.jp/data/china/image_1887th/77055965.pdf","77055965")</f>
        <v>77055965</v>
      </c>
      <c r="F2202" s="7" t="s">
        <v>5995</v>
      </c>
      <c r="G2202" s="7" t="s">
        <v>5996</v>
      </c>
      <c r="H2202" s="7" t="s">
        <v>5997</v>
      </c>
      <c r="I2202" s="9">
        <v>45352</v>
      </c>
    </row>
    <row r="2203" spans="1:9" x14ac:dyDescent="0.15">
      <c r="A2203" s="6">
        <v>2202</v>
      </c>
      <c r="B2203" s="7" t="s">
        <v>8</v>
      </c>
      <c r="C2203" s="8">
        <v>1887</v>
      </c>
      <c r="D2203" s="9">
        <v>45425</v>
      </c>
      <c r="E2203" s="13" t="str">
        <f>+HYPERLINK("http://trademark.i-assist.jp/data/china/image_1887th/77056008.pdf","77056008")</f>
        <v>77056008</v>
      </c>
      <c r="F2203" s="7" t="s">
        <v>5998</v>
      </c>
      <c r="G2203" s="7" t="s">
        <v>5864</v>
      </c>
      <c r="H2203" s="7" t="s">
        <v>5999</v>
      </c>
      <c r="I2203" s="9">
        <v>45352</v>
      </c>
    </row>
    <row r="2204" spans="1:9" ht="27" x14ac:dyDescent="0.15">
      <c r="A2204" s="6">
        <v>2203</v>
      </c>
      <c r="B2204" s="7" t="s">
        <v>8</v>
      </c>
      <c r="C2204" s="8">
        <v>1887</v>
      </c>
      <c r="D2204" s="9">
        <v>45425</v>
      </c>
      <c r="E2204" s="13" t="str">
        <f>+HYPERLINK("http://trademark.i-assist.jp/data/china/image_1887th/77056219.pdf","77056219")</f>
        <v>77056219</v>
      </c>
      <c r="F2204" s="7" t="s">
        <v>6000</v>
      </c>
      <c r="G2204" s="7" t="s">
        <v>6001</v>
      </c>
      <c r="H2204" s="7" t="s">
        <v>6002</v>
      </c>
      <c r="I2204" s="9">
        <v>45352</v>
      </c>
    </row>
    <row r="2205" spans="1:9" x14ac:dyDescent="0.15">
      <c r="A2205" s="6">
        <v>2204</v>
      </c>
      <c r="B2205" s="7" t="s">
        <v>8</v>
      </c>
      <c r="C2205" s="8">
        <v>1887</v>
      </c>
      <c r="D2205" s="9">
        <v>45425</v>
      </c>
      <c r="E2205" s="13" t="str">
        <f>+HYPERLINK("http://trademark.i-assist.jp/data/china/image_1887th/77056806.pdf","77056806")</f>
        <v>77056806</v>
      </c>
      <c r="F2205" s="7" t="s">
        <v>6003</v>
      </c>
      <c r="G2205" s="7" t="s">
        <v>6004</v>
      </c>
      <c r="H2205" s="7" t="s">
        <v>6005</v>
      </c>
      <c r="I2205" s="9">
        <v>45352</v>
      </c>
    </row>
    <row r="2206" spans="1:9" ht="27" x14ac:dyDescent="0.15">
      <c r="A2206" s="6">
        <v>2205</v>
      </c>
      <c r="B2206" s="7" t="s">
        <v>8</v>
      </c>
      <c r="C2206" s="8">
        <v>1887</v>
      </c>
      <c r="D2206" s="9">
        <v>45425</v>
      </c>
      <c r="E2206" s="13" t="str">
        <f>+HYPERLINK("http://trademark.i-assist.jp/data/china/image_1887th/77057361.pdf","77057361")</f>
        <v>77057361</v>
      </c>
      <c r="F2206" s="7" t="s">
        <v>6006</v>
      </c>
      <c r="G2206" s="7" t="s">
        <v>5809</v>
      </c>
      <c r="H2206" s="7" t="s">
        <v>6007</v>
      </c>
      <c r="I2206" s="9">
        <v>45352</v>
      </c>
    </row>
    <row r="2207" spans="1:9" x14ac:dyDescent="0.15">
      <c r="A2207" s="6">
        <v>2206</v>
      </c>
      <c r="B2207" s="7" t="s">
        <v>8</v>
      </c>
      <c r="C2207" s="8">
        <v>1887</v>
      </c>
      <c r="D2207" s="9">
        <v>45425</v>
      </c>
      <c r="E2207" s="13" t="str">
        <f>+HYPERLINK("http://trademark.i-assist.jp/data/china/image_1887th/77057558.pdf","77057558")</f>
        <v>77057558</v>
      </c>
      <c r="F2207" s="7" t="s">
        <v>6008</v>
      </c>
      <c r="G2207" s="7" t="s">
        <v>6009</v>
      </c>
      <c r="H2207" s="7" t="s">
        <v>6010</v>
      </c>
      <c r="I2207" s="9">
        <v>45352</v>
      </c>
    </row>
    <row r="2208" spans="1:9" x14ac:dyDescent="0.15">
      <c r="A2208" s="6">
        <v>2207</v>
      </c>
      <c r="B2208" s="7" t="s">
        <v>8</v>
      </c>
      <c r="C2208" s="8">
        <v>1887</v>
      </c>
      <c r="D2208" s="9">
        <v>45425</v>
      </c>
      <c r="E2208" s="13" t="str">
        <f>+HYPERLINK("http://trademark.i-assist.jp/data/china/image_1887th/77058123.pdf","77058123")</f>
        <v>77058123</v>
      </c>
      <c r="F2208" s="7" t="s">
        <v>6011</v>
      </c>
      <c r="G2208" s="7" t="s">
        <v>6012</v>
      </c>
      <c r="H2208" s="7" t="s">
        <v>6013</v>
      </c>
      <c r="I2208" s="9">
        <v>45352</v>
      </c>
    </row>
    <row r="2209" spans="1:9" ht="27" x14ac:dyDescent="0.15">
      <c r="A2209" s="6">
        <v>2208</v>
      </c>
      <c r="B2209" s="7" t="s">
        <v>8</v>
      </c>
      <c r="C2209" s="8">
        <v>1887</v>
      </c>
      <c r="D2209" s="9">
        <v>45425</v>
      </c>
      <c r="E2209" s="13" t="str">
        <f>+HYPERLINK("http://trademark.i-assist.jp/data/china/image_1887th/77058558.pdf","77058558")</f>
        <v>77058558</v>
      </c>
      <c r="F2209" s="7" t="s">
        <v>6014</v>
      </c>
      <c r="G2209" s="7" t="s">
        <v>6015</v>
      </c>
      <c r="H2209" s="7" t="s">
        <v>6016</v>
      </c>
      <c r="I2209" s="9">
        <v>45352</v>
      </c>
    </row>
    <row r="2210" spans="1:9" x14ac:dyDescent="0.15">
      <c r="A2210" s="6">
        <v>2209</v>
      </c>
      <c r="B2210" s="7" t="s">
        <v>8</v>
      </c>
      <c r="C2210" s="8">
        <v>1887</v>
      </c>
      <c r="D2210" s="9">
        <v>45425</v>
      </c>
      <c r="E2210" s="13" t="str">
        <f>+HYPERLINK("http://trademark.i-assist.jp/data/china/image_1887th/77058814.pdf","77058814")</f>
        <v>77058814</v>
      </c>
      <c r="F2210" s="7" t="s">
        <v>6017</v>
      </c>
      <c r="G2210" s="7" t="s">
        <v>6018</v>
      </c>
      <c r="H2210" s="7" t="s">
        <v>6019</v>
      </c>
      <c r="I2210" s="9">
        <v>45352</v>
      </c>
    </row>
    <row r="2211" spans="1:9" x14ac:dyDescent="0.15">
      <c r="A2211" s="6">
        <v>2210</v>
      </c>
      <c r="B2211" s="7" t="s">
        <v>8</v>
      </c>
      <c r="C2211" s="8">
        <v>1887</v>
      </c>
      <c r="D2211" s="9">
        <v>45425</v>
      </c>
      <c r="E2211" s="13" t="str">
        <f>+HYPERLINK("http://trademark.i-assist.jp/data/china/image_1887th/77058914.pdf","77058914")</f>
        <v>77058914</v>
      </c>
      <c r="F2211" s="7" t="s">
        <v>6020</v>
      </c>
      <c r="G2211" s="7" t="s">
        <v>5996</v>
      </c>
      <c r="H2211" s="7" t="s">
        <v>6021</v>
      </c>
      <c r="I2211" s="9">
        <v>45352</v>
      </c>
    </row>
    <row r="2212" spans="1:9" x14ac:dyDescent="0.15">
      <c r="A2212" s="6">
        <v>2211</v>
      </c>
      <c r="B2212" s="7" t="s">
        <v>8</v>
      </c>
      <c r="C2212" s="8">
        <v>1887</v>
      </c>
      <c r="D2212" s="9">
        <v>45425</v>
      </c>
      <c r="E2212" s="13" t="str">
        <f>+HYPERLINK("http://trademark.i-assist.jp/data/china/image_1887th/77059021.pdf","77059021")</f>
        <v>77059021</v>
      </c>
      <c r="F2212" s="7" t="s">
        <v>6022</v>
      </c>
      <c r="G2212" s="7" t="s">
        <v>6023</v>
      </c>
      <c r="H2212" s="7" t="s">
        <v>6024</v>
      </c>
      <c r="I2212" s="9">
        <v>45352</v>
      </c>
    </row>
    <row r="2213" spans="1:9" ht="27" x14ac:dyDescent="0.15">
      <c r="A2213" s="6">
        <v>2212</v>
      </c>
      <c r="B2213" s="7" t="s">
        <v>8</v>
      </c>
      <c r="C2213" s="8">
        <v>1887</v>
      </c>
      <c r="D2213" s="9">
        <v>45425</v>
      </c>
      <c r="E2213" s="13" t="str">
        <f>+HYPERLINK("http://trademark.i-assist.jp/data/china/image_1887th/77059067.pdf","77059067")</f>
        <v>77059067</v>
      </c>
      <c r="F2213" s="7" t="s">
        <v>54</v>
      </c>
      <c r="G2213" s="7" t="s">
        <v>6025</v>
      </c>
      <c r="H2213" s="7" t="s">
        <v>6026</v>
      </c>
      <c r="I2213" s="9">
        <v>45352</v>
      </c>
    </row>
    <row r="2214" spans="1:9" x14ac:dyDescent="0.15">
      <c r="A2214" s="6">
        <v>2213</v>
      </c>
      <c r="B2214" s="7" t="s">
        <v>8</v>
      </c>
      <c r="C2214" s="8">
        <v>1887</v>
      </c>
      <c r="D2214" s="9">
        <v>45425</v>
      </c>
      <c r="E2214" s="13" t="str">
        <f>+HYPERLINK("http://trademark.i-assist.jp/data/china/image_1887th/77059161.pdf","77059161")</f>
        <v>77059161</v>
      </c>
      <c r="F2214" s="7" t="s">
        <v>6027</v>
      </c>
      <c r="G2214" s="7" t="s">
        <v>6028</v>
      </c>
      <c r="H2214" s="7" t="s">
        <v>6029</v>
      </c>
      <c r="I2214" s="9">
        <v>45352</v>
      </c>
    </row>
    <row r="2215" spans="1:9" x14ac:dyDescent="0.15">
      <c r="A2215" s="6">
        <v>2214</v>
      </c>
      <c r="B2215" s="7" t="s">
        <v>8</v>
      </c>
      <c r="C2215" s="8">
        <v>1887</v>
      </c>
      <c r="D2215" s="9">
        <v>45425</v>
      </c>
      <c r="E2215" s="13" t="str">
        <f>+HYPERLINK("http://trademark.i-assist.jp/data/china/image_1887th/77059684.pdf","77059684")</f>
        <v>77059684</v>
      </c>
      <c r="F2215" s="7" t="s">
        <v>6030</v>
      </c>
      <c r="G2215" s="7" t="s">
        <v>6031</v>
      </c>
      <c r="H2215" s="7" t="s">
        <v>6032</v>
      </c>
      <c r="I2215" s="9">
        <v>45352</v>
      </c>
    </row>
    <row r="2216" spans="1:9" x14ac:dyDescent="0.15">
      <c r="A2216" s="6">
        <v>2215</v>
      </c>
      <c r="B2216" s="7" t="s">
        <v>8</v>
      </c>
      <c r="C2216" s="8">
        <v>1887</v>
      </c>
      <c r="D2216" s="9">
        <v>45425</v>
      </c>
      <c r="E2216" s="13" t="str">
        <f>+HYPERLINK("http://trademark.i-assist.jp/data/china/image_1887th/77060100.pdf","77060100")</f>
        <v>77060100</v>
      </c>
      <c r="F2216" s="7" t="s">
        <v>6033</v>
      </c>
      <c r="G2216" s="7" t="s">
        <v>6034</v>
      </c>
      <c r="H2216" s="7" t="s">
        <v>6035</v>
      </c>
      <c r="I2216" s="9">
        <v>45352</v>
      </c>
    </row>
    <row r="2217" spans="1:9" x14ac:dyDescent="0.15">
      <c r="A2217" s="6">
        <v>2216</v>
      </c>
      <c r="B2217" s="7" t="s">
        <v>8</v>
      </c>
      <c r="C2217" s="8">
        <v>1887</v>
      </c>
      <c r="D2217" s="9">
        <v>45425</v>
      </c>
      <c r="E2217" s="13" t="str">
        <f>+HYPERLINK("http://trademark.i-assist.jp/data/china/image_1887th/77060801.pdf","77060801")</f>
        <v>77060801</v>
      </c>
      <c r="F2217" s="7" t="s">
        <v>6036</v>
      </c>
      <c r="G2217" s="7" t="s">
        <v>6037</v>
      </c>
      <c r="H2217" s="7" t="s">
        <v>6038</v>
      </c>
      <c r="I2217" s="9">
        <v>45352</v>
      </c>
    </row>
    <row r="2218" spans="1:9" x14ac:dyDescent="0.15">
      <c r="A2218" s="6">
        <v>2217</v>
      </c>
      <c r="B2218" s="7" t="s">
        <v>8</v>
      </c>
      <c r="C2218" s="8">
        <v>1887</v>
      </c>
      <c r="D2218" s="9">
        <v>45425</v>
      </c>
      <c r="E2218" s="13" t="str">
        <f>+HYPERLINK("http://trademark.i-assist.jp/data/china/image_1887th/77060819.pdf","77060819")</f>
        <v>77060819</v>
      </c>
      <c r="F2218" s="7" t="s">
        <v>6039</v>
      </c>
      <c r="G2218" s="7" t="s">
        <v>6040</v>
      </c>
      <c r="H2218" s="7" t="s">
        <v>6041</v>
      </c>
      <c r="I2218" s="9">
        <v>45352</v>
      </c>
    </row>
    <row r="2219" spans="1:9" x14ac:dyDescent="0.15">
      <c r="A2219" s="6">
        <v>2218</v>
      </c>
      <c r="B2219" s="7" t="s">
        <v>8</v>
      </c>
      <c r="C2219" s="8">
        <v>1887</v>
      </c>
      <c r="D2219" s="9">
        <v>45425</v>
      </c>
      <c r="E2219" s="13" t="str">
        <f>+HYPERLINK("http://trademark.i-assist.jp/data/china/image_1887th/77060901.pdf","77060901")</f>
        <v>77060901</v>
      </c>
      <c r="F2219" s="7" t="s">
        <v>6042</v>
      </c>
      <c r="G2219" s="7" t="s">
        <v>6043</v>
      </c>
      <c r="H2219" s="7" t="s">
        <v>6044</v>
      </c>
      <c r="I2219" s="9">
        <v>45352</v>
      </c>
    </row>
    <row r="2220" spans="1:9" x14ac:dyDescent="0.15">
      <c r="A2220" s="6">
        <v>2219</v>
      </c>
      <c r="B2220" s="7" t="s">
        <v>8</v>
      </c>
      <c r="C2220" s="8">
        <v>1887</v>
      </c>
      <c r="D2220" s="9">
        <v>45425</v>
      </c>
      <c r="E2220" s="13" t="str">
        <f>+HYPERLINK("http://trademark.i-assist.jp/data/china/image_1887th/77060995.pdf","77060995")</f>
        <v>77060995</v>
      </c>
      <c r="F2220" s="7" t="s">
        <v>6045</v>
      </c>
      <c r="G2220" s="7" t="s">
        <v>5728</v>
      </c>
      <c r="H2220" s="7" t="s">
        <v>6046</v>
      </c>
      <c r="I2220" s="9">
        <v>45352</v>
      </c>
    </row>
    <row r="2221" spans="1:9" x14ac:dyDescent="0.15">
      <c r="A2221" s="6">
        <v>2220</v>
      </c>
      <c r="B2221" s="7" t="s">
        <v>8</v>
      </c>
      <c r="C2221" s="8">
        <v>1887</v>
      </c>
      <c r="D2221" s="9">
        <v>45425</v>
      </c>
      <c r="E2221" s="13" t="str">
        <f>+HYPERLINK("http://trademark.i-assist.jp/data/china/image_1887th/77061075.pdf","77061075")</f>
        <v>77061075</v>
      </c>
      <c r="F2221" s="7" t="s">
        <v>6047</v>
      </c>
      <c r="G2221" s="7" t="s">
        <v>6048</v>
      </c>
      <c r="H2221" s="7" t="s">
        <v>6049</v>
      </c>
      <c r="I2221" s="9">
        <v>45352</v>
      </c>
    </row>
    <row r="2222" spans="1:9" x14ac:dyDescent="0.15">
      <c r="A2222" s="6">
        <v>2221</v>
      </c>
      <c r="B2222" s="7" t="s">
        <v>8</v>
      </c>
      <c r="C2222" s="8">
        <v>1887</v>
      </c>
      <c r="D2222" s="9">
        <v>45425</v>
      </c>
      <c r="E2222" s="13" t="str">
        <f>+HYPERLINK("http://trademark.i-assist.jp/data/china/image_1887th/77061410.pdf","77061410")</f>
        <v>77061410</v>
      </c>
      <c r="F2222" s="7" t="s">
        <v>6050</v>
      </c>
      <c r="G2222" s="7" t="s">
        <v>6051</v>
      </c>
      <c r="H2222" s="7" t="s">
        <v>6052</v>
      </c>
      <c r="I2222" s="9">
        <v>45352</v>
      </c>
    </row>
    <row r="2223" spans="1:9" x14ac:dyDescent="0.15">
      <c r="A2223" s="6">
        <v>2222</v>
      </c>
      <c r="B2223" s="7" t="s">
        <v>8</v>
      </c>
      <c r="C2223" s="8">
        <v>1887</v>
      </c>
      <c r="D2223" s="9">
        <v>45425</v>
      </c>
      <c r="E2223" s="13" t="str">
        <f>+HYPERLINK("http://trademark.i-assist.jp/data/china/image_1887th/77061460.pdf","77061460")</f>
        <v>77061460</v>
      </c>
      <c r="F2223" s="7" t="s">
        <v>6053</v>
      </c>
      <c r="G2223" s="7" t="s">
        <v>6054</v>
      </c>
      <c r="H2223" s="7" t="s">
        <v>6055</v>
      </c>
      <c r="I2223" s="9">
        <v>45352</v>
      </c>
    </row>
    <row r="2224" spans="1:9" x14ac:dyDescent="0.15">
      <c r="A2224" s="6">
        <v>2223</v>
      </c>
      <c r="B2224" s="7" t="s">
        <v>8</v>
      </c>
      <c r="C2224" s="8">
        <v>1887</v>
      </c>
      <c r="D2224" s="9">
        <v>45425</v>
      </c>
      <c r="E2224" s="13" t="str">
        <f>+HYPERLINK("http://trademark.i-assist.jp/data/china/image_1887th/77061781.pdf","77061781")</f>
        <v>77061781</v>
      </c>
      <c r="F2224" s="7" t="s">
        <v>54</v>
      </c>
      <c r="G2224" s="7" t="s">
        <v>6056</v>
      </c>
      <c r="H2224" s="7" t="s">
        <v>6057</v>
      </c>
      <c r="I2224" s="9">
        <v>45352</v>
      </c>
    </row>
    <row r="2225" spans="1:9" ht="27" x14ac:dyDescent="0.15">
      <c r="A2225" s="6">
        <v>2224</v>
      </c>
      <c r="B2225" s="7" t="s">
        <v>8</v>
      </c>
      <c r="C2225" s="8">
        <v>1887</v>
      </c>
      <c r="D2225" s="9">
        <v>45425</v>
      </c>
      <c r="E2225" s="13" t="str">
        <f>+HYPERLINK("http://trademark.i-assist.jp/data/china/image_1887th/77062021.pdf","77062021")</f>
        <v>77062021</v>
      </c>
      <c r="F2225" s="7" t="s">
        <v>6058</v>
      </c>
      <c r="G2225" s="7" t="s">
        <v>6059</v>
      </c>
      <c r="H2225" s="7" t="s">
        <v>6060</v>
      </c>
      <c r="I2225" s="9">
        <v>45352</v>
      </c>
    </row>
    <row r="2226" spans="1:9" x14ac:dyDescent="0.15">
      <c r="A2226" s="6">
        <v>2225</v>
      </c>
      <c r="B2226" s="7" t="s">
        <v>8</v>
      </c>
      <c r="C2226" s="8">
        <v>1887</v>
      </c>
      <c r="D2226" s="9">
        <v>45425</v>
      </c>
      <c r="E2226" s="13" t="str">
        <f>+HYPERLINK("http://trademark.i-assist.jp/data/china/image_1887th/77062048.pdf","77062048")</f>
        <v>77062048</v>
      </c>
      <c r="F2226" s="7" t="s">
        <v>6061</v>
      </c>
      <c r="G2226" s="7" t="s">
        <v>6062</v>
      </c>
      <c r="H2226" s="7" t="s">
        <v>6063</v>
      </c>
      <c r="I2226" s="9">
        <v>45352</v>
      </c>
    </row>
    <row r="2227" spans="1:9" x14ac:dyDescent="0.15">
      <c r="A2227" s="6">
        <v>2226</v>
      </c>
      <c r="B2227" s="7" t="s">
        <v>8</v>
      </c>
      <c r="C2227" s="8">
        <v>1887</v>
      </c>
      <c r="D2227" s="9">
        <v>45425</v>
      </c>
      <c r="E2227" s="13" t="str">
        <f>+HYPERLINK("http://trademark.i-assist.jp/data/china/image_1887th/77062508.pdf","77062508")</f>
        <v>77062508</v>
      </c>
      <c r="F2227" s="7" t="s">
        <v>6064</v>
      </c>
      <c r="G2227" s="7" t="s">
        <v>6065</v>
      </c>
      <c r="H2227" s="7" t="s">
        <v>6066</v>
      </c>
      <c r="I2227" s="9">
        <v>45352</v>
      </c>
    </row>
    <row r="2228" spans="1:9" x14ac:dyDescent="0.15">
      <c r="A2228" s="6">
        <v>2227</v>
      </c>
      <c r="B2228" s="7" t="s">
        <v>8</v>
      </c>
      <c r="C2228" s="8">
        <v>1887</v>
      </c>
      <c r="D2228" s="9">
        <v>45425</v>
      </c>
      <c r="E2228" s="13" t="str">
        <f>+HYPERLINK("http://trademark.i-assist.jp/data/china/image_1887th/77062511.pdf","77062511")</f>
        <v>77062511</v>
      </c>
      <c r="F2228" s="7" t="s">
        <v>6067</v>
      </c>
      <c r="G2228" s="7" t="s">
        <v>6068</v>
      </c>
      <c r="H2228" s="7" t="s">
        <v>6069</v>
      </c>
      <c r="I2228" s="9">
        <v>45352</v>
      </c>
    </row>
    <row r="2229" spans="1:9" x14ac:dyDescent="0.15">
      <c r="A2229" s="6">
        <v>2228</v>
      </c>
      <c r="B2229" s="7" t="s">
        <v>8</v>
      </c>
      <c r="C2229" s="8">
        <v>1887</v>
      </c>
      <c r="D2229" s="9">
        <v>45425</v>
      </c>
      <c r="E2229" s="13" t="str">
        <f>+HYPERLINK("http://trademark.i-assist.jp/data/china/image_1887th/77062834.pdf","77062834")</f>
        <v>77062834</v>
      </c>
      <c r="F2229" s="7" t="s">
        <v>6070</v>
      </c>
      <c r="G2229" s="7" t="s">
        <v>6071</v>
      </c>
      <c r="H2229" s="7" t="s">
        <v>6072</v>
      </c>
      <c r="I2229" s="9">
        <v>45353</v>
      </c>
    </row>
    <row r="2230" spans="1:9" x14ac:dyDescent="0.15">
      <c r="A2230" s="6">
        <v>2229</v>
      </c>
      <c r="B2230" s="7" t="s">
        <v>8</v>
      </c>
      <c r="C2230" s="8">
        <v>1887</v>
      </c>
      <c r="D2230" s="9">
        <v>45425</v>
      </c>
      <c r="E2230" s="13" t="str">
        <f>+HYPERLINK("http://trademark.i-assist.jp/data/china/image_1887th/77063244.pdf","77063244")</f>
        <v>77063244</v>
      </c>
      <c r="F2230" s="7" t="s">
        <v>6073</v>
      </c>
      <c r="G2230" s="7" t="s">
        <v>6074</v>
      </c>
      <c r="H2230" s="7" t="s">
        <v>6075</v>
      </c>
      <c r="I2230" s="9">
        <v>45353</v>
      </c>
    </row>
    <row r="2231" spans="1:9" x14ac:dyDescent="0.15">
      <c r="A2231" s="6">
        <v>2230</v>
      </c>
      <c r="B2231" s="7" t="s">
        <v>8</v>
      </c>
      <c r="C2231" s="8">
        <v>1887</v>
      </c>
      <c r="D2231" s="9">
        <v>45425</v>
      </c>
      <c r="E2231" s="13" t="str">
        <f>+HYPERLINK("http://trademark.i-assist.jp/data/china/image_1887th/77063388.pdf","77063388")</f>
        <v>77063388</v>
      </c>
      <c r="F2231" s="7" t="s">
        <v>6076</v>
      </c>
      <c r="G2231" s="7" t="s">
        <v>6077</v>
      </c>
      <c r="H2231" s="7" t="s">
        <v>6078</v>
      </c>
      <c r="I2231" s="9">
        <v>45353</v>
      </c>
    </row>
    <row r="2232" spans="1:9" x14ac:dyDescent="0.15">
      <c r="A2232" s="6">
        <v>2231</v>
      </c>
      <c r="B2232" s="7" t="s">
        <v>8</v>
      </c>
      <c r="C2232" s="8">
        <v>1887</v>
      </c>
      <c r="D2232" s="9">
        <v>45425</v>
      </c>
      <c r="E2232" s="13" t="str">
        <f>+HYPERLINK("http://trademark.i-assist.jp/data/china/image_1887th/77063718.pdf","77063718")</f>
        <v>77063718</v>
      </c>
      <c r="F2232" s="7" t="s">
        <v>6079</v>
      </c>
      <c r="G2232" s="7" t="s">
        <v>6080</v>
      </c>
      <c r="H2232" s="7" t="s">
        <v>6081</v>
      </c>
      <c r="I2232" s="9">
        <v>45353</v>
      </c>
    </row>
    <row r="2233" spans="1:9" x14ac:dyDescent="0.15">
      <c r="A2233" s="6">
        <v>2232</v>
      </c>
      <c r="B2233" s="7" t="s">
        <v>8</v>
      </c>
      <c r="C2233" s="8">
        <v>1887</v>
      </c>
      <c r="D2233" s="9">
        <v>45425</v>
      </c>
      <c r="E2233" s="13" t="str">
        <f>+HYPERLINK("http://trademark.i-assist.jp/data/china/image_1887th/77063884.pdf","77063884")</f>
        <v>77063884</v>
      </c>
      <c r="F2233" s="7" t="s">
        <v>6082</v>
      </c>
      <c r="G2233" s="7" t="s">
        <v>6083</v>
      </c>
      <c r="H2233" s="7" t="s">
        <v>6084</v>
      </c>
      <c r="I2233" s="9">
        <v>45353</v>
      </c>
    </row>
    <row r="2234" spans="1:9" x14ac:dyDescent="0.15">
      <c r="A2234" s="6">
        <v>2233</v>
      </c>
      <c r="B2234" s="7" t="s">
        <v>8</v>
      </c>
      <c r="C2234" s="8">
        <v>1887</v>
      </c>
      <c r="D2234" s="9">
        <v>45425</v>
      </c>
      <c r="E2234" s="13" t="str">
        <f>+HYPERLINK("http://trademark.i-assist.jp/data/china/image_1887th/77064065.pdf","77064065")</f>
        <v>77064065</v>
      </c>
      <c r="F2234" s="7" t="s">
        <v>6085</v>
      </c>
      <c r="G2234" s="7" t="s">
        <v>6086</v>
      </c>
      <c r="H2234" s="7" t="s">
        <v>6087</v>
      </c>
      <c r="I2234" s="9">
        <v>45353</v>
      </c>
    </row>
    <row r="2235" spans="1:9" x14ac:dyDescent="0.15">
      <c r="A2235" s="6">
        <v>2234</v>
      </c>
      <c r="B2235" s="7" t="s">
        <v>8</v>
      </c>
      <c r="C2235" s="8">
        <v>1887</v>
      </c>
      <c r="D2235" s="9">
        <v>45425</v>
      </c>
      <c r="E2235" s="13" t="str">
        <f>+HYPERLINK("http://trademark.i-assist.jp/data/china/image_1887th/77064156.pdf","77064156")</f>
        <v>77064156</v>
      </c>
      <c r="F2235" s="7" t="s">
        <v>6088</v>
      </c>
      <c r="G2235" s="7" t="s">
        <v>6089</v>
      </c>
      <c r="H2235" s="7" t="s">
        <v>6090</v>
      </c>
      <c r="I2235" s="9">
        <v>45353</v>
      </c>
    </row>
    <row r="2236" spans="1:9" x14ac:dyDescent="0.15">
      <c r="A2236" s="6">
        <v>2235</v>
      </c>
      <c r="B2236" s="7" t="s">
        <v>8</v>
      </c>
      <c r="C2236" s="8">
        <v>1887</v>
      </c>
      <c r="D2236" s="9">
        <v>45425</v>
      </c>
      <c r="E2236" s="13" t="str">
        <f>+HYPERLINK("http://trademark.i-assist.jp/data/china/image_1887th/77064205.pdf","77064205")</f>
        <v>77064205</v>
      </c>
      <c r="F2236" s="7" t="s">
        <v>6091</v>
      </c>
      <c r="G2236" s="7" t="s">
        <v>3578</v>
      </c>
      <c r="H2236" s="7" t="s">
        <v>6092</v>
      </c>
      <c r="I2236" s="9">
        <v>45353</v>
      </c>
    </row>
    <row r="2237" spans="1:9" ht="27" x14ac:dyDescent="0.15">
      <c r="A2237" s="6">
        <v>2236</v>
      </c>
      <c r="B2237" s="7" t="s">
        <v>8</v>
      </c>
      <c r="C2237" s="8">
        <v>1887</v>
      </c>
      <c r="D2237" s="9">
        <v>45425</v>
      </c>
      <c r="E2237" s="13" t="str">
        <f>+HYPERLINK("http://trademark.i-assist.jp/data/china/image_1887th/77064725.pdf","77064725")</f>
        <v>77064725</v>
      </c>
      <c r="F2237" s="7" t="s">
        <v>6093</v>
      </c>
      <c r="G2237" s="7" t="s">
        <v>6094</v>
      </c>
      <c r="H2237" s="7" t="s">
        <v>6095</v>
      </c>
      <c r="I2237" s="9">
        <v>45353</v>
      </c>
    </row>
    <row r="2238" spans="1:9" x14ac:dyDescent="0.15">
      <c r="A2238" s="6">
        <v>2237</v>
      </c>
      <c r="B2238" s="7" t="s">
        <v>8</v>
      </c>
      <c r="C2238" s="8">
        <v>1887</v>
      </c>
      <c r="D2238" s="9">
        <v>45425</v>
      </c>
      <c r="E2238" s="13" t="str">
        <f>+HYPERLINK("http://trademark.i-assist.jp/data/china/image_1887th/77065217.pdf","77065217")</f>
        <v>77065217</v>
      </c>
      <c r="F2238" s="7" t="s">
        <v>6096</v>
      </c>
      <c r="G2238" s="7" t="s">
        <v>6097</v>
      </c>
      <c r="H2238" s="7" t="s">
        <v>6098</v>
      </c>
      <c r="I2238" s="9">
        <v>45353</v>
      </c>
    </row>
    <row r="2239" spans="1:9" x14ac:dyDescent="0.15">
      <c r="A2239" s="6">
        <v>2238</v>
      </c>
      <c r="B2239" s="7" t="s">
        <v>8</v>
      </c>
      <c r="C2239" s="8">
        <v>1887</v>
      </c>
      <c r="D2239" s="9">
        <v>45425</v>
      </c>
      <c r="E2239" s="13" t="str">
        <f>+HYPERLINK("http://trademark.i-assist.jp/data/china/image_1887th/77065220.pdf","77065220")</f>
        <v>77065220</v>
      </c>
      <c r="F2239" s="7" t="s">
        <v>6099</v>
      </c>
      <c r="G2239" s="7" t="s">
        <v>6097</v>
      </c>
      <c r="H2239" s="7" t="s">
        <v>6100</v>
      </c>
      <c r="I2239" s="9">
        <v>45353</v>
      </c>
    </row>
    <row r="2240" spans="1:9" x14ac:dyDescent="0.15">
      <c r="A2240" s="6">
        <v>2239</v>
      </c>
      <c r="B2240" s="7" t="s">
        <v>8</v>
      </c>
      <c r="C2240" s="8">
        <v>1887</v>
      </c>
      <c r="D2240" s="9">
        <v>45425</v>
      </c>
      <c r="E2240" s="13" t="str">
        <f>+HYPERLINK("http://trademark.i-assist.jp/data/china/image_1887th/77065354.pdf","77065354")</f>
        <v>77065354</v>
      </c>
      <c r="F2240" s="7" t="s">
        <v>6101</v>
      </c>
      <c r="G2240" s="7" t="s">
        <v>6102</v>
      </c>
      <c r="H2240" s="7" t="s">
        <v>6103</v>
      </c>
      <c r="I2240" s="9">
        <v>45353</v>
      </c>
    </row>
    <row r="2241" spans="1:9" ht="27" x14ac:dyDescent="0.15">
      <c r="A2241" s="6">
        <v>2240</v>
      </c>
      <c r="B2241" s="7" t="s">
        <v>8</v>
      </c>
      <c r="C2241" s="8">
        <v>1887</v>
      </c>
      <c r="D2241" s="9">
        <v>45425</v>
      </c>
      <c r="E2241" s="13" t="str">
        <f>+HYPERLINK("http://trademark.i-assist.jp/data/china/image_1887th/77065540.pdf","77065540")</f>
        <v>77065540</v>
      </c>
      <c r="F2241" s="7" t="s">
        <v>6104</v>
      </c>
      <c r="G2241" s="7" t="s">
        <v>6105</v>
      </c>
      <c r="H2241" s="7" t="s">
        <v>6106</v>
      </c>
      <c r="I2241" s="9">
        <v>45353</v>
      </c>
    </row>
    <row r="2242" spans="1:9" x14ac:dyDescent="0.15">
      <c r="A2242" s="6">
        <v>2241</v>
      </c>
      <c r="B2242" s="7" t="s">
        <v>8</v>
      </c>
      <c r="C2242" s="8">
        <v>1887</v>
      </c>
      <c r="D2242" s="9">
        <v>45425</v>
      </c>
      <c r="E2242" s="13" t="str">
        <f>+HYPERLINK("http://trademark.i-assist.jp/data/china/image_1887th/77065608.pdf","77065608")</f>
        <v>77065608</v>
      </c>
      <c r="F2242" s="7" t="s">
        <v>6107</v>
      </c>
      <c r="G2242" s="7" t="s">
        <v>6108</v>
      </c>
      <c r="H2242" s="7" t="s">
        <v>6109</v>
      </c>
      <c r="I2242" s="9">
        <v>45353</v>
      </c>
    </row>
    <row r="2243" spans="1:9" x14ac:dyDescent="0.15">
      <c r="A2243" s="6">
        <v>2242</v>
      </c>
      <c r="B2243" s="7" t="s">
        <v>8</v>
      </c>
      <c r="C2243" s="8">
        <v>1887</v>
      </c>
      <c r="D2243" s="9">
        <v>45425</v>
      </c>
      <c r="E2243" s="13" t="str">
        <f>+HYPERLINK("http://trademark.i-assist.jp/data/china/image_1887th/77065803.pdf","77065803")</f>
        <v>77065803</v>
      </c>
      <c r="F2243" s="7" t="s">
        <v>6110</v>
      </c>
      <c r="G2243" s="7" t="s">
        <v>6111</v>
      </c>
      <c r="H2243" s="7" t="s">
        <v>6112</v>
      </c>
      <c r="I2243" s="9">
        <v>45353</v>
      </c>
    </row>
    <row r="2244" spans="1:9" x14ac:dyDescent="0.15">
      <c r="A2244" s="6">
        <v>2243</v>
      </c>
      <c r="B2244" s="7" t="s">
        <v>8</v>
      </c>
      <c r="C2244" s="8">
        <v>1887</v>
      </c>
      <c r="D2244" s="9">
        <v>45425</v>
      </c>
      <c r="E2244" s="13" t="str">
        <f>+HYPERLINK("http://trademark.i-assist.jp/data/china/image_1887th/77065965.pdf","77065965")</f>
        <v>77065965</v>
      </c>
      <c r="F2244" s="7" t="s">
        <v>6113</v>
      </c>
      <c r="G2244" s="7" t="s">
        <v>6114</v>
      </c>
      <c r="H2244" s="7" t="s">
        <v>6115</v>
      </c>
      <c r="I2244" s="9">
        <v>45353</v>
      </c>
    </row>
    <row r="2245" spans="1:9" x14ac:dyDescent="0.15">
      <c r="A2245" s="6">
        <v>2244</v>
      </c>
      <c r="B2245" s="7" t="s">
        <v>8</v>
      </c>
      <c r="C2245" s="8">
        <v>1887</v>
      </c>
      <c r="D2245" s="9">
        <v>45425</v>
      </c>
      <c r="E2245" s="13" t="str">
        <f>+HYPERLINK("http://trademark.i-assist.jp/data/china/image_1887th/77066136.pdf","77066136")</f>
        <v>77066136</v>
      </c>
      <c r="F2245" s="7" t="s">
        <v>6116</v>
      </c>
      <c r="G2245" s="7" t="s">
        <v>6117</v>
      </c>
      <c r="H2245" s="7" t="s">
        <v>6118</v>
      </c>
      <c r="I2245" s="9">
        <v>45353</v>
      </c>
    </row>
    <row r="2246" spans="1:9" x14ac:dyDescent="0.15">
      <c r="A2246" s="6">
        <v>2245</v>
      </c>
      <c r="B2246" s="7" t="s">
        <v>8</v>
      </c>
      <c r="C2246" s="8">
        <v>1887</v>
      </c>
      <c r="D2246" s="9">
        <v>45425</v>
      </c>
      <c r="E2246" s="13" t="str">
        <f>+HYPERLINK("http://trademark.i-assist.jp/data/china/image_1887th/77066232.pdf","77066232")</f>
        <v>77066232</v>
      </c>
      <c r="F2246" s="7" t="s">
        <v>6119</v>
      </c>
      <c r="G2246" s="7" t="s">
        <v>6120</v>
      </c>
      <c r="H2246" s="7" t="s">
        <v>6121</v>
      </c>
      <c r="I2246" s="9">
        <v>45353</v>
      </c>
    </row>
    <row r="2247" spans="1:9" x14ac:dyDescent="0.15">
      <c r="A2247" s="6">
        <v>2246</v>
      </c>
      <c r="B2247" s="7" t="s">
        <v>8</v>
      </c>
      <c r="C2247" s="8">
        <v>1887</v>
      </c>
      <c r="D2247" s="9">
        <v>45425</v>
      </c>
      <c r="E2247" s="13" t="str">
        <f>+HYPERLINK("http://trademark.i-assist.jp/data/china/image_1887th/77066290.pdf","77066290")</f>
        <v>77066290</v>
      </c>
      <c r="F2247" s="7" t="s">
        <v>6122</v>
      </c>
      <c r="G2247" s="7" t="s">
        <v>6102</v>
      </c>
      <c r="H2247" s="7" t="s">
        <v>6123</v>
      </c>
      <c r="I2247" s="9">
        <v>45353</v>
      </c>
    </row>
    <row r="2248" spans="1:9" x14ac:dyDescent="0.15">
      <c r="A2248" s="6">
        <v>2247</v>
      </c>
      <c r="B2248" s="7" t="s">
        <v>8</v>
      </c>
      <c r="C2248" s="8">
        <v>1887</v>
      </c>
      <c r="D2248" s="9">
        <v>45425</v>
      </c>
      <c r="E2248" s="13" t="str">
        <f>+HYPERLINK("http://trademark.i-assist.jp/data/china/image_1887th/77066437.pdf","77066437")</f>
        <v>77066437</v>
      </c>
      <c r="F2248" s="7" t="s">
        <v>6124</v>
      </c>
      <c r="G2248" s="7" t="s">
        <v>6086</v>
      </c>
      <c r="H2248" s="7" t="s">
        <v>6125</v>
      </c>
      <c r="I2248" s="9">
        <v>45353</v>
      </c>
    </row>
    <row r="2249" spans="1:9" x14ac:dyDescent="0.15">
      <c r="A2249" s="6">
        <v>2248</v>
      </c>
      <c r="B2249" s="7" t="s">
        <v>8</v>
      </c>
      <c r="C2249" s="8">
        <v>1887</v>
      </c>
      <c r="D2249" s="9">
        <v>45425</v>
      </c>
      <c r="E2249" s="13" t="str">
        <f>+HYPERLINK("http://trademark.i-assist.jp/data/china/image_1887th/77066661.pdf","77066661")</f>
        <v>77066661</v>
      </c>
      <c r="F2249" s="7" t="s">
        <v>6126</v>
      </c>
      <c r="G2249" s="7" t="s">
        <v>3116</v>
      </c>
      <c r="H2249" s="7" t="s">
        <v>6127</v>
      </c>
      <c r="I2249" s="9">
        <v>45353</v>
      </c>
    </row>
    <row r="2250" spans="1:9" x14ac:dyDescent="0.15">
      <c r="A2250" s="6">
        <v>2249</v>
      </c>
      <c r="B2250" s="7" t="s">
        <v>8</v>
      </c>
      <c r="C2250" s="8">
        <v>1887</v>
      </c>
      <c r="D2250" s="9">
        <v>45425</v>
      </c>
      <c r="E2250" s="13" t="str">
        <f>+HYPERLINK("http://trademark.i-assist.jp/data/china/image_1887th/77066705.pdf","77066705")</f>
        <v>77066705</v>
      </c>
      <c r="F2250" s="7" t="s">
        <v>6128</v>
      </c>
      <c r="G2250" s="7" t="s">
        <v>6129</v>
      </c>
      <c r="H2250" s="7" t="s">
        <v>6130</v>
      </c>
      <c r="I2250" s="9">
        <v>45353</v>
      </c>
    </row>
    <row r="2251" spans="1:9" ht="27" x14ac:dyDescent="0.15">
      <c r="A2251" s="6">
        <v>2250</v>
      </c>
      <c r="B2251" s="7" t="s">
        <v>8</v>
      </c>
      <c r="C2251" s="8">
        <v>1887</v>
      </c>
      <c r="D2251" s="9">
        <v>45425</v>
      </c>
      <c r="E2251" s="13" t="str">
        <f>+HYPERLINK("http://trademark.i-assist.jp/data/china/image_1887th/77066713.pdf","77066713")</f>
        <v>77066713</v>
      </c>
      <c r="F2251" s="7" t="s">
        <v>6131</v>
      </c>
      <c r="G2251" s="7" t="s">
        <v>6132</v>
      </c>
      <c r="H2251" s="7" t="s">
        <v>6133</v>
      </c>
      <c r="I2251" s="9">
        <v>45353</v>
      </c>
    </row>
    <row r="2252" spans="1:9" ht="27" x14ac:dyDescent="0.15">
      <c r="A2252" s="6">
        <v>2251</v>
      </c>
      <c r="B2252" s="7" t="s">
        <v>8</v>
      </c>
      <c r="C2252" s="8">
        <v>1887</v>
      </c>
      <c r="D2252" s="9">
        <v>45425</v>
      </c>
      <c r="E2252" s="13" t="str">
        <f>+HYPERLINK("http://trademark.i-assist.jp/data/china/image_1887th/77066774.pdf","77066774")</f>
        <v>77066774</v>
      </c>
      <c r="F2252" s="7" t="s">
        <v>6134</v>
      </c>
      <c r="G2252" s="7" t="s">
        <v>6135</v>
      </c>
      <c r="H2252" s="7" t="s">
        <v>6136</v>
      </c>
      <c r="I2252" s="9">
        <v>45353</v>
      </c>
    </row>
    <row r="2253" spans="1:9" x14ac:dyDescent="0.15">
      <c r="A2253" s="6">
        <v>2252</v>
      </c>
      <c r="B2253" s="7" t="s">
        <v>8</v>
      </c>
      <c r="C2253" s="8">
        <v>1887</v>
      </c>
      <c r="D2253" s="9">
        <v>45425</v>
      </c>
      <c r="E2253" s="13" t="str">
        <f>+HYPERLINK("http://trademark.i-assist.jp/data/china/image_1887th/77066776.pdf","77066776")</f>
        <v>77066776</v>
      </c>
      <c r="F2253" s="7" t="s">
        <v>6137</v>
      </c>
      <c r="G2253" s="7" t="s">
        <v>6138</v>
      </c>
      <c r="H2253" s="7" t="s">
        <v>6139</v>
      </c>
      <c r="I2253" s="9">
        <v>45353</v>
      </c>
    </row>
    <row r="2254" spans="1:9" ht="27" x14ac:dyDescent="0.15">
      <c r="A2254" s="6">
        <v>2253</v>
      </c>
      <c r="B2254" s="7" t="s">
        <v>8</v>
      </c>
      <c r="C2254" s="8">
        <v>1887</v>
      </c>
      <c r="D2254" s="9">
        <v>45425</v>
      </c>
      <c r="E2254" s="13" t="str">
        <f>+HYPERLINK("http://trademark.i-assist.jp/data/china/image_1887th/77067199.pdf","77067199")</f>
        <v>77067199</v>
      </c>
      <c r="F2254" s="7" t="s">
        <v>6140</v>
      </c>
      <c r="G2254" s="7" t="s">
        <v>6141</v>
      </c>
      <c r="H2254" s="7" t="s">
        <v>6142</v>
      </c>
      <c r="I2254" s="9">
        <v>45353</v>
      </c>
    </row>
    <row r="2255" spans="1:9" x14ac:dyDescent="0.15">
      <c r="A2255" s="6">
        <v>2254</v>
      </c>
      <c r="B2255" s="7" t="s">
        <v>8</v>
      </c>
      <c r="C2255" s="8">
        <v>1887</v>
      </c>
      <c r="D2255" s="9">
        <v>45425</v>
      </c>
      <c r="E2255" s="13" t="str">
        <f>+HYPERLINK("http://trademark.i-assist.jp/data/china/image_1887th/77067307.pdf","77067307")</f>
        <v>77067307</v>
      </c>
      <c r="F2255" s="7" t="s">
        <v>6143</v>
      </c>
      <c r="G2255" s="7" t="s">
        <v>6144</v>
      </c>
      <c r="H2255" s="7" t="s">
        <v>6145</v>
      </c>
      <c r="I2255" s="9">
        <v>45353</v>
      </c>
    </row>
    <row r="2256" spans="1:9" x14ac:dyDescent="0.15">
      <c r="A2256" s="6">
        <v>2255</v>
      </c>
      <c r="B2256" s="7" t="s">
        <v>8</v>
      </c>
      <c r="C2256" s="8">
        <v>1887</v>
      </c>
      <c r="D2256" s="9">
        <v>45425</v>
      </c>
      <c r="E2256" s="13" t="str">
        <f>+HYPERLINK("http://trademark.i-assist.jp/data/china/image_1887th/77067365.pdf","77067365")</f>
        <v>77067365</v>
      </c>
      <c r="F2256" s="7" t="s">
        <v>6146</v>
      </c>
      <c r="G2256" s="7" t="s">
        <v>6147</v>
      </c>
      <c r="H2256" s="7" t="s">
        <v>6148</v>
      </c>
      <c r="I2256" s="9">
        <v>45353</v>
      </c>
    </row>
    <row r="2257" spans="1:9" x14ac:dyDescent="0.15">
      <c r="A2257" s="6">
        <v>2256</v>
      </c>
      <c r="B2257" s="7" t="s">
        <v>8</v>
      </c>
      <c r="C2257" s="8">
        <v>1887</v>
      </c>
      <c r="D2257" s="9">
        <v>45425</v>
      </c>
      <c r="E2257" s="13" t="str">
        <f>+HYPERLINK("http://trademark.i-assist.jp/data/china/image_1887th/77067585.pdf","77067585")</f>
        <v>77067585</v>
      </c>
      <c r="F2257" s="7" t="s">
        <v>6149</v>
      </c>
      <c r="G2257" s="7" t="s">
        <v>6150</v>
      </c>
      <c r="H2257" s="7" t="s">
        <v>6151</v>
      </c>
      <c r="I2257" s="9">
        <v>45353</v>
      </c>
    </row>
    <row r="2258" spans="1:9" x14ac:dyDescent="0.15">
      <c r="A2258" s="6">
        <v>2257</v>
      </c>
      <c r="B2258" s="7" t="s">
        <v>8</v>
      </c>
      <c r="C2258" s="8">
        <v>1887</v>
      </c>
      <c r="D2258" s="9">
        <v>45425</v>
      </c>
      <c r="E2258" s="13" t="str">
        <f>+HYPERLINK("http://trademark.i-assist.jp/data/china/image_1887th/77067586.pdf","77067586")</f>
        <v>77067586</v>
      </c>
      <c r="F2258" s="7" t="s">
        <v>6152</v>
      </c>
      <c r="G2258" s="7" t="s">
        <v>6153</v>
      </c>
      <c r="H2258" s="7" t="s">
        <v>6154</v>
      </c>
      <c r="I2258" s="9">
        <v>45353</v>
      </c>
    </row>
    <row r="2259" spans="1:9" x14ac:dyDescent="0.15">
      <c r="A2259" s="6">
        <v>2258</v>
      </c>
      <c r="B2259" s="7" t="s">
        <v>8</v>
      </c>
      <c r="C2259" s="8">
        <v>1887</v>
      </c>
      <c r="D2259" s="9">
        <v>45425</v>
      </c>
      <c r="E2259" s="13" t="str">
        <f>+HYPERLINK("http://trademark.i-assist.jp/data/china/image_1887th/77068000.pdf","77068000")</f>
        <v>77068000</v>
      </c>
      <c r="F2259" s="7" t="s">
        <v>6155</v>
      </c>
      <c r="G2259" s="7" t="s">
        <v>6156</v>
      </c>
      <c r="H2259" s="7" t="s">
        <v>6157</v>
      </c>
      <c r="I2259" s="9">
        <v>45353</v>
      </c>
    </row>
    <row r="2260" spans="1:9" x14ac:dyDescent="0.15">
      <c r="A2260" s="6">
        <v>2259</v>
      </c>
      <c r="B2260" s="7" t="s">
        <v>8</v>
      </c>
      <c r="C2260" s="8">
        <v>1887</v>
      </c>
      <c r="D2260" s="9">
        <v>45425</v>
      </c>
      <c r="E2260" s="13" t="str">
        <f>+HYPERLINK("http://trademark.i-assist.jp/data/china/image_1887th/77068083.pdf","77068083")</f>
        <v>77068083</v>
      </c>
      <c r="F2260" s="7" t="s">
        <v>6158</v>
      </c>
      <c r="G2260" s="7" t="s">
        <v>6159</v>
      </c>
      <c r="H2260" s="7" t="s">
        <v>6160</v>
      </c>
      <c r="I2260" s="9">
        <v>45353</v>
      </c>
    </row>
    <row r="2261" spans="1:9" x14ac:dyDescent="0.15">
      <c r="A2261" s="6">
        <v>2260</v>
      </c>
      <c r="B2261" s="7" t="s">
        <v>8</v>
      </c>
      <c r="C2261" s="8">
        <v>1887</v>
      </c>
      <c r="D2261" s="9">
        <v>45425</v>
      </c>
      <c r="E2261" s="13" t="str">
        <f>+HYPERLINK("http://trademark.i-assist.jp/data/china/image_1887th/77068316.pdf","77068316")</f>
        <v>77068316</v>
      </c>
      <c r="F2261" s="7" t="s">
        <v>6161</v>
      </c>
      <c r="G2261" s="7" t="s">
        <v>6162</v>
      </c>
      <c r="H2261" s="7" t="s">
        <v>6163</v>
      </c>
      <c r="I2261" s="9">
        <v>45353</v>
      </c>
    </row>
    <row r="2262" spans="1:9" x14ac:dyDescent="0.15">
      <c r="A2262" s="6">
        <v>2261</v>
      </c>
      <c r="B2262" s="7" t="s">
        <v>8</v>
      </c>
      <c r="C2262" s="8">
        <v>1887</v>
      </c>
      <c r="D2262" s="9">
        <v>45425</v>
      </c>
      <c r="E2262" s="13" t="str">
        <f>+HYPERLINK("http://trademark.i-assist.jp/data/china/image_1887th/77068493.pdf","77068493")</f>
        <v>77068493</v>
      </c>
      <c r="F2262" s="7" t="s">
        <v>6164</v>
      </c>
      <c r="G2262" s="7" t="s">
        <v>3578</v>
      </c>
      <c r="H2262" s="7" t="s">
        <v>6165</v>
      </c>
      <c r="I2262" s="9">
        <v>45353</v>
      </c>
    </row>
    <row r="2263" spans="1:9" ht="27" x14ac:dyDescent="0.15">
      <c r="A2263" s="6">
        <v>2262</v>
      </c>
      <c r="B2263" s="7" t="s">
        <v>8</v>
      </c>
      <c r="C2263" s="8">
        <v>1887</v>
      </c>
      <c r="D2263" s="9">
        <v>45425</v>
      </c>
      <c r="E2263" s="13" t="str">
        <f>+HYPERLINK("http://trademark.i-assist.jp/data/china/image_1887th/77068846.pdf","77068846")</f>
        <v>77068846</v>
      </c>
      <c r="F2263" s="7" t="s">
        <v>6166</v>
      </c>
      <c r="G2263" s="7" t="s">
        <v>6167</v>
      </c>
      <c r="H2263" s="7" t="s">
        <v>6168</v>
      </c>
      <c r="I2263" s="9">
        <v>45353</v>
      </c>
    </row>
    <row r="2264" spans="1:9" x14ac:dyDescent="0.15">
      <c r="A2264" s="6">
        <v>2263</v>
      </c>
      <c r="B2264" s="7" t="s">
        <v>8</v>
      </c>
      <c r="C2264" s="8">
        <v>1887</v>
      </c>
      <c r="D2264" s="9">
        <v>45425</v>
      </c>
      <c r="E2264" s="13" t="str">
        <f>+HYPERLINK("http://trademark.i-assist.jp/data/china/image_1887th/77069039.pdf","77069039")</f>
        <v>77069039</v>
      </c>
      <c r="F2264" s="7" t="s">
        <v>6169</v>
      </c>
      <c r="G2264" s="7" t="s">
        <v>6097</v>
      </c>
      <c r="H2264" s="7" t="s">
        <v>6170</v>
      </c>
      <c r="I2264" s="9">
        <v>45353</v>
      </c>
    </row>
    <row r="2265" spans="1:9" x14ac:dyDescent="0.15">
      <c r="A2265" s="6">
        <v>2264</v>
      </c>
      <c r="B2265" s="7" t="s">
        <v>8</v>
      </c>
      <c r="C2265" s="8">
        <v>1887</v>
      </c>
      <c r="D2265" s="9">
        <v>45425</v>
      </c>
      <c r="E2265" s="13" t="str">
        <f>+HYPERLINK("http://trademark.i-assist.jp/data/china/image_1887th/77069342.pdf","77069342")</f>
        <v>77069342</v>
      </c>
      <c r="F2265" s="7" t="s">
        <v>6171</v>
      </c>
      <c r="G2265" s="7" t="s">
        <v>6172</v>
      </c>
      <c r="H2265" s="7" t="s">
        <v>6173</v>
      </c>
      <c r="I2265" s="9">
        <v>45354</v>
      </c>
    </row>
    <row r="2266" spans="1:9" x14ac:dyDescent="0.15">
      <c r="A2266" s="6">
        <v>2265</v>
      </c>
      <c r="B2266" s="7" t="s">
        <v>8</v>
      </c>
      <c r="C2266" s="8">
        <v>1887</v>
      </c>
      <c r="D2266" s="9">
        <v>45425</v>
      </c>
      <c r="E2266" s="13" t="str">
        <f>+HYPERLINK("http://trademark.i-assist.jp/data/china/image_1887th/77069554.pdf","77069554")</f>
        <v>77069554</v>
      </c>
      <c r="F2266" s="7" t="s">
        <v>6174</v>
      </c>
      <c r="G2266" s="7" t="s">
        <v>6175</v>
      </c>
      <c r="H2266" s="7" t="s">
        <v>6176</v>
      </c>
      <c r="I2266" s="9">
        <v>45354</v>
      </c>
    </row>
    <row r="2267" spans="1:9" x14ac:dyDescent="0.15">
      <c r="A2267" s="6">
        <v>2266</v>
      </c>
      <c r="B2267" s="7" t="s">
        <v>8</v>
      </c>
      <c r="C2267" s="8">
        <v>1887</v>
      </c>
      <c r="D2267" s="9">
        <v>45425</v>
      </c>
      <c r="E2267" s="13" t="str">
        <f>+HYPERLINK("http://trademark.i-assist.jp/data/china/image_1887th/77069693.pdf","77069693")</f>
        <v>77069693</v>
      </c>
      <c r="F2267" s="7" t="s">
        <v>6177</v>
      </c>
      <c r="G2267" s="7" t="s">
        <v>6178</v>
      </c>
      <c r="H2267" s="7" t="s">
        <v>6179</v>
      </c>
      <c r="I2267" s="9">
        <v>45354</v>
      </c>
    </row>
    <row r="2268" spans="1:9" ht="27" x14ac:dyDescent="0.15">
      <c r="A2268" s="6">
        <v>2267</v>
      </c>
      <c r="B2268" s="7" t="s">
        <v>8</v>
      </c>
      <c r="C2268" s="8">
        <v>1887</v>
      </c>
      <c r="D2268" s="9">
        <v>45425</v>
      </c>
      <c r="E2268" s="13" t="str">
        <f>+HYPERLINK("http://trademark.i-assist.jp/data/china/image_1887th/77070441.pdf","77070441")</f>
        <v>77070441</v>
      </c>
      <c r="F2268" s="7" t="s">
        <v>6180</v>
      </c>
      <c r="G2268" s="7" t="s">
        <v>6181</v>
      </c>
      <c r="H2268" s="7" t="s">
        <v>6182</v>
      </c>
      <c r="I2268" s="9">
        <v>45354</v>
      </c>
    </row>
    <row r="2269" spans="1:9" x14ac:dyDescent="0.15">
      <c r="A2269" s="6">
        <v>2268</v>
      </c>
      <c r="B2269" s="7" t="s">
        <v>8</v>
      </c>
      <c r="C2269" s="8">
        <v>1887</v>
      </c>
      <c r="D2269" s="9">
        <v>45425</v>
      </c>
      <c r="E2269" s="13" t="str">
        <f>+HYPERLINK("http://trademark.i-assist.jp/data/china/image_1887th/77070766.pdf","77070766")</f>
        <v>77070766</v>
      </c>
      <c r="F2269" s="7" t="s">
        <v>6183</v>
      </c>
      <c r="G2269" s="7" t="s">
        <v>6184</v>
      </c>
      <c r="H2269" s="7" t="s">
        <v>6185</v>
      </c>
      <c r="I2269" s="9">
        <v>45354</v>
      </c>
    </row>
    <row r="2270" spans="1:9" x14ac:dyDescent="0.15">
      <c r="A2270" s="6">
        <v>2269</v>
      </c>
      <c r="B2270" s="7" t="s">
        <v>8</v>
      </c>
      <c r="C2270" s="8">
        <v>1887</v>
      </c>
      <c r="D2270" s="9">
        <v>45425</v>
      </c>
      <c r="E2270" s="13" t="str">
        <f>+HYPERLINK("http://trademark.i-assist.jp/data/china/image_1887th/77070853.pdf","77070853")</f>
        <v>77070853</v>
      </c>
      <c r="F2270" s="7" t="s">
        <v>6186</v>
      </c>
      <c r="G2270" s="7" t="s">
        <v>6187</v>
      </c>
      <c r="H2270" s="7" t="s">
        <v>6188</v>
      </c>
      <c r="I2270" s="9">
        <v>45354</v>
      </c>
    </row>
    <row r="2271" spans="1:9" x14ac:dyDescent="0.15">
      <c r="A2271" s="6">
        <v>2270</v>
      </c>
      <c r="B2271" s="7" t="s">
        <v>8</v>
      </c>
      <c r="C2271" s="8">
        <v>1887</v>
      </c>
      <c r="D2271" s="9">
        <v>45425</v>
      </c>
      <c r="E2271" s="13" t="str">
        <f>+HYPERLINK("http://trademark.i-assist.jp/data/china/image_1887th/77071094.pdf","77071094")</f>
        <v>77071094</v>
      </c>
      <c r="F2271" s="7" t="s">
        <v>6189</v>
      </c>
      <c r="G2271" s="7" t="s">
        <v>6184</v>
      </c>
      <c r="H2271" s="7" t="s">
        <v>6190</v>
      </c>
      <c r="I2271" s="9">
        <v>45354</v>
      </c>
    </row>
    <row r="2272" spans="1:9" ht="27" x14ac:dyDescent="0.15">
      <c r="A2272" s="6">
        <v>2271</v>
      </c>
      <c r="B2272" s="7" t="s">
        <v>8</v>
      </c>
      <c r="C2272" s="8">
        <v>1887</v>
      </c>
      <c r="D2272" s="9">
        <v>45425</v>
      </c>
      <c r="E2272" s="13" t="str">
        <f>+HYPERLINK("http://trademark.i-assist.jp/data/china/image_1887th/77071419.pdf","77071419")</f>
        <v>77071419</v>
      </c>
      <c r="F2272" s="7" t="s">
        <v>6191</v>
      </c>
      <c r="G2272" s="7" t="s">
        <v>6105</v>
      </c>
      <c r="H2272" s="7" t="s">
        <v>6192</v>
      </c>
      <c r="I2272" s="9">
        <v>45354</v>
      </c>
    </row>
    <row r="2273" spans="1:9" x14ac:dyDescent="0.15">
      <c r="A2273" s="6">
        <v>2272</v>
      </c>
      <c r="B2273" s="7" t="s">
        <v>8</v>
      </c>
      <c r="C2273" s="8">
        <v>1887</v>
      </c>
      <c r="D2273" s="9">
        <v>45425</v>
      </c>
      <c r="E2273" s="13" t="str">
        <f>+HYPERLINK("http://trademark.i-assist.jp/data/china/image_1887th/77072211.pdf","77072211")</f>
        <v>77072211</v>
      </c>
      <c r="F2273" s="7" t="s">
        <v>6193</v>
      </c>
      <c r="G2273" s="7" t="s">
        <v>6194</v>
      </c>
      <c r="H2273" s="7" t="s">
        <v>6195</v>
      </c>
      <c r="I2273" s="9">
        <v>45355</v>
      </c>
    </row>
    <row r="2274" spans="1:9" ht="27" x14ac:dyDescent="0.15">
      <c r="A2274" s="6">
        <v>2273</v>
      </c>
      <c r="B2274" s="7" t="s">
        <v>8</v>
      </c>
      <c r="C2274" s="8">
        <v>1887</v>
      </c>
      <c r="D2274" s="9">
        <v>45425</v>
      </c>
      <c r="E2274" s="13" t="str">
        <f>+HYPERLINK("http://trademark.i-assist.jp/data/china/image_1887th/77072610.pdf","77072610")</f>
        <v>77072610</v>
      </c>
      <c r="F2274" s="7" t="s">
        <v>6196</v>
      </c>
      <c r="G2274" s="7" t="s">
        <v>6197</v>
      </c>
      <c r="H2274" s="7" t="s">
        <v>6198</v>
      </c>
      <c r="I2274" s="9">
        <v>45355</v>
      </c>
    </row>
    <row r="2275" spans="1:9" x14ac:dyDescent="0.15">
      <c r="A2275" s="6">
        <v>2274</v>
      </c>
      <c r="B2275" s="7" t="s">
        <v>8</v>
      </c>
      <c r="C2275" s="8">
        <v>1887</v>
      </c>
      <c r="D2275" s="9">
        <v>45425</v>
      </c>
      <c r="E2275" s="13" t="str">
        <f>+HYPERLINK("http://trademark.i-assist.jp/data/china/image_1887th/77072872.pdf","77072872")</f>
        <v>77072872</v>
      </c>
      <c r="F2275" s="7" t="s">
        <v>6199</v>
      </c>
      <c r="G2275" s="7" t="s">
        <v>6200</v>
      </c>
      <c r="H2275" s="7" t="s">
        <v>6201</v>
      </c>
      <c r="I2275" s="9">
        <v>45355</v>
      </c>
    </row>
    <row r="2276" spans="1:9" x14ac:dyDescent="0.15">
      <c r="A2276" s="6">
        <v>2275</v>
      </c>
      <c r="B2276" s="7" t="s">
        <v>8</v>
      </c>
      <c r="C2276" s="8">
        <v>1887</v>
      </c>
      <c r="D2276" s="9">
        <v>45425</v>
      </c>
      <c r="E2276" s="13" t="str">
        <f>+HYPERLINK("http://trademark.i-assist.jp/data/china/image_1887th/77072952.pdf","77072952")</f>
        <v>77072952</v>
      </c>
      <c r="F2276" s="7" t="s">
        <v>6202</v>
      </c>
      <c r="G2276" s="7" t="s">
        <v>3119</v>
      </c>
      <c r="H2276" s="7" t="s">
        <v>6203</v>
      </c>
      <c r="I2276" s="9">
        <v>45355</v>
      </c>
    </row>
    <row r="2277" spans="1:9" x14ac:dyDescent="0.15">
      <c r="A2277" s="6">
        <v>2276</v>
      </c>
      <c r="B2277" s="7" t="s">
        <v>8</v>
      </c>
      <c r="C2277" s="8">
        <v>1887</v>
      </c>
      <c r="D2277" s="9">
        <v>45425</v>
      </c>
      <c r="E2277" s="13" t="str">
        <f>+HYPERLINK("http://trademark.i-assist.jp/data/china/image_1887th/77073240.pdf","77073240")</f>
        <v>77073240</v>
      </c>
      <c r="F2277" s="7" t="s">
        <v>6204</v>
      </c>
      <c r="G2277" s="7" t="s">
        <v>6205</v>
      </c>
      <c r="H2277" s="7" t="s">
        <v>6206</v>
      </c>
      <c r="I2277" s="9">
        <v>45355</v>
      </c>
    </row>
    <row r="2278" spans="1:9" x14ac:dyDescent="0.15">
      <c r="A2278" s="6">
        <v>2277</v>
      </c>
      <c r="B2278" s="7" t="s">
        <v>8</v>
      </c>
      <c r="C2278" s="8">
        <v>1887</v>
      </c>
      <c r="D2278" s="9">
        <v>45425</v>
      </c>
      <c r="E2278" s="13" t="str">
        <f>+HYPERLINK("http://trademark.i-assist.jp/data/china/image_1887th/77073528.pdf","77073528")</f>
        <v>77073528</v>
      </c>
      <c r="F2278" s="7" t="s">
        <v>54</v>
      </c>
      <c r="G2278" s="7" t="s">
        <v>6207</v>
      </c>
      <c r="H2278" s="7" t="s">
        <v>6208</v>
      </c>
      <c r="I2278" s="9">
        <v>45355</v>
      </c>
    </row>
    <row r="2279" spans="1:9" ht="27" x14ac:dyDescent="0.15">
      <c r="A2279" s="6">
        <v>2278</v>
      </c>
      <c r="B2279" s="7" t="s">
        <v>8</v>
      </c>
      <c r="C2279" s="8">
        <v>1887</v>
      </c>
      <c r="D2279" s="9">
        <v>45425</v>
      </c>
      <c r="E2279" s="13" t="str">
        <f>+HYPERLINK("http://trademark.i-assist.jp/data/china/image_1887th/77073583.pdf","77073583")</f>
        <v>77073583</v>
      </c>
      <c r="F2279" s="7" t="s">
        <v>6209</v>
      </c>
      <c r="G2279" s="7" t="s">
        <v>6210</v>
      </c>
      <c r="H2279" s="7" t="s">
        <v>6211</v>
      </c>
      <c r="I2279" s="9">
        <v>45355</v>
      </c>
    </row>
    <row r="2280" spans="1:9" ht="27" x14ac:dyDescent="0.15">
      <c r="A2280" s="6">
        <v>2279</v>
      </c>
      <c r="B2280" s="7" t="s">
        <v>8</v>
      </c>
      <c r="C2280" s="8">
        <v>1887</v>
      </c>
      <c r="D2280" s="9">
        <v>45425</v>
      </c>
      <c r="E2280" s="13" t="str">
        <f>+HYPERLINK("http://trademark.i-assist.jp/data/china/image_1887th/77073709.pdf","77073709")</f>
        <v>77073709</v>
      </c>
      <c r="F2280" s="7" t="s">
        <v>6212</v>
      </c>
      <c r="G2280" s="7" t="s">
        <v>3663</v>
      </c>
      <c r="H2280" s="7" t="s">
        <v>6213</v>
      </c>
      <c r="I2280" s="9">
        <v>45355</v>
      </c>
    </row>
    <row r="2281" spans="1:9" x14ac:dyDescent="0.15">
      <c r="A2281" s="6">
        <v>2280</v>
      </c>
      <c r="B2281" s="7" t="s">
        <v>8</v>
      </c>
      <c r="C2281" s="8">
        <v>1887</v>
      </c>
      <c r="D2281" s="9">
        <v>45425</v>
      </c>
      <c r="E2281" s="13" t="str">
        <f>+HYPERLINK("http://trademark.i-assist.jp/data/china/image_1887th/77073873.pdf","77073873")</f>
        <v>77073873</v>
      </c>
      <c r="F2281" s="7" t="s">
        <v>6214</v>
      </c>
      <c r="G2281" s="7" t="s">
        <v>6215</v>
      </c>
      <c r="H2281" s="7" t="s">
        <v>6216</v>
      </c>
      <c r="I2281" s="9">
        <v>45355</v>
      </c>
    </row>
    <row r="2282" spans="1:9" ht="27" x14ac:dyDescent="0.15">
      <c r="A2282" s="6">
        <v>2281</v>
      </c>
      <c r="B2282" s="7" t="s">
        <v>8</v>
      </c>
      <c r="C2282" s="8">
        <v>1887</v>
      </c>
      <c r="D2282" s="9">
        <v>45425</v>
      </c>
      <c r="E2282" s="13" t="str">
        <f>+HYPERLINK("http://trademark.i-assist.jp/data/china/image_1887th/77074116.pdf","77074116")</f>
        <v>77074116</v>
      </c>
      <c r="F2282" s="7" t="s">
        <v>6217</v>
      </c>
      <c r="G2282" s="7" t="s">
        <v>6218</v>
      </c>
      <c r="H2282" s="7" t="s">
        <v>6219</v>
      </c>
      <c r="I2282" s="9">
        <v>45355</v>
      </c>
    </row>
    <row r="2283" spans="1:9" x14ac:dyDescent="0.15">
      <c r="A2283" s="6">
        <v>2282</v>
      </c>
      <c r="B2283" s="7" t="s">
        <v>8</v>
      </c>
      <c r="C2283" s="8">
        <v>1887</v>
      </c>
      <c r="D2283" s="9">
        <v>45425</v>
      </c>
      <c r="E2283" s="13" t="str">
        <f>+HYPERLINK("http://trademark.i-assist.jp/data/china/image_1887th/77074235.pdf","77074235")</f>
        <v>77074235</v>
      </c>
      <c r="F2283" s="7" t="s">
        <v>6220</v>
      </c>
      <c r="G2283" s="7" t="s">
        <v>6221</v>
      </c>
      <c r="H2283" s="7" t="s">
        <v>6222</v>
      </c>
      <c r="I2283" s="9">
        <v>45355</v>
      </c>
    </row>
    <row r="2284" spans="1:9" ht="27" x14ac:dyDescent="0.15">
      <c r="A2284" s="6">
        <v>2283</v>
      </c>
      <c r="B2284" s="7" t="s">
        <v>8</v>
      </c>
      <c r="C2284" s="8">
        <v>1887</v>
      </c>
      <c r="D2284" s="9">
        <v>45425</v>
      </c>
      <c r="E2284" s="13" t="str">
        <f>+HYPERLINK("http://trademark.i-assist.jp/data/china/image_1887th/77074272.pdf","77074272")</f>
        <v>77074272</v>
      </c>
      <c r="F2284" s="7" t="s">
        <v>6223</v>
      </c>
      <c r="G2284" s="7" t="s">
        <v>6224</v>
      </c>
      <c r="H2284" s="7" t="s">
        <v>6225</v>
      </c>
      <c r="I2284" s="9">
        <v>45355</v>
      </c>
    </row>
    <row r="2285" spans="1:9" x14ac:dyDescent="0.15">
      <c r="A2285" s="6">
        <v>2284</v>
      </c>
      <c r="B2285" s="7" t="s">
        <v>8</v>
      </c>
      <c r="C2285" s="8">
        <v>1887</v>
      </c>
      <c r="D2285" s="9">
        <v>45425</v>
      </c>
      <c r="E2285" s="13" t="str">
        <f>+HYPERLINK("http://trademark.i-assist.jp/data/china/image_1887th/77074450.pdf","77074450")</f>
        <v>77074450</v>
      </c>
      <c r="F2285" s="7" t="s">
        <v>6226</v>
      </c>
      <c r="G2285" s="7" t="s">
        <v>6227</v>
      </c>
      <c r="H2285" s="7" t="s">
        <v>6228</v>
      </c>
      <c r="I2285" s="9">
        <v>45355</v>
      </c>
    </row>
    <row r="2286" spans="1:9" x14ac:dyDescent="0.15">
      <c r="A2286" s="6">
        <v>2285</v>
      </c>
      <c r="B2286" s="7" t="s">
        <v>8</v>
      </c>
      <c r="C2286" s="8">
        <v>1887</v>
      </c>
      <c r="D2286" s="9">
        <v>45425</v>
      </c>
      <c r="E2286" s="13" t="str">
        <f>+HYPERLINK("http://trademark.i-assist.jp/data/china/image_1887th/77074686.pdf","77074686")</f>
        <v>77074686</v>
      </c>
      <c r="F2286" s="7" t="s">
        <v>6229</v>
      </c>
      <c r="G2286" s="7" t="s">
        <v>6230</v>
      </c>
      <c r="H2286" s="7" t="s">
        <v>6231</v>
      </c>
      <c r="I2286" s="9">
        <v>45355</v>
      </c>
    </row>
    <row r="2287" spans="1:9" x14ac:dyDescent="0.15">
      <c r="A2287" s="6">
        <v>2286</v>
      </c>
      <c r="B2287" s="7" t="s">
        <v>8</v>
      </c>
      <c r="C2287" s="8">
        <v>1887</v>
      </c>
      <c r="D2287" s="9">
        <v>45425</v>
      </c>
      <c r="E2287" s="13" t="str">
        <f>+HYPERLINK("http://trademark.i-assist.jp/data/china/image_1887th/77074833.pdf","77074833")</f>
        <v>77074833</v>
      </c>
      <c r="F2287" s="7" t="s">
        <v>6232</v>
      </c>
      <c r="G2287" s="7" t="s">
        <v>6233</v>
      </c>
      <c r="H2287" s="7" t="s">
        <v>6234</v>
      </c>
      <c r="I2287" s="9">
        <v>45355</v>
      </c>
    </row>
    <row r="2288" spans="1:9" x14ac:dyDescent="0.15">
      <c r="A2288" s="6">
        <v>2287</v>
      </c>
      <c r="B2288" s="7" t="s">
        <v>8</v>
      </c>
      <c r="C2288" s="8">
        <v>1887</v>
      </c>
      <c r="D2288" s="9">
        <v>45425</v>
      </c>
      <c r="E2288" s="13" t="str">
        <f>+HYPERLINK("http://trademark.i-assist.jp/data/china/image_1887th/77074932.pdf","77074932")</f>
        <v>77074932</v>
      </c>
      <c r="F2288" s="7" t="s">
        <v>54</v>
      </c>
      <c r="G2288" s="7" t="s">
        <v>6235</v>
      </c>
      <c r="H2288" s="7" t="s">
        <v>6236</v>
      </c>
      <c r="I2288" s="9">
        <v>45355</v>
      </c>
    </row>
    <row r="2289" spans="1:9" ht="27" x14ac:dyDescent="0.15">
      <c r="A2289" s="6">
        <v>2288</v>
      </c>
      <c r="B2289" s="7" t="s">
        <v>8</v>
      </c>
      <c r="C2289" s="8">
        <v>1887</v>
      </c>
      <c r="D2289" s="9">
        <v>45425</v>
      </c>
      <c r="E2289" s="13" t="str">
        <f>+HYPERLINK("http://trademark.i-assist.jp/data/china/image_1887th/77075007.pdf","77075007")</f>
        <v>77075007</v>
      </c>
      <c r="F2289" s="7" t="s">
        <v>6237</v>
      </c>
      <c r="G2289" s="7" t="s">
        <v>6238</v>
      </c>
      <c r="H2289" s="7" t="s">
        <v>6239</v>
      </c>
      <c r="I2289" s="9">
        <v>45355</v>
      </c>
    </row>
    <row r="2290" spans="1:9" ht="27" x14ac:dyDescent="0.15">
      <c r="A2290" s="6">
        <v>2289</v>
      </c>
      <c r="B2290" s="7" t="s">
        <v>8</v>
      </c>
      <c r="C2290" s="8">
        <v>1887</v>
      </c>
      <c r="D2290" s="9">
        <v>45425</v>
      </c>
      <c r="E2290" s="13" t="str">
        <f>+HYPERLINK("http://trademark.i-assist.jp/data/china/image_1887th/77075086.pdf","77075086")</f>
        <v>77075086</v>
      </c>
      <c r="F2290" s="7" t="s">
        <v>6240</v>
      </c>
      <c r="G2290" s="7" t="s">
        <v>3663</v>
      </c>
      <c r="H2290" s="7" t="s">
        <v>6241</v>
      </c>
      <c r="I2290" s="9">
        <v>45355</v>
      </c>
    </row>
    <row r="2291" spans="1:9" ht="27" x14ac:dyDescent="0.15">
      <c r="A2291" s="6">
        <v>2290</v>
      </c>
      <c r="B2291" s="7" t="s">
        <v>8</v>
      </c>
      <c r="C2291" s="8">
        <v>1887</v>
      </c>
      <c r="D2291" s="9">
        <v>45425</v>
      </c>
      <c r="E2291" s="13" t="str">
        <f>+HYPERLINK("http://trademark.i-assist.jp/data/china/image_1887th/77076066.pdf","77076066")</f>
        <v>77076066</v>
      </c>
      <c r="F2291" s="7" t="s">
        <v>6242</v>
      </c>
      <c r="G2291" s="7" t="s">
        <v>6197</v>
      </c>
      <c r="H2291" s="7" t="s">
        <v>6243</v>
      </c>
      <c r="I2291" s="9">
        <v>45355</v>
      </c>
    </row>
    <row r="2292" spans="1:9" x14ac:dyDescent="0.15">
      <c r="A2292" s="6">
        <v>2291</v>
      </c>
      <c r="B2292" s="7" t="s">
        <v>8</v>
      </c>
      <c r="C2292" s="8">
        <v>1887</v>
      </c>
      <c r="D2292" s="9">
        <v>45425</v>
      </c>
      <c r="E2292" s="13" t="str">
        <f>+HYPERLINK("http://trademark.i-assist.jp/data/china/image_1887th/77076186.pdf","77076186")</f>
        <v>77076186</v>
      </c>
      <c r="F2292" s="7" t="s">
        <v>6244</v>
      </c>
      <c r="G2292" s="7" t="s">
        <v>6245</v>
      </c>
      <c r="H2292" s="7" t="s">
        <v>6246</v>
      </c>
      <c r="I2292" s="9">
        <v>45355</v>
      </c>
    </row>
    <row r="2293" spans="1:9" x14ac:dyDescent="0.15">
      <c r="A2293" s="6">
        <v>2292</v>
      </c>
      <c r="B2293" s="7" t="s">
        <v>8</v>
      </c>
      <c r="C2293" s="8">
        <v>1887</v>
      </c>
      <c r="D2293" s="9">
        <v>45425</v>
      </c>
      <c r="E2293" s="13" t="str">
        <f>+HYPERLINK("http://trademark.i-assist.jp/data/china/image_1887th/77076831.pdf","77076831")</f>
        <v>77076831</v>
      </c>
      <c r="F2293" s="7" t="s">
        <v>6247</v>
      </c>
      <c r="G2293" s="7" t="s">
        <v>6248</v>
      </c>
      <c r="H2293" s="7" t="s">
        <v>6249</v>
      </c>
      <c r="I2293" s="9">
        <v>45355</v>
      </c>
    </row>
    <row r="2294" spans="1:9" x14ac:dyDescent="0.15">
      <c r="A2294" s="6">
        <v>2293</v>
      </c>
      <c r="B2294" s="7" t="s">
        <v>8</v>
      </c>
      <c r="C2294" s="8">
        <v>1887</v>
      </c>
      <c r="D2294" s="9">
        <v>45425</v>
      </c>
      <c r="E2294" s="13" t="str">
        <f>+HYPERLINK("http://trademark.i-assist.jp/data/china/image_1887th/77077901.pdf","77077901")</f>
        <v>77077901</v>
      </c>
      <c r="F2294" s="7" t="s">
        <v>6250</v>
      </c>
      <c r="G2294" s="7" t="s">
        <v>6251</v>
      </c>
      <c r="H2294" s="7" t="s">
        <v>6252</v>
      </c>
      <c r="I2294" s="9">
        <v>45355</v>
      </c>
    </row>
    <row r="2295" spans="1:9" x14ac:dyDescent="0.15">
      <c r="A2295" s="6">
        <v>2294</v>
      </c>
      <c r="B2295" s="7" t="s">
        <v>8</v>
      </c>
      <c r="C2295" s="8">
        <v>1887</v>
      </c>
      <c r="D2295" s="9">
        <v>45425</v>
      </c>
      <c r="E2295" s="13" t="str">
        <f>+HYPERLINK("http://trademark.i-assist.jp/data/china/image_1887th/77078773.pdf","77078773")</f>
        <v>77078773</v>
      </c>
      <c r="F2295" s="7" t="s">
        <v>6253</v>
      </c>
      <c r="G2295" s="7" t="s">
        <v>6254</v>
      </c>
      <c r="H2295" s="7" t="s">
        <v>6255</v>
      </c>
      <c r="I2295" s="9">
        <v>45355</v>
      </c>
    </row>
    <row r="2296" spans="1:9" ht="27" x14ac:dyDescent="0.15">
      <c r="A2296" s="6">
        <v>2295</v>
      </c>
      <c r="B2296" s="7" t="s">
        <v>8</v>
      </c>
      <c r="C2296" s="8">
        <v>1887</v>
      </c>
      <c r="D2296" s="9">
        <v>45425</v>
      </c>
      <c r="E2296" s="13" t="str">
        <f>+HYPERLINK("http://trademark.i-assist.jp/data/china/image_1887th/77079536.pdf","77079536")</f>
        <v>77079536</v>
      </c>
      <c r="F2296" s="7" t="s">
        <v>6256</v>
      </c>
      <c r="G2296" s="7" t="s">
        <v>3663</v>
      </c>
      <c r="H2296" s="7" t="s">
        <v>6257</v>
      </c>
      <c r="I2296" s="9">
        <v>45355</v>
      </c>
    </row>
    <row r="2297" spans="1:9" ht="27" x14ac:dyDescent="0.15">
      <c r="A2297" s="6">
        <v>2296</v>
      </c>
      <c r="B2297" s="7" t="s">
        <v>8</v>
      </c>
      <c r="C2297" s="8">
        <v>1887</v>
      </c>
      <c r="D2297" s="9">
        <v>45425</v>
      </c>
      <c r="E2297" s="13" t="str">
        <f>+HYPERLINK("http://trademark.i-assist.jp/data/china/image_1887th/77079598.pdf","77079598")</f>
        <v>77079598</v>
      </c>
      <c r="F2297" s="7" t="s">
        <v>54</v>
      </c>
      <c r="G2297" s="7" t="s">
        <v>6258</v>
      </c>
      <c r="H2297" s="7" t="s">
        <v>6259</v>
      </c>
      <c r="I2297" s="9">
        <v>45355</v>
      </c>
    </row>
    <row r="2298" spans="1:9" ht="27" x14ac:dyDescent="0.15">
      <c r="A2298" s="6">
        <v>2297</v>
      </c>
      <c r="B2298" s="7" t="s">
        <v>8</v>
      </c>
      <c r="C2298" s="8">
        <v>1887</v>
      </c>
      <c r="D2298" s="9">
        <v>45425</v>
      </c>
      <c r="E2298" s="13" t="str">
        <f>+HYPERLINK("http://trademark.i-assist.jp/data/china/image_1887th/77079709.pdf","77079709")</f>
        <v>77079709</v>
      </c>
      <c r="F2298" s="7" t="s">
        <v>6260</v>
      </c>
      <c r="G2298" s="7" t="s">
        <v>3663</v>
      </c>
      <c r="H2298" s="7" t="s">
        <v>6261</v>
      </c>
      <c r="I2298" s="9">
        <v>45355</v>
      </c>
    </row>
    <row r="2299" spans="1:9" ht="27" x14ac:dyDescent="0.15">
      <c r="A2299" s="6">
        <v>2298</v>
      </c>
      <c r="B2299" s="7" t="s">
        <v>8</v>
      </c>
      <c r="C2299" s="8">
        <v>1887</v>
      </c>
      <c r="D2299" s="9">
        <v>45425</v>
      </c>
      <c r="E2299" s="13" t="str">
        <f>+HYPERLINK("http://trademark.i-assist.jp/data/china/image_1887th/77079720.pdf","77079720")</f>
        <v>77079720</v>
      </c>
      <c r="F2299" s="7" t="s">
        <v>6262</v>
      </c>
      <c r="G2299" s="7" t="s">
        <v>3663</v>
      </c>
      <c r="H2299" s="7" t="s">
        <v>6263</v>
      </c>
      <c r="I2299" s="9">
        <v>45355</v>
      </c>
    </row>
    <row r="2300" spans="1:9" x14ac:dyDescent="0.15">
      <c r="A2300" s="6">
        <v>2299</v>
      </c>
      <c r="B2300" s="7" t="s">
        <v>8</v>
      </c>
      <c r="C2300" s="8">
        <v>1887</v>
      </c>
      <c r="D2300" s="9">
        <v>45425</v>
      </c>
      <c r="E2300" s="13" t="str">
        <f>+HYPERLINK("http://trademark.i-assist.jp/data/china/image_1887th/77080114.pdf","77080114")</f>
        <v>77080114</v>
      </c>
      <c r="F2300" s="7" t="s">
        <v>6264</v>
      </c>
      <c r="G2300" s="7" t="s">
        <v>6265</v>
      </c>
      <c r="H2300" s="7" t="s">
        <v>6266</v>
      </c>
      <c r="I2300" s="9">
        <v>45355</v>
      </c>
    </row>
    <row r="2301" spans="1:9" x14ac:dyDescent="0.15">
      <c r="A2301" s="6">
        <v>2300</v>
      </c>
      <c r="B2301" s="7" t="s">
        <v>8</v>
      </c>
      <c r="C2301" s="8">
        <v>1887</v>
      </c>
      <c r="D2301" s="9">
        <v>45425</v>
      </c>
      <c r="E2301" s="13" t="str">
        <f>+HYPERLINK("http://trademark.i-assist.jp/data/china/image_1887th/77080164.pdf","77080164")</f>
        <v>77080164</v>
      </c>
      <c r="F2301" s="7" t="s">
        <v>6267</v>
      </c>
      <c r="G2301" s="7" t="s">
        <v>6268</v>
      </c>
      <c r="H2301" s="7" t="s">
        <v>6269</v>
      </c>
      <c r="I2301" s="9">
        <v>45355</v>
      </c>
    </row>
    <row r="2302" spans="1:9" x14ac:dyDescent="0.15">
      <c r="A2302" s="6">
        <v>2301</v>
      </c>
      <c r="B2302" s="7" t="s">
        <v>8</v>
      </c>
      <c r="C2302" s="8">
        <v>1887</v>
      </c>
      <c r="D2302" s="9">
        <v>45425</v>
      </c>
      <c r="E2302" s="13" t="str">
        <f>+HYPERLINK("http://trademark.i-assist.jp/data/china/image_1887th/77080399.pdf","77080399")</f>
        <v>77080399</v>
      </c>
      <c r="F2302" s="7" t="s">
        <v>6270</v>
      </c>
      <c r="G2302" s="7" t="s">
        <v>6271</v>
      </c>
      <c r="H2302" s="7" t="s">
        <v>6272</v>
      </c>
      <c r="I2302" s="9">
        <v>45355</v>
      </c>
    </row>
    <row r="2303" spans="1:9" ht="27" x14ac:dyDescent="0.15">
      <c r="A2303" s="6">
        <v>2302</v>
      </c>
      <c r="B2303" s="7" t="s">
        <v>8</v>
      </c>
      <c r="C2303" s="8">
        <v>1887</v>
      </c>
      <c r="D2303" s="9">
        <v>45425</v>
      </c>
      <c r="E2303" s="13" t="str">
        <f>+HYPERLINK("http://trademark.i-assist.jp/data/china/image_1887th/77080549.pdf","77080549")</f>
        <v>77080549</v>
      </c>
      <c r="F2303" s="7" t="s">
        <v>6273</v>
      </c>
      <c r="G2303" s="7" t="s">
        <v>6274</v>
      </c>
      <c r="H2303" s="7" t="s">
        <v>6275</v>
      </c>
      <c r="I2303" s="9">
        <v>45355</v>
      </c>
    </row>
    <row r="2304" spans="1:9" x14ac:dyDescent="0.15">
      <c r="A2304" s="6">
        <v>2303</v>
      </c>
      <c r="B2304" s="7" t="s">
        <v>8</v>
      </c>
      <c r="C2304" s="8">
        <v>1887</v>
      </c>
      <c r="D2304" s="9">
        <v>45425</v>
      </c>
      <c r="E2304" s="13" t="str">
        <f>+HYPERLINK("http://trademark.i-assist.jp/data/china/image_1887th/77080705.pdf","77080705")</f>
        <v>77080705</v>
      </c>
      <c r="F2304" s="7" t="s">
        <v>6276</v>
      </c>
      <c r="G2304" s="7" t="s">
        <v>6277</v>
      </c>
      <c r="H2304" s="7" t="s">
        <v>6278</v>
      </c>
      <c r="I2304" s="9">
        <v>45355</v>
      </c>
    </row>
    <row r="2305" spans="1:9" x14ac:dyDescent="0.15">
      <c r="A2305" s="6">
        <v>2304</v>
      </c>
      <c r="B2305" s="7" t="s">
        <v>8</v>
      </c>
      <c r="C2305" s="8">
        <v>1887</v>
      </c>
      <c r="D2305" s="9">
        <v>45425</v>
      </c>
      <c r="E2305" s="13" t="str">
        <f>+HYPERLINK("http://trademark.i-assist.jp/data/china/image_1887th/77081488.pdf","77081488")</f>
        <v>77081488</v>
      </c>
      <c r="F2305" s="7" t="s">
        <v>6279</v>
      </c>
      <c r="G2305" s="7" t="s">
        <v>3416</v>
      </c>
      <c r="H2305" s="7" t="s">
        <v>6280</v>
      </c>
      <c r="I2305" s="9">
        <v>45355</v>
      </c>
    </row>
    <row r="2306" spans="1:9" x14ac:dyDescent="0.15">
      <c r="A2306" s="6">
        <v>2305</v>
      </c>
      <c r="B2306" s="7" t="s">
        <v>8</v>
      </c>
      <c r="C2306" s="8">
        <v>1887</v>
      </c>
      <c r="D2306" s="9">
        <v>45425</v>
      </c>
      <c r="E2306" s="13" t="str">
        <f>+HYPERLINK("http://trademark.i-assist.jp/data/china/image_1887th/77081740.pdf","77081740")</f>
        <v>77081740</v>
      </c>
      <c r="F2306" s="7" t="s">
        <v>54</v>
      </c>
      <c r="G2306" s="7" t="s">
        <v>6281</v>
      </c>
      <c r="H2306" s="7" t="s">
        <v>6282</v>
      </c>
      <c r="I2306" s="9">
        <v>45355</v>
      </c>
    </row>
    <row r="2307" spans="1:9" x14ac:dyDescent="0.15">
      <c r="A2307" s="6">
        <v>2306</v>
      </c>
      <c r="B2307" s="7" t="s">
        <v>8</v>
      </c>
      <c r="C2307" s="8">
        <v>1887</v>
      </c>
      <c r="D2307" s="9">
        <v>45425</v>
      </c>
      <c r="E2307" s="13" t="str">
        <f>+HYPERLINK("http://trademark.i-assist.jp/data/china/image_1887th/77081959.pdf","77081959")</f>
        <v>77081959</v>
      </c>
      <c r="F2307" s="7" t="s">
        <v>6283</v>
      </c>
      <c r="G2307" s="7" t="s">
        <v>6284</v>
      </c>
      <c r="H2307" s="7" t="s">
        <v>6285</v>
      </c>
      <c r="I2307" s="9">
        <v>45355</v>
      </c>
    </row>
    <row r="2308" spans="1:9" x14ac:dyDescent="0.15">
      <c r="A2308" s="6">
        <v>2307</v>
      </c>
      <c r="B2308" s="7" t="s">
        <v>8</v>
      </c>
      <c r="C2308" s="8">
        <v>1887</v>
      </c>
      <c r="D2308" s="9">
        <v>45425</v>
      </c>
      <c r="E2308" s="13" t="str">
        <f>+HYPERLINK("http://trademark.i-assist.jp/data/china/image_1887th/77082187.pdf","77082187")</f>
        <v>77082187</v>
      </c>
      <c r="F2308" s="7" t="s">
        <v>6286</v>
      </c>
      <c r="G2308" s="7" t="s">
        <v>6287</v>
      </c>
      <c r="H2308" s="7" t="s">
        <v>6288</v>
      </c>
      <c r="I2308" s="9">
        <v>45355</v>
      </c>
    </row>
    <row r="2309" spans="1:9" x14ac:dyDescent="0.15">
      <c r="A2309" s="6">
        <v>2308</v>
      </c>
      <c r="B2309" s="7" t="s">
        <v>8</v>
      </c>
      <c r="C2309" s="8">
        <v>1887</v>
      </c>
      <c r="D2309" s="9">
        <v>45425</v>
      </c>
      <c r="E2309" s="13" t="str">
        <f>+HYPERLINK("http://trademark.i-assist.jp/data/china/image_1887th/77082223.pdf","77082223")</f>
        <v>77082223</v>
      </c>
      <c r="F2309" s="7" t="s">
        <v>6289</v>
      </c>
      <c r="G2309" s="7" t="s">
        <v>6290</v>
      </c>
      <c r="H2309" s="7" t="s">
        <v>6291</v>
      </c>
      <c r="I2309" s="9">
        <v>45355</v>
      </c>
    </row>
    <row r="2310" spans="1:9" x14ac:dyDescent="0.15">
      <c r="A2310" s="6">
        <v>2309</v>
      </c>
      <c r="B2310" s="7" t="s">
        <v>8</v>
      </c>
      <c r="C2310" s="8">
        <v>1887</v>
      </c>
      <c r="D2310" s="9">
        <v>45425</v>
      </c>
      <c r="E2310" s="13" t="str">
        <f>+HYPERLINK("http://trademark.i-assist.jp/data/china/image_1887th/77083241.pdf","77083241")</f>
        <v>77083241</v>
      </c>
      <c r="F2310" s="7" t="s">
        <v>6292</v>
      </c>
      <c r="G2310" s="7" t="s">
        <v>6293</v>
      </c>
      <c r="H2310" s="7" t="s">
        <v>6294</v>
      </c>
      <c r="I2310" s="9">
        <v>45355</v>
      </c>
    </row>
    <row r="2311" spans="1:9" ht="27" x14ac:dyDescent="0.15">
      <c r="A2311" s="6">
        <v>2310</v>
      </c>
      <c r="B2311" s="7" t="s">
        <v>8</v>
      </c>
      <c r="C2311" s="8">
        <v>1887</v>
      </c>
      <c r="D2311" s="9">
        <v>45425</v>
      </c>
      <c r="E2311" s="13" t="str">
        <f>+HYPERLINK("http://trademark.i-assist.jp/data/china/image_1887th/77083351.pdf","77083351")</f>
        <v>77083351</v>
      </c>
      <c r="F2311" s="7" t="s">
        <v>6295</v>
      </c>
      <c r="G2311" s="7" t="s">
        <v>6296</v>
      </c>
      <c r="H2311" s="7" t="s">
        <v>6297</v>
      </c>
      <c r="I2311" s="9">
        <v>45355</v>
      </c>
    </row>
    <row r="2312" spans="1:9" x14ac:dyDescent="0.15">
      <c r="A2312" s="6">
        <v>2311</v>
      </c>
      <c r="B2312" s="7" t="s">
        <v>8</v>
      </c>
      <c r="C2312" s="8">
        <v>1887</v>
      </c>
      <c r="D2312" s="9">
        <v>45425</v>
      </c>
      <c r="E2312" s="13" t="str">
        <f>+HYPERLINK("http://trademark.i-assist.jp/data/china/image_1887th/77084147.pdf","77084147")</f>
        <v>77084147</v>
      </c>
      <c r="F2312" s="7" t="s">
        <v>6298</v>
      </c>
      <c r="G2312" s="7" t="s">
        <v>6299</v>
      </c>
      <c r="H2312" s="7" t="s">
        <v>6300</v>
      </c>
      <c r="I2312" s="9">
        <v>45355</v>
      </c>
    </row>
    <row r="2313" spans="1:9" x14ac:dyDescent="0.15">
      <c r="A2313" s="6">
        <v>2312</v>
      </c>
      <c r="B2313" s="7" t="s">
        <v>8</v>
      </c>
      <c r="C2313" s="8">
        <v>1887</v>
      </c>
      <c r="D2313" s="9">
        <v>45425</v>
      </c>
      <c r="E2313" s="13" t="str">
        <f>+HYPERLINK("http://trademark.i-assist.jp/data/china/image_1887th/77084383.pdf","77084383")</f>
        <v>77084383</v>
      </c>
      <c r="F2313" s="7" t="s">
        <v>6301</v>
      </c>
      <c r="G2313" s="7" t="s">
        <v>6302</v>
      </c>
      <c r="H2313" s="7" t="s">
        <v>6303</v>
      </c>
      <c r="I2313" s="9">
        <v>45355</v>
      </c>
    </row>
    <row r="2314" spans="1:9" x14ac:dyDescent="0.15">
      <c r="A2314" s="6">
        <v>2313</v>
      </c>
      <c r="B2314" s="7" t="s">
        <v>8</v>
      </c>
      <c r="C2314" s="8">
        <v>1887</v>
      </c>
      <c r="D2314" s="9">
        <v>45425</v>
      </c>
      <c r="E2314" s="13" t="str">
        <f>+HYPERLINK("http://trademark.i-assist.jp/data/china/image_1887th/77085255.pdf","77085255")</f>
        <v>77085255</v>
      </c>
      <c r="F2314" s="7" t="s">
        <v>6304</v>
      </c>
      <c r="G2314" s="7" t="s">
        <v>6277</v>
      </c>
      <c r="H2314" s="7" t="s">
        <v>6305</v>
      </c>
      <c r="I2314" s="9">
        <v>45355</v>
      </c>
    </row>
    <row r="2315" spans="1:9" ht="27" x14ac:dyDescent="0.15">
      <c r="A2315" s="6">
        <v>2314</v>
      </c>
      <c r="B2315" s="7" t="s">
        <v>8</v>
      </c>
      <c r="C2315" s="8">
        <v>1887</v>
      </c>
      <c r="D2315" s="9">
        <v>45425</v>
      </c>
      <c r="E2315" s="13" t="str">
        <f>+HYPERLINK("http://trademark.i-assist.jp/data/china/image_1887th/77085661.pdf","77085661")</f>
        <v>77085661</v>
      </c>
      <c r="F2315" s="7" t="s">
        <v>6306</v>
      </c>
      <c r="G2315" s="7" t="s">
        <v>6307</v>
      </c>
      <c r="H2315" s="7" t="s">
        <v>6308</v>
      </c>
      <c r="I2315" s="9">
        <v>45355</v>
      </c>
    </row>
    <row r="2316" spans="1:9" ht="27" x14ac:dyDescent="0.15">
      <c r="A2316" s="6">
        <v>2315</v>
      </c>
      <c r="B2316" s="7" t="s">
        <v>8</v>
      </c>
      <c r="C2316" s="8">
        <v>1887</v>
      </c>
      <c r="D2316" s="9">
        <v>45425</v>
      </c>
      <c r="E2316" s="13" t="str">
        <f>+HYPERLINK("http://trademark.i-assist.jp/data/china/image_1887th/77085722.pdf","77085722")</f>
        <v>77085722</v>
      </c>
      <c r="F2316" s="7" t="s">
        <v>6309</v>
      </c>
      <c r="G2316" s="7" t="s">
        <v>6310</v>
      </c>
      <c r="H2316" s="7" t="s">
        <v>6311</v>
      </c>
      <c r="I2316" s="9">
        <v>45355</v>
      </c>
    </row>
    <row r="2317" spans="1:9" x14ac:dyDescent="0.15">
      <c r="A2317" s="6">
        <v>2316</v>
      </c>
      <c r="B2317" s="7" t="s">
        <v>8</v>
      </c>
      <c r="C2317" s="8">
        <v>1887</v>
      </c>
      <c r="D2317" s="9">
        <v>45425</v>
      </c>
      <c r="E2317" s="13" t="str">
        <f>+HYPERLINK("http://trademark.i-assist.jp/data/china/image_1887th/77085725.pdf","77085725")</f>
        <v>77085725</v>
      </c>
      <c r="F2317" s="7" t="s">
        <v>6312</v>
      </c>
      <c r="G2317" s="7" t="s">
        <v>6313</v>
      </c>
      <c r="H2317" s="7" t="s">
        <v>6314</v>
      </c>
      <c r="I2317" s="9">
        <v>45355</v>
      </c>
    </row>
    <row r="2318" spans="1:9" x14ac:dyDescent="0.15">
      <c r="A2318" s="6">
        <v>2317</v>
      </c>
      <c r="B2318" s="7" t="s">
        <v>8</v>
      </c>
      <c r="C2318" s="8">
        <v>1887</v>
      </c>
      <c r="D2318" s="9">
        <v>45425</v>
      </c>
      <c r="E2318" s="13" t="str">
        <f>+HYPERLINK("http://trademark.i-assist.jp/data/china/image_1887th/77086435.pdf","77086435")</f>
        <v>77086435</v>
      </c>
      <c r="F2318" s="7" t="s">
        <v>6315</v>
      </c>
      <c r="G2318" s="7" t="s">
        <v>6316</v>
      </c>
      <c r="H2318" s="7" t="s">
        <v>6317</v>
      </c>
      <c r="I2318" s="9">
        <v>45355</v>
      </c>
    </row>
    <row r="2319" spans="1:9" x14ac:dyDescent="0.15">
      <c r="A2319" s="6">
        <v>2318</v>
      </c>
      <c r="B2319" s="7" t="s">
        <v>8</v>
      </c>
      <c r="C2319" s="8">
        <v>1887</v>
      </c>
      <c r="D2319" s="9">
        <v>45425</v>
      </c>
      <c r="E2319" s="13" t="str">
        <f>+HYPERLINK("http://trademark.i-assist.jp/data/china/image_1887th/77086852.pdf","77086852")</f>
        <v>77086852</v>
      </c>
      <c r="F2319" s="7" t="s">
        <v>6318</v>
      </c>
      <c r="G2319" s="7" t="s">
        <v>6319</v>
      </c>
      <c r="H2319" s="7" t="s">
        <v>6320</v>
      </c>
      <c r="I2319" s="9">
        <v>45355</v>
      </c>
    </row>
    <row r="2320" spans="1:9" x14ac:dyDescent="0.15">
      <c r="A2320" s="6">
        <v>2319</v>
      </c>
      <c r="B2320" s="7" t="s">
        <v>8</v>
      </c>
      <c r="C2320" s="8">
        <v>1887</v>
      </c>
      <c r="D2320" s="9">
        <v>45425</v>
      </c>
      <c r="E2320" s="13" t="str">
        <f>+HYPERLINK("http://trademark.i-assist.jp/data/china/image_1887th/77087323.pdf","77087323")</f>
        <v>77087323</v>
      </c>
      <c r="F2320" s="7" t="s">
        <v>6321</v>
      </c>
      <c r="G2320" s="7" t="s">
        <v>6322</v>
      </c>
      <c r="H2320" s="7" t="s">
        <v>6323</v>
      </c>
      <c r="I2320" s="9">
        <v>45355</v>
      </c>
    </row>
    <row r="2321" spans="1:9" x14ac:dyDescent="0.15">
      <c r="A2321" s="6">
        <v>2320</v>
      </c>
      <c r="B2321" s="7" t="s">
        <v>8</v>
      </c>
      <c r="C2321" s="8">
        <v>1887</v>
      </c>
      <c r="D2321" s="9">
        <v>45425</v>
      </c>
      <c r="E2321" s="13" t="str">
        <f>+HYPERLINK("http://trademark.i-assist.jp/data/china/image_1887th/77087429.pdf","77087429")</f>
        <v>77087429</v>
      </c>
      <c r="F2321" s="7" t="s">
        <v>6324</v>
      </c>
      <c r="G2321" s="7" t="s">
        <v>6325</v>
      </c>
      <c r="H2321" s="7" t="s">
        <v>6326</v>
      </c>
      <c r="I2321" s="9">
        <v>45355</v>
      </c>
    </row>
    <row r="2322" spans="1:9" ht="27" x14ac:dyDescent="0.15">
      <c r="A2322" s="6">
        <v>2321</v>
      </c>
      <c r="B2322" s="7" t="s">
        <v>8</v>
      </c>
      <c r="C2322" s="8">
        <v>1887</v>
      </c>
      <c r="D2322" s="9">
        <v>45425</v>
      </c>
      <c r="E2322" s="13" t="str">
        <f>+HYPERLINK("http://trademark.i-assist.jp/data/china/image_1887th/77088737.pdf","77088737")</f>
        <v>77088737</v>
      </c>
      <c r="F2322" s="7" t="s">
        <v>54</v>
      </c>
      <c r="G2322" s="7" t="s">
        <v>6327</v>
      </c>
      <c r="H2322" s="7" t="s">
        <v>6328</v>
      </c>
      <c r="I2322" s="9">
        <v>45355</v>
      </c>
    </row>
    <row r="2323" spans="1:9" x14ac:dyDescent="0.15">
      <c r="A2323" s="6">
        <v>2322</v>
      </c>
      <c r="B2323" s="7" t="s">
        <v>8</v>
      </c>
      <c r="C2323" s="8">
        <v>1887</v>
      </c>
      <c r="D2323" s="9">
        <v>45425</v>
      </c>
      <c r="E2323" s="13" t="str">
        <f>+HYPERLINK("http://trademark.i-assist.jp/data/china/image_1887th/77088904.pdf","77088904")</f>
        <v>77088904</v>
      </c>
      <c r="F2323" s="7" t="s">
        <v>6329</v>
      </c>
      <c r="G2323" s="7" t="s">
        <v>6233</v>
      </c>
      <c r="H2323" s="7" t="s">
        <v>6330</v>
      </c>
      <c r="I2323" s="9">
        <v>45355</v>
      </c>
    </row>
    <row r="2324" spans="1:9" x14ac:dyDescent="0.15">
      <c r="A2324" s="6">
        <v>2323</v>
      </c>
      <c r="B2324" s="7" t="s">
        <v>8</v>
      </c>
      <c r="C2324" s="8">
        <v>1887</v>
      </c>
      <c r="D2324" s="9">
        <v>45425</v>
      </c>
      <c r="E2324" s="13" t="str">
        <f>+HYPERLINK("http://trademark.i-assist.jp/data/china/image_1887th/77089162.pdf","77089162")</f>
        <v>77089162</v>
      </c>
      <c r="F2324" s="7" t="s">
        <v>6331</v>
      </c>
      <c r="G2324" s="7" t="s">
        <v>6332</v>
      </c>
      <c r="H2324" s="7" t="s">
        <v>6333</v>
      </c>
      <c r="I2324" s="9">
        <v>45355</v>
      </c>
    </row>
    <row r="2325" spans="1:9" x14ac:dyDescent="0.15">
      <c r="A2325" s="6">
        <v>2324</v>
      </c>
      <c r="B2325" s="7" t="s">
        <v>8</v>
      </c>
      <c r="C2325" s="8">
        <v>1887</v>
      </c>
      <c r="D2325" s="9">
        <v>45425</v>
      </c>
      <c r="E2325" s="13" t="str">
        <f>+HYPERLINK("http://trademark.i-assist.jp/data/china/image_1887th/77089294.pdf","77089294")</f>
        <v>77089294</v>
      </c>
      <c r="F2325" s="7" t="s">
        <v>6334</v>
      </c>
      <c r="G2325" s="7" t="s">
        <v>6335</v>
      </c>
      <c r="H2325" s="7" t="s">
        <v>6336</v>
      </c>
      <c r="I2325" s="9">
        <v>45355</v>
      </c>
    </row>
    <row r="2326" spans="1:9" x14ac:dyDescent="0.15">
      <c r="A2326" s="6">
        <v>2325</v>
      </c>
      <c r="B2326" s="7" t="s">
        <v>8</v>
      </c>
      <c r="C2326" s="8">
        <v>1887</v>
      </c>
      <c r="D2326" s="9">
        <v>45425</v>
      </c>
      <c r="E2326" s="13" t="str">
        <f>+HYPERLINK("http://trademark.i-assist.jp/data/china/image_1887th/77090294.pdf","77090294")</f>
        <v>77090294</v>
      </c>
      <c r="F2326" s="7" t="s">
        <v>6337</v>
      </c>
      <c r="G2326" s="7" t="s">
        <v>6338</v>
      </c>
      <c r="H2326" s="7" t="s">
        <v>6339</v>
      </c>
      <c r="I2326" s="9">
        <v>45355</v>
      </c>
    </row>
    <row r="2327" spans="1:9" x14ac:dyDescent="0.15">
      <c r="A2327" s="6">
        <v>2326</v>
      </c>
      <c r="B2327" s="7" t="s">
        <v>8</v>
      </c>
      <c r="C2327" s="8">
        <v>1887</v>
      </c>
      <c r="D2327" s="9">
        <v>45425</v>
      </c>
      <c r="E2327" s="13" t="str">
        <f>+HYPERLINK("http://trademark.i-assist.jp/data/china/image_1887th/77090508.pdf","77090508")</f>
        <v>77090508</v>
      </c>
      <c r="F2327" s="7" t="s">
        <v>6340</v>
      </c>
      <c r="G2327" s="7" t="s">
        <v>6332</v>
      </c>
      <c r="H2327" s="7" t="s">
        <v>6341</v>
      </c>
      <c r="I2327" s="9">
        <v>45355</v>
      </c>
    </row>
    <row r="2328" spans="1:9" ht="27" x14ac:dyDescent="0.15">
      <c r="A2328" s="6">
        <v>2327</v>
      </c>
      <c r="B2328" s="7" t="s">
        <v>8</v>
      </c>
      <c r="C2328" s="8">
        <v>1887</v>
      </c>
      <c r="D2328" s="9">
        <v>45425</v>
      </c>
      <c r="E2328" s="13" t="str">
        <f>+HYPERLINK("http://trademark.i-assist.jp/data/china/image_1887th/77090590.pdf","77090590")</f>
        <v>77090590</v>
      </c>
      <c r="F2328" s="7" t="s">
        <v>6342</v>
      </c>
      <c r="G2328" s="7" t="s">
        <v>6343</v>
      </c>
      <c r="H2328" s="7" t="s">
        <v>6344</v>
      </c>
      <c r="I2328" s="9">
        <v>45355</v>
      </c>
    </row>
    <row r="2329" spans="1:9" x14ac:dyDescent="0.15">
      <c r="A2329" s="6">
        <v>2328</v>
      </c>
      <c r="B2329" s="7" t="s">
        <v>8</v>
      </c>
      <c r="C2329" s="8">
        <v>1887</v>
      </c>
      <c r="D2329" s="9">
        <v>45425</v>
      </c>
      <c r="E2329" s="13" t="str">
        <f>+HYPERLINK("http://trademark.i-assist.jp/data/china/image_1887th/77090717.pdf","77090717")</f>
        <v>77090717</v>
      </c>
      <c r="F2329" s="7" t="s">
        <v>6345</v>
      </c>
      <c r="G2329" s="7" t="s">
        <v>6245</v>
      </c>
      <c r="H2329" s="7" t="s">
        <v>6346</v>
      </c>
      <c r="I2329" s="9">
        <v>45355</v>
      </c>
    </row>
    <row r="2330" spans="1:9" x14ac:dyDescent="0.15">
      <c r="A2330" s="6">
        <v>2329</v>
      </c>
      <c r="B2330" s="7" t="s">
        <v>8</v>
      </c>
      <c r="C2330" s="8">
        <v>1887</v>
      </c>
      <c r="D2330" s="9">
        <v>45425</v>
      </c>
      <c r="E2330" s="13" t="str">
        <f>+HYPERLINK("http://trademark.i-assist.jp/data/china/image_1887th/77090976.pdf","77090976")</f>
        <v>77090976</v>
      </c>
      <c r="F2330" s="7" t="s">
        <v>6347</v>
      </c>
      <c r="G2330" s="7" t="s">
        <v>6348</v>
      </c>
      <c r="H2330" s="7" t="s">
        <v>6349</v>
      </c>
      <c r="I2330" s="9">
        <v>45355</v>
      </c>
    </row>
    <row r="2331" spans="1:9" x14ac:dyDescent="0.15">
      <c r="A2331" s="6">
        <v>2330</v>
      </c>
      <c r="B2331" s="7" t="s">
        <v>8</v>
      </c>
      <c r="C2331" s="8">
        <v>1887</v>
      </c>
      <c r="D2331" s="9">
        <v>45425</v>
      </c>
      <c r="E2331" s="13" t="str">
        <f>+HYPERLINK("http://trademark.i-assist.jp/data/china/image_1887th/77091208.pdf","77091208")</f>
        <v>77091208</v>
      </c>
      <c r="F2331" s="7" t="s">
        <v>6350</v>
      </c>
      <c r="G2331" s="7" t="s">
        <v>6351</v>
      </c>
      <c r="H2331" s="7" t="s">
        <v>6352</v>
      </c>
      <c r="I2331" s="9">
        <v>45355</v>
      </c>
    </row>
    <row r="2332" spans="1:9" x14ac:dyDescent="0.15">
      <c r="A2332" s="6">
        <v>2331</v>
      </c>
      <c r="B2332" s="7" t="s">
        <v>8</v>
      </c>
      <c r="C2332" s="8">
        <v>1887</v>
      </c>
      <c r="D2332" s="9">
        <v>45425</v>
      </c>
      <c r="E2332" s="13" t="str">
        <f>+HYPERLINK("http://trademark.i-assist.jp/data/china/image_1887th/77091452.pdf","77091452")</f>
        <v>77091452</v>
      </c>
      <c r="F2332" s="7" t="s">
        <v>6353</v>
      </c>
      <c r="G2332" s="7" t="s">
        <v>6354</v>
      </c>
      <c r="H2332" s="7" t="s">
        <v>6355</v>
      </c>
      <c r="I2332" s="9">
        <v>45355</v>
      </c>
    </row>
    <row r="2333" spans="1:9" x14ac:dyDescent="0.15">
      <c r="A2333" s="6">
        <v>2332</v>
      </c>
      <c r="B2333" s="7" t="s">
        <v>8</v>
      </c>
      <c r="C2333" s="8">
        <v>1887</v>
      </c>
      <c r="D2333" s="9">
        <v>45425</v>
      </c>
      <c r="E2333" s="13" t="str">
        <f>+HYPERLINK("http://trademark.i-assist.jp/data/china/image_1887th/77092181.pdf","77092181")</f>
        <v>77092181</v>
      </c>
      <c r="F2333" s="7" t="s">
        <v>6356</v>
      </c>
      <c r="G2333" s="7" t="s">
        <v>6357</v>
      </c>
      <c r="H2333" s="7" t="s">
        <v>6358</v>
      </c>
      <c r="I2333" s="9">
        <v>45355</v>
      </c>
    </row>
    <row r="2334" spans="1:9" x14ac:dyDescent="0.15">
      <c r="A2334" s="6">
        <v>2333</v>
      </c>
      <c r="B2334" s="7" t="s">
        <v>8</v>
      </c>
      <c r="C2334" s="8">
        <v>1887</v>
      </c>
      <c r="D2334" s="9">
        <v>45425</v>
      </c>
      <c r="E2334" s="13" t="str">
        <f>+HYPERLINK("http://trademark.i-assist.jp/data/china/image_1887th/77092826.pdf","77092826")</f>
        <v>77092826</v>
      </c>
      <c r="F2334" s="7" t="s">
        <v>6359</v>
      </c>
      <c r="G2334" s="7" t="s">
        <v>6299</v>
      </c>
      <c r="H2334" s="7" t="s">
        <v>6360</v>
      </c>
      <c r="I2334" s="9">
        <v>45355</v>
      </c>
    </row>
    <row r="2335" spans="1:9" ht="27" x14ac:dyDescent="0.15">
      <c r="A2335" s="6">
        <v>2334</v>
      </c>
      <c r="B2335" s="7" t="s">
        <v>8</v>
      </c>
      <c r="C2335" s="8">
        <v>1887</v>
      </c>
      <c r="D2335" s="9">
        <v>45425</v>
      </c>
      <c r="E2335" s="13" t="str">
        <f>+HYPERLINK("http://trademark.i-assist.jp/data/china/image_1887th/77093176.pdf","77093176")</f>
        <v>77093176</v>
      </c>
      <c r="F2335" s="7" t="s">
        <v>6361</v>
      </c>
      <c r="G2335" s="7" t="s">
        <v>6197</v>
      </c>
      <c r="H2335" s="7" t="s">
        <v>6362</v>
      </c>
      <c r="I2335" s="9">
        <v>45355</v>
      </c>
    </row>
    <row r="2336" spans="1:9" x14ac:dyDescent="0.15">
      <c r="A2336" s="6">
        <v>2335</v>
      </c>
      <c r="B2336" s="7" t="s">
        <v>8</v>
      </c>
      <c r="C2336" s="8">
        <v>1887</v>
      </c>
      <c r="D2336" s="9">
        <v>45425</v>
      </c>
      <c r="E2336" s="13" t="str">
        <f>+HYPERLINK("http://trademark.i-assist.jp/data/china/image_1887th/77094878.pdf","77094878")</f>
        <v>77094878</v>
      </c>
      <c r="F2336" s="7" t="s">
        <v>6363</v>
      </c>
      <c r="G2336" s="7" t="s">
        <v>6364</v>
      </c>
      <c r="H2336" s="7" t="s">
        <v>6365</v>
      </c>
      <c r="I2336" s="9">
        <v>45355</v>
      </c>
    </row>
    <row r="2337" spans="1:9" ht="27" x14ac:dyDescent="0.15">
      <c r="A2337" s="6">
        <v>2336</v>
      </c>
      <c r="B2337" s="7" t="s">
        <v>8</v>
      </c>
      <c r="C2337" s="8">
        <v>1887</v>
      </c>
      <c r="D2337" s="9">
        <v>45425</v>
      </c>
      <c r="E2337" s="13" t="str">
        <f>+HYPERLINK("http://trademark.i-assist.jp/data/china/image_1887th/77095052.pdf","77095052")</f>
        <v>77095052</v>
      </c>
      <c r="F2337" s="7" t="s">
        <v>6366</v>
      </c>
      <c r="G2337" s="7" t="s">
        <v>6367</v>
      </c>
      <c r="H2337" s="7" t="s">
        <v>6368</v>
      </c>
      <c r="I2337" s="9">
        <v>45355</v>
      </c>
    </row>
    <row r="2338" spans="1:9" x14ac:dyDescent="0.15">
      <c r="A2338" s="6">
        <v>2337</v>
      </c>
      <c r="B2338" s="7" t="s">
        <v>8</v>
      </c>
      <c r="C2338" s="8">
        <v>1887</v>
      </c>
      <c r="D2338" s="9">
        <v>45425</v>
      </c>
      <c r="E2338" s="13" t="str">
        <f>+HYPERLINK("http://trademark.i-assist.jp/data/china/image_1887th/77095446.pdf","77095446")</f>
        <v>77095446</v>
      </c>
      <c r="F2338" s="7" t="s">
        <v>6369</v>
      </c>
      <c r="G2338" s="7" t="s">
        <v>6370</v>
      </c>
      <c r="H2338" s="7" t="s">
        <v>6371</v>
      </c>
      <c r="I2338" s="9">
        <v>45355</v>
      </c>
    </row>
    <row r="2339" spans="1:9" x14ac:dyDescent="0.15">
      <c r="A2339" s="6">
        <v>2338</v>
      </c>
      <c r="B2339" s="7" t="s">
        <v>8</v>
      </c>
      <c r="C2339" s="8">
        <v>1887</v>
      </c>
      <c r="D2339" s="9">
        <v>45425</v>
      </c>
      <c r="E2339" s="13" t="str">
        <f>+HYPERLINK("http://trademark.i-assist.jp/data/china/image_1887th/77095551.pdf","77095551")</f>
        <v>77095551</v>
      </c>
      <c r="F2339" s="7" t="s">
        <v>6372</v>
      </c>
      <c r="G2339" s="7" t="s">
        <v>6373</v>
      </c>
      <c r="H2339" s="7" t="s">
        <v>6374</v>
      </c>
      <c r="I2339" s="9">
        <v>45355</v>
      </c>
    </row>
    <row r="2340" spans="1:9" ht="27" x14ac:dyDescent="0.15">
      <c r="A2340" s="6">
        <v>2339</v>
      </c>
      <c r="B2340" s="7" t="s">
        <v>8</v>
      </c>
      <c r="C2340" s="8">
        <v>1887</v>
      </c>
      <c r="D2340" s="9">
        <v>45425</v>
      </c>
      <c r="E2340" s="13" t="str">
        <f>+HYPERLINK("http://trademark.i-assist.jp/data/china/image_1887th/77095907.pdf","77095907")</f>
        <v>77095907</v>
      </c>
      <c r="F2340" s="7" t="s">
        <v>6375</v>
      </c>
      <c r="G2340" s="7" t="s">
        <v>6376</v>
      </c>
      <c r="H2340" s="7" t="s">
        <v>6377</v>
      </c>
      <c r="I2340" s="9">
        <v>45355</v>
      </c>
    </row>
    <row r="2341" spans="1:9" x14ac:dyDescent="0.15">
      <c r="A2341" s="6">
        <v>2340</v>
      </c>
      <c r="B2341" s="7" t="s">
        <v>8</v>
      </c>
      <c r="C2341" s="8">
        <v>1887</v>
      </c>
      <c r="D2341" s="9">
        <v>45425</v>
      </c>
      <c r="E2341" s="13" t="str">
        <f>+HYPERLINK("http://trademark.i-assist.jp/data/china/image_1887th/77096115.pdf","77096115")</f>
        <v>77096115</v>
      </c>
      <c r="F2341" s="7" t="s">
        <v>6378</v>
      </c>
      <c r="G2341" s="7" t="s">
        <v>6299</v>
      </c>
      <c r="H2341" s="7" t="s">
        <v>6379</v>
      </c>
      <c r="I2341" s="9">
        <v>45355</v>
      </c>
    </row>
    <row r="2342" spans="1:9" x14ac:dyDescent="0.15">
      <c r="A2342" s="6">
        <v>2341</v>
      </c>
      <c r="B2342" s="7" t="s">
        <v>8</v>
      </c>
      <c r="C2342" s="8">
        <v>1887</v>
      </c>
      <c r="D2342" s="9">
        <v>45425</v>
      </c>
      <c r="E2342" s="13" t="str">
        <f>+HYPERLINK("http://trademark.i-assist.jp/data/china/image_1887th/77096264.pdf","77096264")</f>
        <v>77096264</v>
      </c>
      <c r="F2342" s="7" t="s">
        <v>6380</v>
      </c>
      <c r="G2342" s="7" t="s">
        <v>6381</v>
      </c>
      <c r="H2342" s="7" t="s">
        <v>6382</v>
      </c>
      <c r="I2342" s="9">
        <v>45355</v>
      </c>
    </row>
    <row r="2343" spans="1:9" x14ac:dyDescent="0.15">
      <c r="A2343" s="6">
        <v>2342</v>
      </c>
      <c r="B2343" s="7" t="s">
        <v>8</v>
      </c>
      <c r="C2343" s="8">
        <v>1887</v>
      </c>
      <c r="D2343" s="9">
        <v>45425</v>
      </c>
      <c r="E2343" s="13" t="str">
        <f>+HYPERLINK("http://trademark.i-assist.jp/data/china/image_1887th/77096418.pdf","77096418")</f>
        <v>77096418</v>
      </c>
      <c r="F2343" s="7" t="s">
        <v>6383</v>
      </c>
      <c r="G2343" s="7" t="s">
        <v>6299</v>
      </c>
      <c r="H2343" s="7" t="s">
        <v>6384</v>
      </c>
      <c r="I2343" s="9">
        <v>45355</v>
      </c>
    </row>
    <row r="2344" spans="1:9" x14ac:dyDescent="0.15">
      <c r="A2344" s="6">
        <v>2343</v>
      </c>
      <c r="B2344" s="7" t="s">
        <v>8</v>
      </c>
      <c r="C2344" s="8">
        <v>1887</v>
      </c>
      <c r="D2344" s="9">
        <v>45425</v>
      </c>
      <c r="E2344" s="13" t="str">
        <f>+HYPERLINK("http://trademark.i-assist.jp/data/china/image_1887th/77096450.pdf","77096450")</f>
        <v>77096450</v>
      </c>
      <c r="F2344" s="7" t="s">
        <v>6385</v>
      </c>
      <c r="G2344" s="7" t="s">
        <v>6299</v>
      </c>
      <c r="H2344" s="7" t="s">
        <v>6386</v>
      </c>
      <c r="I2344" s="9">
        <v>45355</v>
      </c>
    </row>
    <row r="2345" spans="1:9" x14ac:dyDescent="0.15">
      <c r="A2345" s="6">
        <v>2344</v>
      </c>
      <c r="B2345" s="7" t="s">
        <v>8</v>
      </c>
      <c r="C2345" s="8">
        <v>1887</v>
      </c>
      <c r="D2345" s="9">
        <v>45425</v>
      </c>
      <c r="E2345" s="13" t="str">
        <f>+HYPERLINK("http://trademark.i-assist.jp/data/china/image_1887th/77096572.pdf","77096572")</f>
        <v>77096572</v>
      </c>
      <c r="F2345" s="7" t="s">
        <v>6387</v>
      </c>
      <c r="G2345" s="7" t="s">
        <v>6313</v>
      </c>
      <c r="H2345" s="7" t="s">
        <v>6388</v>
      </c>
      <c r="I2345" s="9">
        <v>45355</v>
      </c>
    </row>
    <row r="2346" spans="1:9" x14ac:dyDescent="0.15">
      <c r="A2346" s="6">
        <v>2345</v>
      </c>
      <c r="B2346" s="7" t="s">
        <v>8</v>
      </c>
      <c r="C2346" s="8">
        <v>1887</v>
      </c>
      <c r="D2346" s="9">
        <v>45425</v>
      </c>
      <c r="E2346" s="13" t="str">
        <f>+HYPERLINK("http://trademark.i-assist.jp/data/china/image_1887th/77097253.pdf","77097253")</f>
        <v>77097253</v>
      </c>
      <c r="F2346" s="7" t="s">
        <v>6389</v>
      </c>
      <c r="G2346" s="7" t="s">
        <v>6390</v>
      </c>
      <c r="H2346" s="7" t="s">
        <v>6391</v>
      </c>
      <c r="I2346" s="9">
        <v>45355</v>
      </c>
    </row>
    <row r="2347" spans="1:9" x14ac:dyDescent="0.15">
      <c r="A2347" s="6">
        <v>2346</v>
      </c>
      <c r="B2347" s="7" t="s">
        <v>8</v>
      </c>
      <c r="C2347" s="8">
        <v>1887</v>
      </c>
      <c r="D2347" s="9">
        <v>45425</v>
      </c>
      <c r="E2347" s="13" t="str">
        <f>+HYPERLINK("http://trademark.i-assist.jp/data/china/image_1887th/77099137.pdf","77099137")</f>
        <v>77099137</v>
      </c>
      <c r="F2347" s="7" t="s">
        <v>6392</v>
      </c>
      <c r="G2347" s="7" t="s">
        <v>6393</v>
      </c>
      <c r="H2347" s="7" t="s">
        <v>6394</v>
      </c>
      <c r="I2347" s="9">
        <v>45356</v>
      </c>
    </row>
    <row r="2348" spans="1:9" x14ac:dyDescent="0.15">
      <c r="A2348" s="6">
        <v>2347</v>
      </c>
      <c r="B2348" s="7" t="s">
        <v>8</v>
      </c>
      <c r="C2348" s="8">
        <v>1887</v>
      </c>
      <c r="D2348" s="9">
        <v>45425</v>
      </c>
      <c r="E2348" s="13" t="str">
        <f>+HYPERLINK("http://trademark.i-assist.jp/data/china/image_1887th/77099386.pdf","77099386")</f>
        <v>77099386</v>
      </c>
      <c r="F2348" s="7" t="s">
        <v>6395</v>
      </c>
      <c r="G2348" s="7" t="s">
        <v>6396</v>
      </c>
      <c r="H2348" s="7" t="s">
        <v>6397</v>
      </c>
      <c r="I2348" s="9">
        <v>45356</v>
      </c>
    </row>
    <row r="2349" spans="1:9" x14ac:dyDescent="0.15">
      <c r="A2349" s="6">
        <v>2348</v>
      </c>
      <c r="B2349" s="7" t="s">
        <v>8</v>
      </c>
      <c r="C2349" s="8">
        <v>1887</v>
      </c>
      <c r="D2349" s="9">
        <v>45425</v>
      </c>
      <c r="E2349" s="13" t="str">
        <f>+HYPERLINK("http://trademark.i-assist.jp/data/china/image_1887th/77099521.pdf","77099521")</f>
        <v>77099521</v>
      </c>
      <c r="F2349" s="7" t="s">
        <v>6398</v>
      </c>
      <c r="G2349" s="7" t="s">
        <v>6399</v>
      </c>
      <c r="H2349" s="7" t="s">
        <v>6400</v>
      </c>
      <c r="I2349" s="9">
        <v>45356</v>
      </c>
    </row>
    <row r="2350" spans="1:9" x14ac:dyDescent="0.15">
      <c r="A2350" s="6">
        <v>2349</v>
      </c>
      <c r="B2350" s="7" t="s">
        <v>8</v>
      </c>
      <c r="C2350" s="8">
        <v>1887</v>
      </c>
      <c r="D2350" s="9">
        <v>45425</v>
      </c>
      <c r="E2350" s="13" t="str">
        <f>+HYPERLINK("http://trademark.i-assist.jp/data/china/image_1887th/77100285.pdf","77100285")</f>
        <v>77100285</v>
      </c>
      <c r="F2350" s="7" t="s">
        <v>6401</v>
      </c>
      <c r="G2350" s="7" t="s">
        <v>6402</v>
      </c>
      <c r="H2350" s="7" t="s">
        <v>6403</v>
      </c>
      <c r="I2350" s="9">
        <v>45356</v>
      </c>
    </row>
    <row r="2351" spans="1:9" x14ac:dyDescent="0.15">
      <c r="A2351" s="6">
        <v>2350</v>
      </c>
      <c r="B2351" s="7" t="s">
        <v>8</v>
      </c>
      <c r="C2351" s="8">
        <v>1887</v>
      </c>
      <c r="D2351" s="9">
        <v>45425</v>
      </c>
      <c r="E2351" s="13" t="str">
        <f>+HYPERLINK("http://trademark.i-assist.jp/data/china/image_1887th/77100445.pdf","77100445")</f>
        <v>77100445</v>
      </c>
      <c r="F2351" s="7" t="s">
        <v>6404</v>
      </c>
      <c r="G2351" s="7" t="s">
        <v>6405</v>
      </c>
      <c r="H2351" s="7" t="s">
        <v>6406</v>
      </c>
      <c r="I2351" s="9">
        <v>45356</v>
      </c>
    </row>
    <row r="2352" spans="1:9" x14ac:dyDescent="0.15">
      <c r="A2352" s="6">
        <v>2351</v>
      </c>
      <c r="B2352" s="7" t="s">
        <v>8</v>
      </c>
      <c r="C2352" s="8">
        <v>1887</v>
      </c>
      <c r="D2352" s="9">
        <v>45425</v>
      </c>
      <c r="E2352" s="13" t="str">
        <f>+HYPERLINK("http://trademark.i-assist.jp/data/china/image_1887th/77100778.pdf","77100778")</f>
        <v>77100778</v>
      </c>
      <c r="F2352" s="7" t="s">
        <v>6407</v>
      </c>
      <c r="G2352" s="7" t="s">
        <v>6408</v>
      </c>
      <c r="H2352" s="7" t="s">
        <v>6409</v>
      </c>
      <c r="I2352" s="9">
        <v>45356</v>
      </c>
    </row>
    <row r="2353" spans="1:9" ht="27" x14ac:dyDescent="0.15">
      <c r="A2353" s="6">
        <v>2352</v>
      </c>
      <c r="B2353" s="7" t="s">
        <v>8</v>
      </c>
      <c r="C2353" s="8">
        <v>1887</v>
      </c>
      <c r="D2353" s="9">
        <v>45425</v>
      </c>
      <c r="E2353" s="13" t="str">
        <f>+HYPERLINK("http://trademark.i-assist.jp/data/china/image_1887th/77101167.pdf","77101167")</f>
        <v>77101167</v>
      </c>
      <c r="F2353" s="7" t="s">
        <v>6410</v>
      </c>
      <c r="G2353" s="7" t="s">
        <v>6411</v>
      </c>
      <c r="H2353" s="7" t="s">
        <v>6412</v>
      </c>
      <c r="I2353" s="9">
        <v>45356</v>
      </c>
    </row>
    <row r="2354" spans="1:9" x14ac:dyDescent="0.15">
      <c r="A2354" s="6">
        <v>2353</v>
      </c>
      <c r="B2354" s="7" t="s">
        <v>8</v>
      </c>
      <c r="C2354" s="8">
        <v>1887</v>
      </c>
      <c r="D2354" s="9">
        <v>45425</v>
      </c>
      <c r="E2354" s="13" t="str">
        <f>+HYPERLINK("http://trademark.i-assist.jp/data/china/image_1887th/77101226.pdf","77101226")</f>
        <v>77101226</v>
      </c>
      <c r="F2354" s="7" t="s">
        <v>6413</v>
      </c>
      <c r="G2354" s="7" t="s">
        <v>6414</v>
      </c>
      <c r="H2354" s="7" t="s">
        <v>6415</v>
      </c>
      <c r="I2354" s="9">
        <v>45356</v>
      </c>
    </row>
    <row r="2355" spans="1:9" x14ac:dyDescent="0.15">
      <c r="A2355" s="6">
        <v>2354</v>
      </c>
      <c r="B2355" s="7" t="s">
        <v>8</v>
      </c>
      <c r="C2355" s="8">
        <v>1887</v>
      </c>
      <c r="D2355" s="9">
        <v>45425</v>
      </c>
      <c r="E2355" s="13" t="str">
        <f>+HYPERLINK("http://trademark.i-assist.jp/data/china/image_1887th/77101351.pdf","77101351")</f>
        <v>77101351</v>
      </c>
      <c r="F2355" s="7" t="s">
        <v>6416</v>
      </c>
      <c r="G2355" s="7" t="s">
        <v>6417</v>
      </c>
      <c r="H2355" s="7" t="s">
        <v>6418</v>
      </c>
      <c r="I2355" s="9">
        <v>45356</v>
      </c>
    </row>
    <row r="2356" spans="1:9" x14ac:dyDescent="0.15">
      <c r="A2356" s="6">
        <v>2355</v>
      </c>
      <c r="B2356" s="7" t="s">
        <v>8</v>
      </c>
      <c r="C2356" s="8">
        <v>1887</v>
      </c>
      <c r="D2356" s="9">
        <v>45425</v>
      </c>
      <c r="E2356" s="13" t="str">
        <f>+HYPERLINK("http://trademark.i-assist.jp/data/china/image_1887th/77102466.pdf","77102466")</f>
        <v>77102466</v>
      </c>
      <c r="F2356" s="7" t="s">
        <v>6419</v>
      </c>
      <c r="G2356" s="7" t="s">
        <v>6420</v>
      </c>
      <c r="H2356" s="7" t="s">
        <v>6421</v>
      </c>
      <c r="I2356" s="9">
        <v>45356</v>
      </c>
    </row>
    <row r="2357" spans="1:9" x14ac:dyDescent="0.15">
      <c r="A2357" s="6">
        <v>2356</v>
      </c>
      <c r="B2357" s="7" t="s">
        <v>8</v>
      </c>
      <c r="C2357" s="8">
        <v>1887</v>
      </c>
      <c r="D2357" s="9">
        <v>45425</v>
      </c>
      <c r="E2357" s="13" t="str">
        <f>+HYPERLINK("http://trademark.i-assist.jp/data/china/image_1887th/77102499.pdf","77102499")</f>
        <v>77102499</v>
      </c>
      <c r="F2357" s="7" t="s">
        <v>6422</v>
      </c>
      <c r="G2357" s="7" t="s">
        <v>6420</v>
      </c>
      <c r="H2357" s="7" t="s">
        <v>6423</v>
      </c>
      <c r="I2357" s="9">
        <v>45356</v>
      </c>
    </row>
    <row r="2358" spans="1:9" x14ac:dyDescent="0.15">
      <c r="A2358" s="6">
        <v>2357</v>
      </c>
      <c r="B2358" s="7" t="s">
        <v>8</v>
      </c>
      <c r="C2358" s="8">
        <v>1887</v>
      </c>
      <c r="D2358" s="9">
        <v>45425</v>
      </c>
      <c r="E2358" s="13" t="str">
        <f>+HYPERLINK("http://trademark.i-assist.jp/data/china/image_1887th/77102653.pdf","77102653")</f>
        <v>77102653</v>
      </c>
      <c r="F2358" s="7" t="s">
        <v>6424</v>
      </c>
      <c r="G2358" s="7" t="s">
        <v>6425</v>
      </c>
      <c r="H2358" s="7" t="s">
        <v>6426</v>
      </c>
      <c r="I2358" s="9">
        <v>45356</v>
      </c>
    </row>
    <row r="2359" spans="1:9" x14ac:dyDescent="0.15">
      <c r="A2359" s="6">
        <v>2358</v>
      </c>
      <c r="B2359" s="7" t="s">
        <v>8</v>
      </c>
      <c r="C2359" s="8">
        <v>1887</v>
      </c>
      <c r="D2359" s="9">
        <v>45425</v>
      </c>
      <c r="E2359" s="13" t="str">
        <f>+HYPERLINK("http://trademark.i-assist.jp/data/china/image_1887th/77102785.pdf","77102785")</f>
        <v>77102785</v>
      </c>
      <c r="F2359" s="7" t="s">
        <v>6427</v>
      </c>
      <c r="G2359" s="7" t="s">
        <v>6428</v>
      </c>
      <c r="H2359" s="7" t="s">
        <v>6429</v>
      </c>
      <c r="I2359" s="9">
        <v>45356</v>
      </c>
    </row>
    <row r="2360" spans="1:9" x14ac:dyDescent="0.15">
      <c r="A2360" s="6">
        <v>2359</v>
      </c>
      <c r="B2360" s="7" t="s">
        <v>8</v>
      </c>
      <c r="C2360" s="8">
        <v>1887</v>
      </c>
      <c r="D2360" s="9">
        <v>45425</v>
      </c>
      <c r="E2360" s="13" t="str">
        <f>+HYPERLINK("http://trademark.i-assist.jp/data/china/image_1887th/77103024.pdf","77103024")</f>
        <v>77103024</v>
      </c>
      <c r="F2360" s="7" t="s">
        <v>6430</v>
      </c>
      <c r="G2360" s="7" t="s">
        <v>6254</v>
      </c>
      <c r="H2360" s="7" t="s">
        <v>6431</v>
      </c>
      <c r="I2360" s="9">
        <v>45356</v>
      </c>
    </row>
    <row r="2361" spans="1:9" x14ac:dyDescent="0.15">
      <c r="A2361" s="6">
        <v>2360</v>
      </c>
      <c r="B2361" s="7" t="s">
        <v>8</v>
      </c>
      <c r="C2361" s="8">
        <v>1887</v>
      </c>
      <c r="D2361" s="9">
        <v>45425</v>
      </c>
      <c r="E2361" s="13" t="str">
        <f>+HYPERLINK("http://trademark.i-assist.jp/data/china/image_1887th/77103138.pdf","77103138")</f>
        <v>77103138</v>
      </c>
      <c r="F2361" s="7" t="s">
        <v>6432</v>
      </c>
      <c r="G2361" s="7" t="s">
        <v>6433</v>
      </c>
      <c r="H2361" s="7" t="s">
        <v>6434</v>
      </c>
      <c r="I2361" s="9">
        <v>45356</v>
      </c>
    </row>
    <row r="2362" spans="1:9" x14ac:dyDescent="0.15">
      <c r="A2362" s="6">
        <v>2361</v>
      </c>
      <c r="B2362" s="7" t="s">
        <v>8</v>
      </c>
      <c r="C2362" s="8">
        <v>1887</v>
      </c>
      <c r="D2362" s="9">
        <v>45425</v>
      </c>
      <c r="E2362" s="13" t="str">
        <f>+HYPERLINK("http://trademark.i-assist.jp/data/china/image_1887th/77103321.pdf","77103321")</f>
        <v>77103321</v>
      </c>
      <c r="F2362" s="7" t="s">
        <v>6435</v>
      </c>
      <c r="G2362" s="7" t="s">
        <v>6396</v>
      </c>
      <c r="H2362" s="7" t="s">
        <v>6436</v>
      </c>
      <c r="I2362" s="9">
        <v>45356</v>
      </c>
    </row>
    <row r="2363" spans="1:9" x14ac:dyDescent="0.15">
      <c r="A2363" s="6">
        <v>2362</v>
      </c>
      <c r="B2363" s="7" t="s">
        <v>8</v>
      </c>
      <c r="C2363" s="8">
        <v>1887</v>
      </c>
      <c r="D2363" s="9">
        <v>45425</v>
      </c>
      <c r="E2363" s="13" t="str">
        <f>+HYPERLINK("http://trademark.i-assist.jp/data/china/image_1887th/77103853.pdf","77103853")</f>
        <v>77103853</v>
      </c>
      <c r="F2363" s="7" t="s">
        <v>6437</v>
      </c>
      <c r="G2363" s="7" t="s">
        <v>6437</v>
      </c>
      <c r="H2363" s="7" t="s">
        <v>6438</v>
      </c>
      <c r="I2363" s="9">
        <v>45356</v>
      </c>
    </row>
    <row r="2364" spans="1:9" x14ac:dyDescent="0.15">
      <c r="A2364" s="6">
        <v>2363</v>
      </c>
      <c r="B2364" s="7" t="s">
        <v>8</v>
      </c>
      <c r="C2364" s="8">
        <v>1887</v>
      </c>
      <c r="D2364" s="9">
        <v>45425</v>
      </c>
      <c r="E2364" s="13" t="str">
        <f>+HYPERLINK("http://trademark.i-assist.jp/data/china/image_1887th/77104874.pdf","77104874")</f>
        <v>77104874</v>
      </c>
      <c r="F2364" s="7" t="s">
        <v>54</v>
      </c>
      <c r="G2364" s="7" t="s">
        <v>6439</v>
      </c>
      <c r="H2364" s="7" t="s">
        <v>6440</v>
      </c>
      <c r="I2364" s="9">
        <v>45356</v>
      </c>
    </row>
    <row r="2365" spans="1:9" x14ac:dyDescent="0.15">
      <c r="A2365" s="6">
        <v>2364</v>
      </c>
      <c r="B2365" s="7" t="s">
        <v>8</v>
      </c>
      <c r="C2365" s="8">
        <v>1887</v>
      </c>
      <c r="D2365" s="9">
        <v>45425</v>
      </c>
      <c r="E2365" s="13" t="str">
        <f>+HYPERLINK("http://trademark.i-assist.jp/data/china/image_1887th/77105379.pdf","77105379")</f>
        <v>77105379</v>
      </c>
      <c r="F2365" s="7" t="s">
        <v>6441</v>
      </c>
      <c r="G2365" s="7" t="s">
        <v>6442</v>
      </c>
      <c r="H2365" s="7" t="s">
        <v>6443</v>
      </c>
      <c r="I2365" s="9">
        <v>45356</v>
      </c>
    </row>
    <row r="2366" spans="1:9" x14ac:dyDescent="0.15">
      <c r="A2366" s="6">
        <v>2365</v>
      </c>
      <c r="B2366" s="7" t="s">
        <v>8</v>
      </c>
      <c r="C2366" s="8">
        <v>1887</v>
      </c>
      <c r="D2366" s="9">
        <v>45425</v>
      </c>
      <c r="E2366" s="13" t="str">
        <f>+HYPERLINK("http://trademark.i-assist.jp/data/china/image_1887th/77105719.pdf","77105719")</f>
        <v>77105719</v>
      </c>
      <c r="F2366" s="7" t="s">
        <v>6444</v>
      </c>
      <c r="G2366" s="7" t="s">
        <v>6445</v>
      </c>
      <c r="H2366" s="7" t="s">
        <v>6446</v>
      </c>
      <c r="I2366" s="9">
        <v>45356</v>
      </c>
    </row>
    <row r="2367" spans="1:9" x14ac:dyDescent="0.15">
      <c r="A2367" s="6">
        <v>2366</v>
      </c>
      <c r="B2367" s="7" t="s">
        <v>8</v>
      </c>
      <c r="C2367" s="8">
        <v>1887</v>
      </c>
      <c r="D2367" s="9">
        <v>45425</v>
      </c>
      <c r="E2367" s="13" t="str">
        <f>+HYPERLINK("http://trademark.i-assist.jp/data/china/image_1887th/77105997.pdf","77105997")</f>
        <v>77105997</v>
      </c>
      <c r="F2367" s="7" t="s">
        <v>6447</v>
      </c>
      <c r="G2367" s="7" t="s">
        <v>6448</v>
      </c>
      <c r="H2367" s="7" t="s">
        <v>6449</v>
      </c>
      <c r="I2367" s="9">
        <v>45356</v>
      </c>
    </row>
    <row r="2368" spans="1:9" x14ac:dyDescent="0.15">
      <c r="A2368" s="6">
        <v>2367</v>
      </c>
      <c r="B2368" s="7" t="s">
        <v>8</v>
      </c>
      <c r="C2368" s="8">
        <v>1887</v>
      </c>
      <c r="D2368" s="9">
        <v>45425</v>
      </c>
      <c r="E2368" s="13" t="str">
        <f>+HYPERLINK("http://trademark.i-assist.jp/data/china/image_1887th/77106314.pdf","77106314")</f>
        <v>77106314</v>
      </c>
      <c r="F2368" s="7" t="s">
        <v>6450</v>
      </c>
      <c r="G2368" s="7" t="s">
        <v>6451</v>
      </c>
      <c r="H2368" s="7" t="s">
        <v>6452</v>
      </c>
      <c r="I2368" s="9">
        <v>45356</v>
      </c>
    </row>
    <row r="2369" spans="1:9" x14ac:dyDescent="0.15">
      <c r="A2369" s="6">
        <v>2368</v>
      </c>
      <c r="B2369" s="7" t="s">
        <v>8</v>
      </c>
      <c r="C2369" s="8">
        <v>1887</v>
      </c>
      <c r="D2369" s="9">
        <v>45425</v>
      </c>
      <c r="E2369" s="13" t="str">
        <f>+HYPERLINK("http://trademark.i-assist.jp/data/china/image_1887th/77106757.pdf","77106757")</f>
        <v>77106757</v>
      </c>
      <c r="F2369" s="7" t="s">
        <v>6453</v>
      </c>
      <c r="G2369" s="7" t="s">
        <v>6454</v>
      </c>
      <c r="H2369" s="7" t="s">
        <v>6455</v>
      </c>
      <c r="I2369" s="9">
        <v>45356</v>
      </c>
    </row>
    <row r="2370" spans="1:9" x14ac:dyDescent="0.15">
      <c r="A2370" s="6">
        <v>2369</v>
      </c>
      <c r="B2370" s="7" t="s">
        <v>8</v>
      </c>
      <c r="C2370" s="8">
        <v>1887</v>
      </c>
      <c r="D2370" s="9">
        <v>45425</v>
      </c>
      <c r="E2370" s="13" t="str">
        <f>+HYPERLINK("http://trademark.i-assist.jp/data/china/image_1887th/77106984.pdf","77106984")</f>
        <v>77106984</v>
      </c>
      <c r="F2370" s="7" t="s">
        <v>6456</v>
      </c>
      <c r="G2370" s="7" t="s">
        <v>6457</v>
      </c>
      <c r="H2370" s="7" t="s">
        <v>6458</v>
      </c>
      <c r="I2370" s="9">
        <v>45356</v>
      </c>
    </row>
    <row r="2371" spans="1:9" ht="27" x14ac:dyDescent="0.15">
      <c r="A2371" s="6">
        <v>2370</v>
      </c>
      <c r="B2371" s="7" t="s">
        <v>8</v>
      </c>
      <c r="C2371" s="8">
        <v>1887</v>
      </c>
      <c r="D2371" s="9">
        <v>45425</v>
      </c>
      <c r="E2371" s="13" t="str">
        <f>+HYPERLINK("http://trademark.i-assist.jp/data/china/image_1887th/77107269.pdf","77107269")</f>
        <v>77107269</v>
      </c>
      <c r="F2371" s="7" t="s">
        <v>6459</v>
      </c>
      <c r="G2371" s="7" t="s">
        <v>6460</v>
      </c>
      <c r="H2371" s="7" t="s">
        <v>6461</v>
      </c>
      <c r="I2371" s="9">
        <v>45356</v>
      </c>
    </row>
    <row r="2372" spans="1:9" ht="27" x14ac:dyDescent="0.15">
      <c r="A2372" s="6">
        <v>2371</v>
      </c>
      <c r="B2372" s="7" t="s">
        <v>8</v>
      </c>
      <c r="C2372" s="8">
        <v>1887</v>
      </c>
      <c r="D2372" s="9">
        <v>45425</v>
      </c>
      <c r="E2372" s="13" t="str">
        <f>+HYPERLINK("http://trademark.i-assist.jp/data/china/image_1887th/77107750.pdf","77107750")</f>
        <v>77107750</v>
      </c>
      <c r="F2372" s="7" t="s">
        <v>6462</v>
      </c>
      <c r="G2372" s="7" t="s">
        <v>6463</v>
      </c>
      <c r="H2372" s="7" t="s">
        <v>6464</v>
      </c>
      <c r="I2372" s="9">
        <v>45356</v>
      </c>
    </row>
    <row r="2373" spans="1:9" x14ac:dyDescent="0.15">
      <c r="A2373" s="6">
        <v>2372</v>
      </c>
      <c r="B2373" s="7" t="s">
        <v>8</v>
      </c>
      <c r="C2373" s="8">
        <v>1887</v>
      </c>
      <c r="D2373" s="9">
        <v>45425</v>
      </c>
      <c r="E2373" s="13" t="str">
        <f>+HYPERLINK("http://trademark.i-assist.jp/data/china/image_1887th/77109560.pdf","77109560")</f>
        <v>77109560</v>
      </c>
      <c r="F2373" s="7" t="s">
        <v>6465</v>
      </c>
      <c r="G2373" s="7" t="s">
        <v>6466</v>
      </c>
      <c r="H2373" s="7" t="s">
        <v>6467</v>
      </c>
      <c r="I2373" s="9">
        <v>45356</v>
      </c>
    </row>
    <row r="2374" spans="1:9" x14ac:dyDescent="0.15">
      <c r="A2374" s="6">
        <v>2373</v>
      </c>
      <c r="B2374" s="7" t="s">
        <v>8</v>
      </c>
      <c r="C2374" s="8">
        <v>1887</v>
      </c>
      <c r="D2374" s="9">
        <v>45425</v>
      </c>
      <c r="E2374" s="13" t="str">
        <f>+HYPERLINK("http://trademark.i-assist.jp/data/china/image_1887th/77110020.pdf","77110020")</f>
        <v>77110020</v>
      </c>
      <c r="F2374" s="7" t="s">
        <v>6468</v>
      </c>
      <c r="G2374" s="7" t="s">
        <v>919</v>
      </c>
      <c r="H2374" s="7" t="s">
        <v>6469</v>
      </c>
      <c r="I2374" s="9">
        <v>45356</v>
      </c>
    </row>
    <row r="2375" spans="1:9" x14ac:dyDescent="0.15">
      <c r="A2375" s="6">
        <v>2374</v>
      </c>
      <c r="B2375" s="7" t="s">
        <v>8</v>
      </c>
      <c r="C2375" s="8">
        <v>1887</v>
      </c>
      <c r="D2375" s="9">
        <v>45425</v>
      </c>
      <c r="E2375" s="13" t="str">
        <f>+HYPERLINK("http://trademark.i-assist.jp/data/china/image_1887th/77110480.pdf","77110480")</f>
        <v>77110480</v>
      </c>
      <c r="F2375" s="7" t="s">
        <v>6470</v>
      </c>
      <c r="G2375" s="7" t="s">
        <v>6471</v>
      </c>
      <c r="H2375" s="7" t="s">
        <v>6472</v>
      </c>
      <c r="I2375" s="9">
        <v>45356</v>
      </c>
    </row>
    <row r="2376" spans="1:9" x14ac:dyDescent="0.15">
      <c r="A2376" s="6">
        <v>2375</v>
      </c>
      <c r="B2376" s="7" t="s">
        <v>8</v>
      </c>
      <c r="C2376" s="8">
        <v>1887</v>
      </c>
      <c r="D2376" s="9">
        <v>45425</v>
      </c>
      <c r="E2376" s="13" t="str">
        <f>+HYPERLINK("http://trademark.i-assist.jp/data/china/image_1887th/77111002.pdf","77111002")</f>
        <v>77111002</v>
      </c>
      <c r="F2376" s="7" t="s">
        <v>6473</v>
      </c>
      <c r="G2376" s="7" t="s">
        <v>6474</v>
      </c>
      <c r="H2376" s="7" t="s">
        <v>6475</v>
      </c>
      <c r="I2376" s="9">
        <v>45356</v>
      </c>
    </row>
    <row r="2377" spans="1:9" x14ac:dyDescent="0.15">
      <c r="A2377" s="6">
        <v>2376</v>
      </c>
      <c r="B2377" s="7" t="s">
        <v>8</v>
      </c>
      <c r="C2377" s="8">
        <v>1887</v>
      </c>
      <c r="D2377" s="9">
        <v>45425</v>
      </c>
      <c r="E2377" s="13" t="str">
        <f>+HYPERLINK("http://trademark.i-assist.jp/data/china/image_1887th/77111535.pdf","77111535")</f>
        <v>77111535</v>
      </c>
      <c r="F2377" s="7" t="s">
        <v>6476</v>
      </c>
      <c r="G2377" s="7" t="s">
        <v>6477</v>
      </c>
      <c r="H2377" s="7" t="s">
        <v>6478</v>
      </c>
      <c r="I2377" s="9">
        <v>45356</v>
      </c>
    </row>
    <row r="2378" spans="1:9" x14ac:dyDescent="0.15">
      <c r="A2378" s="6">
        <v>2377</v>
      </c>
      <c r="B2378" s="7" t="s">
        <v>8</v>
      </c>
      <c r="C2378" s="8">
        <v>1887</v>
      </c>
      <c r="D2378" s="9">
        <v>45425</v>
      </c>
      <c r="E2378" s="13" t="str">
        <f>+HYPERLINK("http://trademark.i-assist.jp/data/china/image_1887th/77112432.pdf","77112432")</f>
        <v>77112432</v>
      </c>
      <c r="F2378" s="7" t="s">
        <v>6479</v>
      </c>
      <c r="G2378" s="7" t="s">
        <v>919</v>
      </c>
      <c r="H2378" s="7" t="s">
        <v>6480</v>
      </c>
      <c r="I2378" s="9">
        <v>45356</v>
      </c>
    </row>
    <row r="2379" spans="1:9" x14ac:dyDescent="0.15">
      <c r="A2379" s="6">
        <v>2378</v>
      </c>
      <c r="B2379" s="7" t="s">
        <v>8</v>
      </c>
      <c r="C2379" s="8">
        <v>1887</v>
      </c>
      <c r="D2379" s="9">
        <v>45425</v>
      </c>
      <c r="E2379" s="13" t="str">
        <f>+HYPERLINK("http://trademark.i-assist.jp/data/china/image_1887th/77112682.pdf","77112682")</f>
        <v>77112682</v>
      </c>
      <c r="F2379" s="7" t="s">
        <v>6481</v>
      </c>
      <c r="G2379" s="7" t="s">
        <v>6482</v>
      </c>
      <c r="H2379" s="7" t="s">
        <v>6483</v>
      </c>
      <c r="I2379" s="9">
        <v>45356</v>
      </c>
    </row>
    <row r="2380" spans="1:9" x14ac:dyDescent="0.15">
      <c r="A2380" s="6">
        <v>2379</v>
      </c>
      <c r="B2380" s="7" t="s">
        <v>8</v>
      </c>
      <c r="C2380" s="8">
        <v>1887</v>
      </c>
      <c r="D2380" s="9">
        <v>45425</v>
      </c>
      <c r="E2380" s="13" t="str">
        <f>+HYPERLINK("http://trademark.i-assist.jp/data/china/image_1887th/77112967.pdf","77112967")</f>
        <v>77112967</v>
      </c>
      <c r="F2380" s="7" t="s">
        <v>6484</v>
      </c>
      <c r="G2380" s="7" t="s">
        <v>6485</v>
      </c>
      <c r="H2380" s="7" t="s">
        <v>6486</v>
      </c>
      <c r="I2380" s="9">
        <v>45356</v>
      </c>
    </row>
    <row r="2381" spans="1:9" ht="27" x14ac:dyDescent="0.15">
      <c r="A2381" s="6">
        <v>2380</v>
      </c>
      <c r="B2381" s="7" t="s">
        <v>8</v>
      </c>
      <c r="C2381" s="8">
        <v>1887</v>
      </c>
      <c r="D2381" s="9">
        <v>45425</v>
      </c>
      <c r="E2381" s="13" t="str">
        <f>+HYPERLINK("http://trademark.i-assist.jp/data/china/image_1887th/77113205.pdf","77113205")</f>
        <v>77113205</v>
      </c>
      <c r="F2381" s="7" t="s">
        <v>6487</v>
      </c>
      <c r="G2381" s="7" t="s">
        <v>6488</v>
      </c>
      <c r="H2381" s="7" t="s">
        <v>6489</v>
      </c>
      <c r="I2381" s="9">
        <v>45356</v>
      </c>
    </row>
    <row r="2382" spans="1:9" x14ac:dyDescent="0.15">
      <c r="A2382" s="6">
        <v>2381</v>
      </c>
      <c r="B2382" s="7" t="s">
        <v>8</v>
      </c>
      <c r="C2382" s="8">
        <v>1887</v>
      </c>
      <c r="D2382" s="9">
        <v>45425</v>
      </c>
      <c r="E2382" s="13" t="str">
        <f>+HYPERLINK("http://trademark.i-assist.jp/data/china/image_1887th/77113937.pdf","77113937")</f>
        <v>77113937</v>
      </c>
      <c r="F2382" s="7" t="s">
        <v>6490</v>
      </c>
      <c r="G2382" s="7" t="s">
        <v>6393</v>
      </c>
      <c r="H2382" s="7" t="s">
        <v>6491</v>
      </c>
      <c r="I2382" s="9">
        <v>45356</v>
      </c>
    </row>
    <row r="2383" spans="1:9" x14ac:dyDescent="0.15">
      <c r="A2383" s="6">
        <v>2382</v>
      </c>
      <c r="B2383" s="7" t="s">
        <v>8</v>
      </c>
      <c r="C2383" s="8">
        <v>1887</v>
      </c>
      <c r="D2383" s="9">
        <v>45425</v>
      </c>
      <c r="E2383" s="13" t="str">
        <f>+HYPERLINK("http://trademark.i-assist.jp/data/china/image_1887th/77113939.pdf","77113939")</f>
        <v>77113939</v>
      </c>
      <c r="F2383" s="7" t="s">
        <v>6492</v>
      </c>
      <c r="G2383" s="7" t="s">
        <v>6493</v>
      </c>
      <c r="H2383" s="7" t="s">
        <v>6494</v>
      </c>
      <c r="I2383" s="9">
        <v>45356</v>
      </c>
    </row>
    <row r="2384" spans="1:9" x14ac:dyDescent="0.15">
      <c r="A2384" s="6">
        <v>2383</v>
      </c>
      <c r="B2384" s="7" t="s">
        <v>8</v>
      </c>
      <c r="C2384" s="8">
        <v>1887</v>
      </c>
      <c r="D2384" s="9">
        <v>45425</v>
      </c>
      <c r="E2384" s="13" t="str">
        <f>+HYPERLINK("http://trademark.i-assist.jp/data/china/image_1887th/77114021.pdf","77114021")</f>
        <v>77114021</v>
      </c>
      <c r="F2384" s="7" t="s">
        <v>6495</v>
      </c>
      <c r="G2384" s="7" t="s">
        <v>6420</v>
      </c>
      <c r="H2384" s="7" t="s">
        <v>6496</v>
      </c>
      <c r="I2384" s="9">
        <v>45356</v>
      </c>
    </row>
    <row r="2385" spans="1:9" x14ac:dyDescent="0.15">
      <c r="A2385" s="6">
        <v>2384</v>
      </c>
      <c r="B2385" s="7" t="s">
        <v>8</v>
      </c>
      <c r="C2385" s="8">
        <v>1887</v>
      </c>
      <c r="D2385" s="9">
        <v>45425</v>
      </c>
      <c r="E2385" s="13" t="str">
        <f>+HYPERLINK("http://trademark.i-assist.jp/data/china/image_1887th/77114034.pdf","77114034")</f>
        <v>77114034</v>
      </c>
      <c r="F2385" s="7" t="s">
        <v>6497</v>
      </c>
      <c r="G2385" s="7" t="s">
        <v>6420</v>
      </c>
      <c r="H2385" s="7" t="s">
        <v>6498</v>
      </c>
      <c r="I2385" s="9">
        <v>45356</v>
      </c>
    </row>
    <row r="2386" spans="1:9" x14ac:dyDescent="0.15">
      <c r="A2386" s="6">
        <v>2385</v>
      </c>
      <c r="B2386" s="7" t="s">
        <v>8</v>
      </c>
      <c r="C2386" s="8">
        <v>1887</v>
      </c>
      <c r="D2386" s="9">
        <v>45425</v>
      </c>
      <c r="E2386" s="13" t="str">
        <f>+HYPERLINK("http://trademark.i-assist.jp/data/china/image_1887th/77114312.pdf","77114312")</f>
        <v>77114312</v>
      </c>
      <c r="F2386" s="7" t="s">
        <v>6499</v>
      </c>
      <c r="G2386" s="7" t="s">
        <v>6500</v>
      </c>
      <c r="H2386" s="7" t="s">
        <v>6501</v>
      </c>
      <c r="I2386" s="9">
        <v>45356</v>
      </c>
    </row>
    <row r="2387" spans="1:9" x14ac:dyDescent="0.15">
      <c r="A2387" s="6">
        <v>2386</v>
      </c>
      <c r="B2387" s="7" t="s">
        <v>8</v>
      </c>
      <c r="C2387" s="8">
        <v>1887</v>
      </c>
      <c r="D2387" s="9">
        <v>45425</v>
      </c>
      <c r="E2387" s="13" t="str">
        <f>+HYPERLINK("http://trademark.i-assist.jp/data/china/image_1887th/77115265.pdf","77115265")</f>
        <v>77115265</v>
      </c>
      <c r="F2387" s="7" t="s">
        <v>6502</v>
      </c>
      <c r="G2387" s="7" t="s">
        <v>6503</v>
      </c>
      <c r="H2387" s="7" t="s">
        <v>6504</v>
      </c>
      <c r="I2387" s="9">
        <v>45356</v>
      </c>
    </row>
    <row r="2388" spans="1:9" ht="27" x14ac:dyDescent="0.15">
      <c r="A2388" s="6">
        <v>2387</v>
      </c>
      <c r="B2388" s="7" t="s">
        <v>8</v>
      </c>
      <c r="C2388" s="8">
        <v>1887</v>
      </c>
      <c r="D2388" s="9">
        <v>45425</v>
      </c>
      <c r="E2388" s="13" t="str">
        <f>+HYPERLINK("http://trademark.i-assist.jp/data/china/image_1887th/77115322.pdf","77115322")</f>
        <v>77115322</v>
      </c>
      <c r="F2388" s="7" t="s">
        <v>6505</v>
      </c>
      <c r="G2388" s="7" t="s">
        <v>6506</v>
      </c>
      <c r="H2388" s="7" t="s">
        <v>6507</v>
      </c>
      <c r="I2388" s="9">
        <v>45356</v>
      </c>
    </row>
    <row r="2389" spans="1:9" x14ac:dyDescent="0.15">
      <c r="A2389" s="6">
        <v>2388</v>
      </c>
      <c r="B2389" s="7" t="s">
        <v>8</v>
      </c>
      <c r="C2389" s="8">
        <v>1887</v>
      </c>
      <c r="D2389" s="9">
        <v>45425</v>
      </c>
      <c r="E2389" s="13" t="str">
        <f>+HYPERLINK("http://trademark.i-assist.jp/data/china/image_1887th/77115598.pdf","77115598")</f>
        <v>77115598</v>
      </c>
      <c r="F2389" s="7" t="s">
        <v>6508</v>
      </c>
      <c r="G2389" s="7" t="s">
        <v>6466</v>
      </c>
      <c r="H2389" s="7" t="s">
        <v>6509</v>
      </c>
      <c r="I2389" s="9">
        <v>45356</v>
      </c>
    </row>
    <row r="2390" spans="1:9" x14ac:dyDescent="0.15">
      <c r="A2390" s="6">
        <v>2389</v>
      </c>
      <c r="B2390" s="7" t="s">
        <v>8</v>
      </c>
      <c r="C2390" s="8">
        <v>1887</v>
      </c>
      <c r="D2390" s="9">
        <v>45425</v>
      </c>
      <c r="E2390" s="13" t="str">
        <f>+HYPERLINK("http://trademark.i-assist.jp/data/china/image_1887th/77116182.pdf","77116182")</f>
        <v>77116182</v>
      </c>
      <c r="F2390" s="7" t="s">
        <v>6510</v>
      </c>
      <c r="G2390" s="7" t="s">
        <v>6420</v>
      </c>
      <c r="H2390" s="7" t="s">
        <v>6511</v>
      </c>
      <c r="I2390" s="9">
        <v>45356</v>
      </c>
    </row>
    <row r="2391" spans="1:9" x14ac:dyDescent="0.15">
      <c r="A2391" s="6">
        <v>2390</v>
      </c>
      <c r="B2391" s="7" t="s">
        <v>8</v>
      </c>
      <c r="C2391" s="8">
        <v>1887</v>
      </c>
      <c r="D2391" s="9">
        <v>45425</v>
      </c>
      <c r="E2391" s="13" t="str">
        <f>+HYPERLINK("http://trademark.i-assist.jp/data/china/image_1887th/77116743.pdf","77116743")</f>
        <v>77116743</v>
      </c>
      <c r="F2391" s="7" t="s">
        <v>6512</v>
      </c>
      <c r="G2391" s="7" t="s">
        <v>6439</v>
      </c>
      <c r="H2391" s="7" t="s">
        <v>6513</v>
      </c>
      <c r="I2391" s="9">
        <v>45356</v>
      </c>
    </row>
    <row r="2392" spans="1:9" x14ac:dyDescent="0.15">
      <c r="A2392" s="6">
        <v>2391</v>
      </c>
      <c r="B2392" s="7" t="s">
        <v>8</v>
      </c>
      <c r="C2392" s="8">
        <v>1887</v>
      </c>
      <c r="D2392" s="9">
        <v>45425</v>
      </c>
      <c r="E2392" s="13" t="str">
        <f>+HYPERLINK("http://trademark.i-assist.jp/data/china/image_1887th/77117463.pdf","77117463")</f>
        <v>77117463</v>
      </c>
      <c r="F2392" s="7" t="s">
        <v>6514</v>
      </c>
      <c r="G2392" s="7" t="s">
        <v>6515</v>
      </c>
      <c r="H2392" s="7" t="s">
        <v>6516</v>
      </c>
      <c r="I2392" s="9">
        <v>45356</v>
      </c>
    </row>
    <row r="2393" spans="1:9" x14ac:dyDescent="0.15">
      <c r="A2393" s="6">
        <v>2392</v>
      </c>
      <c r="B2393" s="7" t="s">
        <v>8</v>
      </c>
      <c r="C2393" s="8">
        <v>1887</v>
      </c>
      <c r="D2393" s="9">
        <v>45425</v>
      </c>
      <c r="E2393" s="13" t="str">
        <f>+HYPERLINK("http://trademark.i-assist.jp/data/china/image_1887th/77117713.pdf","77117713")</f>
        <v>77117713</v>
      </c>
      <c r="F2393" s="7" t="s">
        <v>6517</v>
      </c>
      <c r="G2393" s="7" t="s">
        <v>6517</v>
      </c>
      <c r="H2393" s="7" t="s">
        <v>6518</v>
      </c>
      <c r="I2393" s="9">
        <v>45356</v>
      </c>
    </row>
    <row r="2394" spans="1:9" x14ac:dyDescent="0.15">
      <c r="A2394" s="6">
        <v>2393</v>
      </c>
      <c r="B2394" s="7" t="s">
        <v>8</v>
      </c>
      <c r="C2394" s="8">
        <v>1887</v>
      </c>
      <c r="D2394" s="9">
        <v>45425</v>
      </c>
      <c r="E2394" s="13" t="str">
        <f>+HYPERLINK("http://trademark.i-assist.jp/data/china/image_1887th/77118331.pdf","77118331")</f>
        <v>77118331</v>
      </c>
      <c r="F2394" s="7" t="s">
        <v>6519</v>
      </c>
      <c r="G2394" s="7" t="s">
        <v>6520</v>
      </c>
      <c r="H2394" s="7" t="s">
        <v>6521</v>
      </c>
      <c r="I2394" s="9">
        <v>45356</v>
      </c>
    </row>
    <row r="2395" spans="1:9" x14ac:dyDescent="0.15">
      <c r="A2395" s="6">
        <v>2394</v>
      </c>
      <c r="B2395" s="7" t="s">
        <v>8</v>
      </c>
      <c r="C2395" s="8">
        <v>1887</v>
      </c>
      <c r="D2395" s="9">
        <v>45425</v>
      </c>
      <c r="E2395" s="13" t="str">
        <f>+HYPERLINK("http://trademark.i-assist.jp/data/china/image_1887th/77118429.pdf","77118429")</f>
        <v>77118429</v>
      </c>
      <c r="F2395" s="7" t="s">
        <v>6522</v>
      </c>
      <c r="G2395" s="7" t="s">
        <v>6523</v>
      </c>
      <c r="H2395" s="7" t="s">
        <v>6524</v>
      </c>
      <c r="I2395" s="9">
        <v>45356</v>
      </c>
    </row>
    <row r="2396" spans="1:9" x14ac:dyDescent="0.15">
      <c r="A2396" s="6">
        <v>2395</v>
      </c>
      <c r="B2396" s="7" t="s">
        <v>8</v>
      </c>
      <c r="C2396" s="8">
        <v>1887</v>
      </c>
      <c r="D2396" s="9">
        <v>45425</v>
      </c>
      <c r="E2396" s="13" t="str">
        <f>+HYPERLINK("http://trademark.i-assist.jp/data/china/image_1887th/77119431.pdf","77119431")</f>
        <v>77119431</v>
      </c>
      <c r="F2396" s="7" t="s">
        <v>6525</v>
      </c>
      <c r="G2396" s="7" t="s">
        <v>6457</v>
      </c>
      <c r="H2396" s="7" t="s">
        <v>6526</v>
      </c>
      <c r="I2396" s="9">
        <v>45356</v>
      </c>
    </row>
    <row r="2397" spans="1:9" x14ac:dyDescent="0.15">
      <c r="A2397" s="6">
        <v>2396</v>
      </c>
      <c r="B2397" s="7" t="s">
        <v>8</v>
      </c>
      <c r="C2397" s="8">
        <v>1887</v>
      </c>
      <c r="D2397" s="9">
        <v>45425</v>
      </c>
      <c r="E2397" s="13" t="str">
        <f>+HYPERLINK("http://trademark.i-assist.jp/data/china/image_1887th/77120476.pdf","77120476")</f>
        <v>77120476</v>
      </c>
      <c r="F2397" s="7" t="s">
        <v>6527</v>
      </c>
      <c r="G2397" s="7" t="s">
        <v>6528</v>
      </c>
      <c r="H2397" s="7" t="s">
        <v>6529</v>
      </c>
      <c r="I2397" s="9">
        <v>45356</v>
      </c>
    </row>
    <row r="2398" spans="1:9" ht="27" x14ac:dyDescent="0.15">
      <c r="A2398" s="6">
        <v>2397</v>
      </c>
      <c r="B2398" s="7" t="s">
        <v>8</v>
      </c>
      <c r="C2398" s="8">
        <v>1887</v>
      </c>
      <c r="D2398" s="9">
        <v>45425</v>
      </c>
      <c r="E2398" s="13" t="str">
        <f>+HYPERLINK("http://trademark.i-assist.jp/data/china/image_1887th/77120630.pdf","77120630")</f>
        <v>77120630</v>
      </c>
      <c r="F2398" s="7" t="s">
        <v>6530</v>
      </c>
      <c r="G2398" s="7" t="s">
        <v>6531</v>
      </c>
      <c r="H2398" s="7" t="s">
        <v>6532</v>
      </c>
      <c r="I2398" s="9">
        <v>45356</v>
      </c>
    </row>
    <row r="2399" spans="1:9" x14ac:dyDescent="0.15">
      <c r="A2399" s="6">
        <v>2398</v>
      </c>
      <c r="B2399" s="7" t="s">
        <v>8</v>
      </c>
      <c r="C2399" s="8">
        <v>1887</v>
      </c>
      <c r="D2399" s="9">
        <v>45425</v>
      </c>
      <c r="E2399" s="13" t="str">
        <f>+HYPERLINK("http://trademark.i-assist.jp/data/china/image_1887th/77121160.pdf","77121160")</f>
        <v>77121160</v>
      </c>
      <c r="F2399" s="7" t="s">
        <v>6533</v>
      </c>
      <c r="G2399" s="7" t="s">
        <v>6457</v>
      </c>
      <c r="H2399" s="7" t="s">
        <v>6534</v>
      </c>
      <c r="I2399" s="9">
        <v>45356</v>
      </c>
    </row>
    <row r="2400" spans="1:9" x14ac:dyDescent="0.15">
      <c r="A2400" s="6">
        <v>2399</v>
      </c>
      <c r="B2400" s="7" t="s">
        <v>8</v>
      </c>
      <c r="C2400" s="8">
        <v>1887</v>
      </c>
      <c r="D2400" s="9">
        <v>45425</v>
      </c>
      <c r="E2400" s="13" t="str">
        <f>+HYPERLINK("http://trademark.i-assist.jp/data/china/image_1887th/77122235.pdf","77122235")</f>
        <v>77122235</v>
      </c>
      <c r="F2400" s="7" t="s">
        <v>6535</v>
      </c>
      <c r="G2400" s="7" t="s">
        <v>6445</v>
      </c>
      <c r="H2400" s="7" t="s">
        <v>6536</v>
      </c>
      <c r="I2400" s="9">
        <v>45356</v>
      </c>
    </row>
    <row r="2401" spans="1:9" x14ac:dyDescent="0.15">
      <c r="A2401" s="6">
        <v>2400</v>
      </c>
      <c r="B2401" s="7" t="s">
        <v>8</v>
      </c>
      <c r="C2401" s="8">
        <v>1887</v>
      </c>
      <c r="D2401" s="9">
        <v>45425</v>
      </c>
      <c r="E2401" s="13" t="str">
        <f>+HYPERLINK("http://trademark.i-assist.jp/data/china/image_1887th/77122237.pdf","77122237")</f>
        <v>77122237</v>
      </c>
      <c r="F2401" s="7" t="s">
        <v>6537</v>
      </c>
      <c r="G2401" s="7" t="s">
        <v>6445</v>
      </c>
      <c r="H2401" s="7" t="s">
        <v>6538</v>
      </c>
      <c r="I2401" s="9">
        <v>45356</v>
      </c>
    </row>
    <row r="2402" spans="1:9" ht="27" x14ac:dyDescent="0.15">
      <c r="A2402" s="6">
        <v>2401</v>
      </c>
      <c r="B2402" s="7" t="s">
        <v>8</v>
      </c>
      <c r="C2402" s="8">
        <v>1887</v>
      </c>
      <c r="D2402" s="9">
        <v>45425</v>
      </c>
      <c r="E2402" s="13" t="str">
        <f>+HYPERLINK("http://trademark.i-assist.jp/data/china/image_1887th/77122874.pdf","77122874")</f>
        <v>77122874</v>
      </c>
      <c r="F2402" s="7" t="s">
        <v>6539</v>
      </c>
      <c r="G2402" s="7" t="s">
        <v>6540</v>
      </c>
      <c r="H2402" s="7" t="s">
        <v>6541</v>
      </c>
      <c r="I2402" s="9">
        <v>45356</v>
      </c>
    </row>
    <row r="2403" spans="1:9" x14ac:dyDescent="0.15">
      <c r="A2403" s="6">
        <v>2402</v>
      </c>
      <c r="B2403" s="7" t="s">
        <v>8</v>
      </c>
      <c r="C2403" s="8">
        <v>1887</v>
      </c>
      <c r="D2403" s="9">
        <v>45425</v>
      </c>
      <c r="E2403" s="13" t="str">
        <f>+HYPERLINK("http://trademark.i-assist.jp/data/china/image_1887th/77123089.pdf","77123089")</f>
        <v>77123089</v>
      </c>
      <c r="F2403" s="7" t="s">
        <v>6542</v>
      </c>
      <c r="G2403" s="7" t="s">
        <v>6543</v>
      </c>
      <c r="H2403" s="7" t="s">
        <v>6544</v>
      </c>
      <c r="I2403" s="9">
        <v>45356</v>
      </c>
    </row>
    <row r="2404" spans="1:9" x14ac:dyDescent="0.15">
      <c r="A2404" s="6">
        <v>2403</v>
      </c>
      <c r="B2404" s="7" t="s">
        <v>8</v>
      </c>
      <c r="C2404" s="8">
        <v>1887</v>
      </c>
      <c r="D2404" s="9">
        <v>45425</v>
      </c>
      <c r="E2404" s="13" t="str">
        <f>+HYPERLINK("http://trademark.i-assist.jp/data/china/image_1887th/77123129.pdf","77123129")</f>
        <v>77123129</v>
      </c>
      <c r="F2404" s="7" t="s">
        <v>54</v>
      </c>
      <c r="G2404" s="7" t="s">
        <v>6417</v>
      </c>
      <c r="H2404" s="7" t="s">
        <v>6545</v>
      </c>
      <c r="I2404" s="9">
        <v>45356</v>
      </c>
    </row>
    <row r="2405" spans="1:9" x14ac:dyDescent="0.15">
      <c r="A2405" s="6">
        <v>2404</v>
      </c>
      <c r="B2405" s="7" t="s">
        <v>8</v>
      </c>
      <c r="C2405" s="8">
        <v>1887</v>
      </c>
      <c r="D2405" s="9">
        <v>45425</v>
      </c>
      <c r="E2405" s="13" t="str">
        <f>+HYPERLINK("http://trademark.i-assist.jp/data/china/image_1887th/77123522.pdf","77123522")</f>
        <v>77123522</v>
      </c>
      <c r="F2405" s="7" t="s">
        <v>6546</v>
      </c>
      <c r="G2405" s="7" t="s">
        <v>6547</v>
      </c>
      <c r="H2405" s="7" t="s">
        <v>6548</v>
      </c>
      <c r="I2405" s="9">
        <v>45357</v>
      </c>
    </row>
    <row r="2406" spans="1:9" x14ac:dyDescent="0.15">
      <c r="A2406" s="6">
        <v>2405</v>
      </c>
      <c r="B2406" s="7" t="s">
        <v>8</v>
      </c>
      <c r="C2406" s="8">
        <v>1887</v>
      </c>
      <c r="D2406" s="9">
        <v>45425</v>
      </c>
      <c r="E2406" s="13" t="str">
        <f>+HYPERLINK("http://trademark.i-assist.jp/data/china/image_1887th/77123619.pdf","77123619")</f>
        <v>77123619</v>
      </c>
      <c r="F2406" s="7" t="s">
        <v>6549</v>
      </c>
      <c r="G2406" s="7" t="s">
        <v>6550</v>
      </c>
      <c r="H2406" s="7" t="s">
        <v>6551</v>
      </c>
      <c r="I2406" s="9">
        <v>45357</v>
      </c>
    </row>
    <row r="2407" spans="1:9" ht="27" x14ac:dyDescent="0.15">
      <c r="A2407" s="6">
        <v>2406</v>
      </c>
      <c r="B2407" s="7" t="s">
        <v>8</v>
      </c>
      <c r="C2407" s="8">
        <v>1887</v>
      </c>
      <c r="D2407" s="9">
        <v>45425</v>
      </c>
      <c r="E2407" s="13" t="str">
        <f>+HYPERLINK("http://trademark.i-assist.jp/data/china/image_1887th/77123640.pdf","77123640")</f>
        <v>77123640</v>
      </c>
      <c r="F2407" s="7" t="s">
        <v>6552</v>
      </c>
      <c r="G2407" s="7" t="s">
        <v>6553</v>
      </c>
      <c r="H2407" s="7" t="s">
        <v>6554</v>
      </c>
      <c r="I2407" s="9">
        <v>45357</v>
      </c>
    </row>
    <row r="2408" spans="1:9" x14ac:dyDescent="0.15">
      <c r="A2408" s="6">
        <v>2407</v>
      </c>
      <c r="B2408" s="7" t="s">
        <v>8</v>
      </c>
      <c r="C2408" s="8">
        <v>1887</v>
      </c>
      <c r="D2408" s="9">
        <v>45425</v>
      </c>
      <c r="E2408" s="13" t="str">
        <f>+HYPERLINK("http://trademark.i-assist.jp/data/china/image_1887th/77124540.pdf","77124540")</f>
        <v>77124540</v>
      </c>
      <c r="F2408" s="7" t="s">
        <v>6555</v>
      </c>
      <c r="G2408" s="7" t="s">
        <v>6556</v>
      </c>
      <c r="H2408" s="7" t="s">
        <v>6557</v>
      </c>
      <c r="I2408" s="9">
        <v>45357</v>
      </c>
    </row>
    <row r="2409" spans="1:9" x14ac:dyDescent="0.15">
      <c r="A2409" s="6">
        <v>2408</v>
      </c>
      <c r="B2409" s="7" t="s">
        <v>8</v>
      </c>
      <c r="C2409" s="8">
        <v>1887</v>
      </c>
      <c r="D2409" s="9">
        <v>45425</v>
      </c>
      <c r="E2409" s="13" t="str">
        <f>+HYPERLINK("http://trademark.i-assist.jp/data/china/image_1887th/77125612.pdf","77125612")</f>
        <v>77125612</v>
      </c>
      <c r="F2409" s="7" t="s">
        <v>6558</v>
      </c>
      <c r="G2409" s="7" t="s">
        <v>6559</v>
      </c>
      <c r="H2409" s="7" t="s">
        <v>6560</v>
      </c>
      <c r="I2409" s="9">
        <v>45357</v>
      </c>
    </row>
    <row r="2410" spans="1:9" x14ac:dyDescent="0.15">
      <c r="A2410" s="6">
        <v>2409</v>
      </c>
      <c r="B2410" s="7" t="s">
        <v>8</v>
      </c>
      <c r="C2410" s="8">
        <v>1887</v>
      </c>
      <c r="D2410" s="9">
        <v>45425</v>
      </c>
      <c r="E2410" s="13" t="str">
        <f>+HYPERLINK("http://trademark.i-assist.jp/data/china/image_1887th/77125731.pdf","77125731")</f>
        <v>77125731</v>
      </c>
      <c r="F2410" s="7" t="s">
        <v>6561</v>
      </c>
      <c r="G2410" s="7" t="s">
        <v>6562</v>
      </c>
      <c r="H2410" s="7" t="s">
        <v>6563</v>
      </c>
      <c r="I2410" s="9">
        <v>45357</v>
      </c>
    </row>
    <row r="2411" spans="1:9" x14ac:dyDescent="0.15">
      <c r="A2411" s="6">
        <v>2410</v>
      </c>
      <c r="B2411" s="7" t="s">
        <v>8</v>
      </c>
      <c r="C2411" s="8">
        <v>1887</v>
      </c>
      <c r="D2411" s="9">
        <v>45425</v>
      </c>
      <c r="E2411" s="13" t="str">
        <f>+HYPERLINK("http://trademark.i-assist.jp/data/china/image_1887th/77125879.pdf","77125879")</f>
        <v>77125879</v>
      </c>
      <c r="F2411" s="7" t="s">
        <v>6564</v>
      </c>
      <c r="G2411" s="7" t="s">
        <v>6565</v>
      </c>
      <c r="H2411" s="7" t="s">
        <v>6566</v>
      </c>
      <c r="I2411" s="9">
        <v>45357</v>
      </c>
    </row>
    <row r="2412" spans="1:9" x14ac:dyDescent="0.15">
      <c r="A2412" s="6">
        <v>2411</v>
      </c>
      <c r="B2412" s="7" t="s">
        <v>8</v>
      </c>
      <c r="C2412" s="8">
        <v>1887</v>
      </c>
      <c r="D2412" s="9">
        <v>45425</v>
      </c>
      <c r="E2412" s="13" t="str">
        <f>+HYPERLINK("http://trademark.i-assist.jp/data/china/image_1887th/77126354.pdf","77126354")</f>
        <v>77126354</v>
      </c>
      <c r="F2412" s="7" t="s">
        <v>6567</v>
      </c>
      <c r="G2412" s="7" t="s">
        <v>6568</v>
      </c>
      <c r="H2412" s="7" t="s">
        <v>6569</v>
      </c>
      <c r="I2412" s="9">
        <v>45357</v>
      </c>
    </row>
    <row r="2413" spans="1:9" x14ac:dyDescent="0.15">
      <c r="A2413" s="6">
        <v>2412</v>
      </c>
      <c r="B2413" s="7" t="s">
        <v>8</v>
      </c>
      <c r="C2413" s="8">
        <v>1887</v>
      </c>
      <c r="D2413" s="9">
        <v>45425</v>
      </c>
      <c r="E2413" s="13" t="str">
        <f>+HYPERLINK("http://trademark.i-assist.jp/data/china/image_1887th/77126481.pdf","77126481")</f>
        <v>77126481</v>
      </c>
      <c r="F2413" s="7" t="s">
        <v>6570</v>
      </c>
      <c r="G2413" s="7" t="s">
        <v>6571</v>
      </c>
      <c r="H2413" s="7" t="s">
        <v>6572</v>
      </c>
      <c r="I2413" s="9">
        <v>45357</v>
      </c>
    </row>
    <row r="2414" spans="1:9" x14ac:dyDescent="0.15">
      <c r="A2414" s="6">
        <v>2413</v>
      </c>
      <c r="B2414" s="7" t="s">
        <v>8</v>
      </c>
      <c r="C2414" s="8">
        <v>1887</v>
      </c>
      <c r="D2414" s="9">
        <v>45425</v>
      </c>
      <c r="E2414" s="13" t="str">
        <f>+HYPERLINK("http://trademark.i-assist.jp/data/china/image_1887th/77126667.pdf","77126667")</f>
        <v>77126667</v>
      </c>
      <c r="F2414" s="7" t="s">
        <v>6573</v>
      </c>
      <c r="G2414" s="7" t="s">
        <v>6574</v>
      </c>
      <c r="H2414" s="7" t="s">
        <v>6575</v>
      </c>
      <c r="I2414" s="9">
        <v>45357</v>
      </c>
    </row>
    <row r="2415" spans="1:9" ht="27" x14ac:dyDescent="0.15">
      <c r="A2415" s="6">
        <v>2414</v>
      </c>
      <c r="B2415" s="7" t="s">
        <v>8</v>
      </c>
      <c r="C2415" s="8">
        <v>1887</v>
      </c>
      <c r="D2415" s="9">
        <v>45425</v>
      </c>
      <c r="E2415" s="13" t="str">
        <f>+HYPERLINK("http://trademark.i-assist.jp/data/china/image_1887th/77126697.pdf","77126697")</f>
        <v>77126697</v>
      </c>
      <c r="F2415" s="7" t="s">
        <v>6576</v>
      </c>
      <c r="G2415" s="7" t="s">
        <v>904</v>
      </c>
      <c r="H2415" s="7" t="s">
        <v>6577</v>
      </c>
      <c r="I2415" s="9">
        <v>45357</v>
      </c>
    </row>
    <row r="2416" spans="1:9" x14ac:dyDescent="0.15">
      <c r="A2416" s="6">
        <v>2415</v>
      </c>
      <c r="B2416" s="7" t="s">
        <v>8</v>
      </c>
      <c r="C2416" s="8">
        <v>1887</v>
      </c>
      <c r="D2416" s="9">
        <v>45425</v>
      </c>
      <c r="E2416" s="13" t="str">
        <f>+HYPERLINK("http://trademark.i-assist.jp/data/china/image_1887th/77126869.pdf","77126869")</f>
        <v>77126869</v>
      </c>
      <c r="F2416" s="7" t="s">
        <v>6578</v>
      </c>
      <c r="G2416" s="7" t="s">
        <v>6579</v>
      </c>
      <c r="H2416" s="7" t="s">
        <v>6580</v>
      </c>
      <c r="I2416" s="9">
        <v>45357</v>
      </c>
    </row>
    <row r="2417" spans="1:9" x14ac:dyDescent="0.15">
      <c r="A2417" s="6">
        <v>2416</v>
      </c>
      <c r="B2417" s="7" t="s">
        <v>8</v>
      </c>
      <c r="C2417" s="8">
        <v>1887</v>
      </c>
      <c r="D2417" s="9">
        <v>45425</v>
      </c>
      <c r="E2417" s="13" t="str">
        <f>+HYPERLINK("http://trademark.i-assist.jp/data/china/image_1887th/77127163.pdf","77127163")</f>
        <v>77127163</v>
      </c>
      <c r="F2417" s="7" t="s">
        <v>6581</v>
      </c>
      <c r="G2417" s="7" t="s">
        <v>6582</v>
      </c>
      <c r="H2417" s="7" t="s">
        <v>6583</v>
      </c>
      <c r="I2417" s="9">
        <v>45357</v>
      </c>
    </row>
    <row r="2418" spans="1:9" ht="27" x14ac:dyDescent="0.15">
      <c r="A2418" s="6">
        <v>2417</v>
      </c>
      <c r="B2418" s="7" t="s">
        <v>8</v>
      </c>
      <c r="C2418" s="8">
        <v>1887</v>
      </c>
      <c r="D2418" s="9">
        <v>45425</v>
      </c>
      <c r="E2418" s="13" t="str">
        <f>+HYPERLINK("http://trademark.i-assist.jp/data/china/image_1887th/77127263.pdf","77127263")</f>
        <v>77127263</v>
      </c>
      <c r="F2418" s="7" t="s">
        <v>6584</v>
      </c>
      <c r="G2418" s="7" t="s">
        <v>1560</v>
      </c>
      <c r="H2418" s="7" t="s">
        <v>6585</v>
      </c>
      <c r="I2418" s="9">
        <v>45357</v>
      </c>
    </row>
    <row r="2419" spans="1:9" ht="40.5" x14ac:dyDescent="0.15">
      <c r="A2419" s="6">
        <v>2418</v>
      </c>
      <c r="B2419" s="7" t="s">
        <v>8</v>
      </c>
      <c r="C2419" s="8">
        <v>1887</v>
      </c>
      <c r="D2419" s="9">
        <v>45425</v>
      </c>
      <c r="E2419" s="13" t="str">
        <f>+HYPERLINK("http://trademark.i-assist.jp/data/china/image_1887th/77128105.pdf","77128105")</f>
        <v>77128105</v>
      </c>
      <c r="F2419" s="7" t="s">
        <v>6586</v>
      </c>
      <c r="G2419" s="7" t="s">
        <v>6587</v>
      </c>
      <c r="H2419" s="7" t="s">
        <v>6588</v>
      </c>
      <c r="I2419" s="9">
        <v>45357</v>
      </c>
    </row>
    <row r="2420" spans="1:9" x14ac:dyDescent="0.15">
      <c r="A2420" s="6">
        <v>2419</v>
      </c>
      <c r="B2420" s="7" t="s">
        <v>8</v>
      </c>
      <c r="C2420" s="8">
        <v>1887</v>
      </c>
      <c r="D2420" s="9">
        <v>45425</v>
      </c>
      <c r="E2420" s="13" t="str">
        <f>+HYPERLINK("http://trademark.i-assist.jp/data/china/image_1887th/77129514.pdf","77129514")</f>
        <v>77129514</v>
      </c>
      <c r="F2420" s="7" t="s">
        <v>6589</v>
      </c>
      <c r="G2420" s="7" t="s">
        <v>3823</v>
      </c>
      <c r="H2420" s="7" t="s">
        <v>6590</v>
      </c>
      <c r="I2420" s="9">
        <v>45357</v>
      </c>
    </row>
    <row r="2421" spans="1:9" x14ac:dyDescent="0.15">
      <c r="A2421" s="6">
        <v>2420</v>
      </c>
      <c r="B2421" s="7" t="s">
        <v>8</v>
      </c>
      <c r="C2421" s="8">
        <v>1887</v>
      </c>
      <c r="D2421" s="9">
        <v>45425</v>
      </c>
      <c r="E2421" s="13" t="str">
        <f>+HYPERLINK("http://trademark.i-assist.jp/data/china/image_1887th/77129750.pdf","77129750")</f>
        <v>77129750</v>
      </c>
      <c r="F2421" s="7" t="s">
        <v>6591</v>
      </c>
      <c r="G2421" s="7" t="s">
        <v>6592</v>
      </c>
      <c r="H2421" s="7" t="s">
        <v>6593</v>
      </c>
      <c r="I2421" s="9">
        <v>45357</v>
      </c>
    </row>
    <row r="2422" spans="1:9" x14ac:dyDescent="0.15">
      <c r="A2422" s="6">
        <v>2421</v>
      </c>
      <c r="B2422" s="7" t="s">
        <v>8</v>
      </c>
      <c r="C2422" s="8">
        <v>1887</v>
      </c>
      <c r="D2422" s="9">
        <v>45425</v>
      </c>
      <c r="E2422" s="13" t="str">
        <f>+HYPERLINK("http://trademark.i-assist.jp/data/china/image_1887th/77130354.pdf","77130354")</f>
        <v>77130354</v>
      </c>
      <c r="F2422" s="7" t="s">
        <v>6594</v>
      </c>
      <c r="G2422" s="7" t="s">
        <v>6595</v>
      </c>
      <c r="H2422" s="7" t="s">
        <v>6596</v>
      </c>
      <c r="I2422" s="9">
        <v>45357</v>
      </c>
    </row>
    <row r="2423" spans="1:9" x14ac:dyDescent="0.15">
      <c r="A2423" s="6">
        <v>2422</v>
      </c>
      <c r="B2423" s="7" t="s">
        <v>8</v>
      </c>
      <c r="C2423" s="8">
        <v>1887</v>
      </c>
      <c r="D2423" s="9">
        <v>45425</v>
      </c>
      <c r="E2423" s="13" t="str">
        <f>+HYPERLINK("http://trademark.i-assist.jp/data/china/image_1887th/77131538.pdf","77131538")</f>
        <v>77131538</v>
      </c>
      <c r="F2423" s="7" t="s">
        <v>6597</v>
      </c>
      <c r="G2423" s="7" t="s">
        <v>6598</v>
      </c>
      <c r="H2423" s="7" t="s">
        <v>6599</v>
      </c>
      <c r="I2423" s="9">
        <v>45357</v>
      </c>
    </row>
    <row r="2424" spans="1:9" x14ac:dyDescent="0.15">
      <c r="A2424" s="6">
        <v>2423</v>
      </c>
      <c r="B2424" s="7" t="s">
        <v>8</v>
      </c>
      <c r="C2424" s="8">
        <v>1887</v>
      </c>
      <c r="D2424" s="9">
        <v>45425</v>
      </c>
      <c r="E2424" s="13" t="str">
        <f>+HYPERLINK("http://trademark.i-assist.jp/data/china/image_1887th/77131545.pdf","77131545")</f>
        <v>77131545</v>
      </c>
      <c r="F2424" s="7" t="s">
        <v>6600</v>
      </c>
      <c r="G2424" s="7" t="s">
        <v>6601</v>
      </c>
      <c r="H2424" s="7" t="s">
        <v>6602</v>
      </c>
      <c r="I2424" s="9">
        <v>45357</v>
      </c>
    </row>
    <row r="2425" spans="1:9" x14ac:dyDescent="0.15">
      <c r="A2425" s="6">
        <v>2424</v>
      </c>
      <c r="B2425" s="7" t="s">
        <v>8</v>
      </c>
      <c r="C2425" s="8">
        <v>1887</v>
      </c>
      <c r="D2425" s="9">
        <v>45425</v>
      </c>
      <c r="E2425" s="13" t="str">
        <f>+HYPERLINK("http://trademark.i-assist.jp/data/china/image_1887th/77131888.pdf","77131888")</f>
        <v>77131888</v>
      </c>
      <c r="F2425" s="7" t="s">
        <v>6603</v>
      </c>
      <c r="G2425" s="7" t="s">
        <v>6604</v>
      </c>
      <c r="H2425" s="7" t="s">
        <v>6605</v>
      </c>
      <c r="I2425" s="9">
        <v>45357</v>
      </c>
    </row>
    <row r="2426" spans="1:9" x14ac:dyDescent="0.15">
      <c r="A2426" s="6">
        <v>2425</v>
      </c>
      <c r="B2426" s="7" t="s">
        <v>8</v>
      </c>
      <c r="C2426" s="8">
        <v>1887</v>
      </c>
      <c r="D2426" s="9">
        <v>45425</v>
      </c>
      <c r="E2426" s="13" t="str">
        <f>+HYPERLINK("http://trademark.i-assist.jp/data/china/image_1887th/77132451.pdf","77132451")</f>
        <v>77132451</v>
      </c>
      <c r="F2426" s="7" t="s">
        <v>54</v>
      </c>
      <c r="G2426" s="7" t="s">
        <v>6606</v>
      </c>
      <c r="H2426" s="7" t="s">
        <v>6607</v>
      </c>
      <c r="I2426" s="9">
        <v>45357</v>
      </c>
    </row>
    <row r="2427" spans="1:9" ht="27" x14ac:dyDescent="0.15">
      <c r="A2427" s="6">
        <v>2426</v>
      </c>
      <c r="B2427" s="7" t="s">
        <v>8</v>
      </c>
      <c r="C2427" s="8">
        <v>1887</v>
      </c>
      <c r="D2427" s="9">
        <v>45425</v>
      </c>
      <c r="E2427" s="13" t="str">
        <f>+HYPERLINK("http://trademark.i-assist.jp/data/china/image_1887th/77132579.pdf","77132579")</f>
        <v>77132579</v>
      </c>
      <c r="F2427" s="7" t="s">
        <v>6608</v>
      </c>
      <c r="G2427" s="7" t="s">
        <v>6609</v>
      </c>
      <c r="H2427" s="7" t="s">
        <v>6610</v>
      </c>
      <c r="I2427" s="9">
        <v>45357</v>
      </c>
    </row>
    <row r="2428" spans="1:9" ht="27" x14ac:dyDescent="0.15">
      <c r="A2428" s="6">
        <v>2427</v>
      </c>
      <c r="B2428" s="7" t="s">
        <v>8</v>
      </c>
      <c r="C2428" s="8">
        <v>1887</v>
      </c>
      <c r="D2428" s="9">
        <v>45425</v>
      </c>
      <c r="E2428" s="13" t="str">
        <f>+HYPERLINK("http://trademark.i-assist.jp/data/china/image_1887th/77132770.pdf","77132770")</f>
        <v>77132770</v>
      </c>
      <c r="F2428" s="7" t="s">
        <v>6611</v>
      </c>
      <c r="G2428" s="7" t="s">
        <v>6612</v>
      </c>
      <c r="H2428" s="7" t="s">
        <v>6613</v>
      </c>
      <c r="I2428" s="9">
        <v>45357</v>
      </c>
    </row>
    <row r="2429" spans="1:9" x14ac:dyDescent="0.15">
      <c r="A2429" s="6">
        <v>2428</v>
      </c>
      <c r="B2429" s="7" t="s">
        <v>8</v>
      </c>
      <c r="C2429" s="8">
        <v>1887</v>
      </c>
      <c r="D2429" s="9">
        <v>45425</v>
      </c>
      <c r="E2429" s="13" t="str">
        <f>+HYPERLINK("http://trademark.i-assist.jp/data/china/image_1887th/77132983.pdf","77132983")</f>
        <v>77132983</v>
      </c>
      <c r="F2429" s="7" t="s">
        <v>6614</v>
      </c>
      <c r="G2429" s="7" t="s">
        <v>6615</v>
      </c>
      <c r="H2429" s="7" t="s">
        <v>6616</v>
      </c>
      <c r="I2429" s="9">
        <v>45357</v>
      </c>
    </row>
    <row r="2430" spans="1:9" x14ac:dyDescent="0.15">
      <c r="A2430" s="6">
        <v>2429</v>
      </c>
      <c r="B2430" s="7" t="s">
        <v>8</v>
      </c>
      <c r="C2430" s="8">
        <v>1887</v>
      </c>
      <c r="D2430" s="9">
        <v>45425</v>
      </c>
      <c r="E2430" s="13" t="str">
        <f>+HYPERLINK("http://trademark.i-assist.jp/data/china/image_1887th/77133088.pdf","77133088")</f>
        <v>77133088</v>
      </c>
      <c r="F2430" s="7" t="s">
        <v>6617</v>
      </c>
      <c r="G2430" s="7" t="s">
        <v>6618</v>
      </c>
      <c r="H2430" s="7" t="s">
        <v>6619</v>
      </c>
      <c r="I2430" s="9">
        <v>45357</v>
      </c>
    </row>
    <row r="2431" spans="1:9" x14ac:dyDescent="0.15">
      <c r="A2431" s="6">
        <v>2430</v>
      </c>
      <c r="B2431" s="7" t="s">
        <v>8</v>
      </c>
      <c r="C2431" s="8">
        <v>1887</v>
      </c>
      <c r="D2431" s="9">
        <v>45425</v>
      </c>
      <c r="E2431" s="13" t="str">
        <f>+HYPERLINK("http://trademark.i-assist.jp/data/china/image_1887th/77133706.pdf","77133706")</f>
        <v>77133706</v>
      </c>
      <c r="F2431" s="7" t="s">
        <v>6620</v>
      </c>
      <c r="G2431" s="7" t="s">
        <v>6621</v>
      </c>
      <c r="H2431" s="7" t="s">
        <v>6622</v>
      </c>
      <c r="I2431" s="9">
        <v>45357</v>
      </c>
    </row>
    <row r="2432" spans="1:9" x14ac:dyDescent="0.15">
      <c r="A2432" s="6">
        <v>2431</v>
      </c>
      <c r="B2432" s="7" t="s">
        <v>8</v>
      </c>
      <c r="C2432" s="8">
        <v>1887</v>
      </c>
      <c r="D2432" s="9">
        <v>45425</v>
      </c>
      <c r="E2432" s="13" t="str">
        <f>+HYPERLINK("http://trademark.i-assist.jp/data/china/image_1887th/77133870.pdf","77133870")</f>
        <v>77133870</v>
      </c>
      <c r="F2432" s="7" t="s">
        <v>6623</v>
      </c>
      <c r="G2432" s="7" t="s">
        <v>6624</v>
      </c>
      <c r="H2432" s="7" t="s">
        <v>6625</v>
      </c>
      <c r="I2432" s="9">
        <v>45357</v>
      </c>
    </row>
    <row r="2433" spans="1:9" x14ac:dyDescent="0.15">
      <c r="A2433" s="6">
        <v>2432</v>
      </c>
      <c r="B2433" s="7" t="s">
        <v>8</v>
      </c>
      <c r="C2433" s="8">
        <v>1887</v>
      </c>
      <c r="D2433" s="9">
        <v>45425</v>
      </c>
      <c r="E2433" s="13" t="str">
        <f>+HYPERLINK("http://trademark.i-assist.jp/data/china/image_1887th/77134108.pdf","77134108")</f>
        <v>77134108</v>
      </c>
      <c r="F2433" s="7" t="s">
        <v>6626</v>
      </c>
      <c r="G2433" s="7" t="s">
        <v>6627</v>
      </c>
      <c r="H2433" s="7" t="s">
        <v>6628</v>
      </c>
      <c r="I2433" s="9">
        <v>45357</v>
      </c>
    </row>
    <row r="2434" spans="1:9" ht="27" x14ac:dyDescent="0.15">
      <c r="A2434" s="6">
        <v>2433</v>
      </c>
      <c r="B2434" s="7" t="s">
        <v>8</v>
      </c>
      <c r="C2434" s="8">
        <v>1887</v>
      </c>
      <c r="D2434" s="9">
        <v>45425</v>
      </c>
      <c r="E2434" s="13" t="str">
        <f>+HYPERLINK("http://trademark.i-assist.jp/data/china/image_1887th/77134621.pdf","77134621")</f>
        <v>77134621</v>
      </c>
      <c r="F2434" s="7" t="s">
        <v>6629</v>
      </c>
      <c r="G2434" s="7" t="s">
        <v>6630</v>
      </c>
      <c r="H2434" s="7" t="s">
        <v>6631</v>
      </c>
      <c r="I2434" s="9">
        <v>45357</v>
      </c>
    </row>
    <row r="2435" spans="1:9" x14ac:dyDescent="0.15">
      <c r="A2435" s="6">
        <v>2434</v>
      </c>
      <c r="B2435" s="7" t="s">
        <v>8</v>
      </c>
      <c r="C2435" s="8">
        <v>1887</v>
      </c>
      <c r="D2435" s="9">
        <v>45425</v>
      </c>
      <c r="E2435" s="13" t="str">
        <f>+HYPERLINK("http://trademark.i-assist.jp/data/china/image_1887th/77134734.pdf","77134734")</f>
        <v>77134734</v>
      </c>
      <c r="F2435" s="7" t="s">
        <v>6632</v>
      </c>
      <c r="G2435" s="7" t="s">
        <v>6627</v>
      </c>
      <c r="H2435" s="7" t="s">
        <v>6633</v>
      </c>
      <c r="I2435" s="9">
        <v>45357</v>
      </c>
    </row>
    <row r="2436" spans="1:9" x14ac:dyDescent="0.15">
      <c r="A2436" s="6">
        <v>2435</v>
      </c>
      <c r="B2436" s="7" t="s">
        <v>8</v>
      </c>
      <c r="C2436" s="8">
        <v>1887</v>
      </c>
      <c r="D2436" s="9">
        <v>45425</v>
      </c>
      <c r="E2436" s="13" t="str">
        <f>+HYPERLINK("http://trademark.i-assist.jp/data/china/image_1887th/77135346.pdf","77135346")</f>
        <v>77135346</v>
      </c>
      <c r="F2436" s="7" t="s">
        <v>6634</v>
      </c>
      <c r="G2436" s="7" t="s">
        <v>6618</v>
      </c>
      <c r="H2436" s="7" t="s">
        <v>6635</v>
      </c>
      <c r="I2436" s="9">
        <v>45357</v>
      </c>
    </row>
    <row r="2437" spans="1:9" x14ac:dyDescent="0.15">
      <c r="A2437" s="6">
        <v>2436</v>
      </c>
      <c r="B2437" s="7" t="s">
        <v>8</v>
      </c>
      <c r="C2437" s="8">
        <v>1887</v>
      </c>
      <c r="D2437" s="9">
        <v>45425</v>
      </c>
      <c r="E2437" s="13" t="str">
        <f>+HYPERLINK("http://trademark.i-assist.jp/data/china/image_1887th/77135551.pdf","77135551")</f>
        <v>77135551</v>
      </c>
      <c r="F2437" s="7" t="s">
        <v>6636</v>
      </c>
      <c r="G2437" s="7" t="s">
        <v>6637</v>
      </c>
      <c r="H2437" s="7" t="s">
        <v>6638</v>
      </c>
      <c r="I2437" s="9">
        <v>45357</v>
      </c>
    </row>
    <row r="2438" spans="1:9" x14ac:dyDescent="0.15">
      <c r="A2438" s="6">
        <v>2437</v>
      </c>
      <c r="B2438" s="7" t="s">
        <v>8</v>
      </c>
      <c r="C2438" s="8">
        <v>1887</v>
      </c>
      <c r="D2438" s="9">
        <v>45425</v>
      </c>
      <c r="E2438" s="13" t="str">
        <f>+HYPERLINK("http://trademark.i-assist.jp/data/china/image_1887th/77136103.pdf","77136103")</f>
        <v>77136103</v>
      </c>
      <c r="F2438" s="7" t="s">
        <v>6639</v>
      </c>
      <c r="G2438" s="7" t="s">
        <v>6640</v>
      </c>
      <c r="H2438" s="7" t="s">
        <v>6641</v>
      </c>
      <c r="I2438" s="9">
        <v>45357</v>
      </c>
    </row>
    <row r="2439" spans="1:9" x14ac:dyDescent="0.15">
      <c r="A2439" s="6">
        <v>2438</v>
      </c>
      <c r="B2439" s="7" t="s">
        <v>8</v>
      </c>
      <c r="C2439" s="8">
        <v>1887</v>
      </c>
      <c r="D2439" s="9">
        <v>45425</v>
      </c>
      <c r="E2439" s="13" t="str">
        <f>+HYPERLINK("http://trademark.i-assist.jp/data/china/image_1887th/77136263.pdf","77136263")</f>
        <v>77136263</v>
      </c>
      <c r="F2439" s="7" t="s">
        <v>6642</v>
      </c>
      <c r="G2439" s="7" t="s">
        <v>6643</v>
      </c>
      <c r="H2439" s="7" t="s">
        <v>6644</v>
      </c>
      <c r="I2439" s="9">
        <v>45357</v>
      </c>
    </row>
    <row r="2440" spans="1:9" x14ac:dyDescent="0.15">
      <c r="A2440" s="6">
        <v>2439</v>
      </c>
      <c r="B2440" s="7" t="s">
        <v>8</v>
      </c>
      <c r="C2440" s="8">
        <v>1887</v>
      </c>
      <c r="D2440" s="9">
        <v>45425</v>
      </c>
      <c r="E2440" s="13" t="str">
        <f>+HYPERLINK("http://trademark.i-assist.jp/data/china/image_1887th/77136774.pdf","77136774")</f>
        <v>77136774</v>
      </c>
      <c r="F2440" s="7" t="s">
        <v>6645</v>
      </c>
      <c r="G2440" s="7" t="s">
        <v>6646</v>
      </c>
      <c r="H2440" s="7" t="s">
        <v>6647</v>
      </c>
      <c r="I2440" s="9">
        <v>45357</v>
      </c>
    </row>
    <row r="2441" spans="1:9" x14ac:dyDescent="0.15">
      <c r="A2441" s="6">
        <v>2440</v>
      </c>
      <c r="B2441" s="7" t="s">
        <v>8</v>
      </c>
      <c r="C2441" s="8">
        <v>1887</v>
      </c>
      <c r="D2441" s="9">
        <v>45425</v>
      </c>
      <c r="E2441" s="13" t="str">
        <f>+HYPERLINK("http://trademark.i-assist.jp/data/china/image_1887th/77136942.pdf","77136942")</f>
        <v>77136942</v>
      </c>
      <c r="F2441" s="7" t="s">
        <v>6648</v>
      </c>
      <c r="G2441" s="7" t="s">
        <v>6649</v>
      </c>
      <c r="H2441" s="7" t="s">
        <v>6650</v>
      </c>
      <c r="I2441" s="9">
        <v>45357</v>
      </c>
    </row>
    <row r="2442" spans="1:9" ht="27" x14ac:dyDescent="0.15">
      <c r="A2442" s="6">
        <v>2441</v>
      </c>
      <c r="B2442" s="7" t="s">
        <v>8</v>
      </c>
      <c r="C2442" s="8">
        <v>1887</v>
      </c>
      <c r="D2442" s="9">
        <v>45425</v>
      </c>
      <c r="E2442" s="13" t="str">
        <f>+HYPERLINK("http://trademark.i-assist.jp/data/china/image_1887th/77137560.pdf","77137560")</f>
        <v>77137560</v>
      </c>
      <c r="F2442" s="7" t="s">
        <v>6651</v>
      </c>
      <c r="G2442" s="7" t="s">
        <v>6652</v>
      </c>
      <c r="H2442" s="7" t="s">
        <v>6653</v>
      </c>
      <c r="I2442" s="9">
        <v>45357</v>
      </c>
    </row>
    <row r="2443" spans="1:9" x14ac:dyDescent="0.15">
      <c r="A2443" s="6">
        <v>2442</v>
      </c>
      <c r="B2443" s="7" t="s">
        <v>8</v>
      </c>
      <c r="C2443" s="8">
        <v>1887</v>
      </c>
      <c r="D2443" s="9">
        <v>45425</v>
      </c>
      <c r="E2443" s="13" t="str">
        <f>+HYPERLINK("http://trademark.i-assist.jp/data/china/image_1887th/77137641.pdf","77137641")</f>
        <v>77137641</v>
      </c>
      <c r="F2443" s="7" t="s">
        <v>6654</v>
      </c>
      <c r="G2443" s="7" t="s">
        <v>6618</v>
      </c>
      <c r="H2443" s="7" t="s">
        <v>6655</v>
      </c>
      <c r="I2443" s="9">
        <v>45357</v>
      </c>
    </row>
    <row r="2444" spans="1:9" x14ac:dyDescent="0.15">
      <c r="A2444" s="6">
        <v>2443</v>
      </c>
      <c r="B2444" s="7" t="s">
        <v>8</v>
      </c>
      <c r="C2444" s="8">
        <v>1887</v>
      </c>
      <c r="D2444" s="9">
        <v>45425</v>
      </c>
      <c r="E2444" s="13" t="str">
        <f>+HYPERLINK("http://trademark.i-assist.jp/data/china/image_1887th/77137808.pdf","77137808")</f>
        <v>77137808</v>
      </c>
      <c r="F2444" s="7" t="s">
        <v>6656</v>
      </c>
      <c r="G2444" s="7" t="s">
        <v>6657</v>
      </c>
      <c r="H2444" s="7" t="s">
        <v>6658</v>
      </c>
      <c r="I2444" s="9">
        <v>45357</v>
      </c>
    </row>
    <row r="2445" spans="1:9" x14ac:dyDescent="0.15">
      <c r="A2445" s="6">
        <v>2444</v>
      </c>
      <c r="B2445" s="7" t="s">
        <v>8</v>
      </c>
      <c r="C2445" s="8">
        <v>1887</v>
      </c>
      <c r="D2445" s="9">
        <v>45425</v>
      </c>
      <c r="E2445" s="13" t="str">
        <f>+HYPERLINK("http://trademark.i-assist.jp/data/china/image_1887th/77138856.pdf","77138856")</f>
        <v>77138856</v>
      </c>
      <c r="F2445" s="7" t="s">
        <v>6659</v>
      </c>
      <c r="G2445" s="7" t="s">
        <v>6660</v>
      </c>
      <c r="H2445" s="7" t="s">
        <v>6661</v>
      </c>
      <c r="I2445" s="9">
        <v>45357</v>
      </c>
    </row>
    <row r="2446" spans="1:9" ht="27" x14ac:dyDescent="0.15">
      <c r="A2446" s="6">
        <v>2445</v>
      </c>
      <c r="B2446" s="7" t="s">
        <v>8</v>
      </c>
      <c r="C2446" s="8">
        <v>1887</v>
      </c>
      <c r="D2446" s="9">
        <v>45425</v>
      </c>
      <c r="E2446" s="13" t="str">
        <f>+HYPERLINK("http://trademark.i-assist.jp/data/china/image_1887th/77138875.pdf","77138875")</f>
        <v>77138875</v>
      </c>
      <c r="F2446" s="7" t="s">
        <v>6662</v>
      </c>
      <c r="G2446" s="7" t="s">
        <v>904</v>
      </c>
      <c r="H2446" s="7" t="s">
        <v>6663</v>
      </c>
      <c r="I2446" s="9">
        <v>45357</v>
      </c>
    </row>
    <row r="2447" spans="1:9" x14ac:dyDescent="0.15">
      <c r="A2447" s="6">
        <v>2446</v>
      </c>
      <c r="B2447" s="7" t="s">
        <v>8</v>
      </c>
      <c r="C2447" s="8">
        <v>1887</v>
      </c>
      <c r="D2447" s="9">
        <v>45425</v>
      </c>
      <c r="E2447" s="13" t="str">
        <f>+HYPERLINK("http://trademark.i-assist.jp/data/china/image_1887th/77138992.pdf","77138992")</f>
        <v>77138992</v>
      </c>
      <c r="F2447" s="7" t="s">
        <v>6664</v>
      </c>
      <c r="G2447" s="7" t="s">
        <v>6665</v>
      </c>
      <c r="H2447" s="7" t="s">
        <v>6666</v>
      </c>
      <c r="I2447" s="9">
        <v>45357</v>
      </c>
    </row>
    <row r="2448" spans="1:9" x14ac:dyDescent="0.15">
      <c r="A2448" s="6">
        <v>2447</v>
      </c>
      <c r="B2448" s="7" t="s">
        <v>8</v>
      </c>
      <c r="C2448" s="8">
        <v>1887</v>
      </c>
      <c r="D2448" s="9">
        <v>45425</v>
      </c>
      <c r="E2448" s="13" t="str">
        <f>+HYPERLINK("http://trademark.i-assist.jp/data/china/image_1887th/77139041.pdf","77139041")</f>
        <v>77139041</v>
      </c>
      <c r="F2448" s="7" t="s">
        <v>6667</v>
      </c>
      <c r="G2448" s="7" t="s">
        <v>6668</v>
      </c>
      <c r="H2448" s="7" t="s">
        <v>6669</v>
      </c>
      <c r="I2448" s="9">
        <v>45357</v>
      </c>
    </row>
    <row r="2449" spans="1:9" ht="27" x14ac:dyDescent="0.15">
      <c r="A2449" s="6">
        <v>2448</v>
      </c>
      <c r="B2449" s="7" t="s">
        <v>8</v>
      </c>
      <c r="C2449" s="8">
        <v>1887</v>
      </c>
      <c r="D2449" s="9">
        <v>45425</v>
      </c>
      <c r="E2449" s="13" t="str">
        <f>+HYPERLINK("http://trademark.i-assist.jp/data/china/image_1887th/77139794.pdf","77139794")</f>
        <v>77139794</v>
      </c>
      <c r="F2449" s="7" t="s">
        <v>6670</v>
      </c>
      <c r="G2449" s="7" t="s">
        <v>6671</v>
      </c>
      <c r="H2449" s="7" t="s">
        <v>6672</v>
      </c>
      <c r="I2449" s="9">
        <v>45357</v>
      </c>
    </row>
    <row r="2450" spans="1:9" x14ac:dyDescent="0.15">
      <c r="A2450" s="6">
        <v>2449</v>
      </c>
      <c r="B2450" s="7" t="s">
        <v>8</v>
      </c>
      <c r="C2450" s="8">
        <v>1887</v>
      </c>
      <c r="D2450" s="9">
        <v>45425</v>
      </c>
      <c r="E2450" s="13" t="str">
        <f>+HYPERLINK("http://trademark.i-assist.jp/data/china/image_1887th/77140294.pdf","77140294")</f>
        <v>77140294</v>
      </c>
      <c r="F2450" s="7" t="s">
        <v>6673</v>
      </c>
      <c r="G2450" s="7" t="s">
        <v>6674</v>
      </c>
      <c r="H2450" s="7" t="s">
        <v>6675</v>
      </c>
      <c r="I2450" s="9">
        <v>45357</v>
      </c>
    </row>
    <row r="2451" spans="1:9" ht="40.5" x14ac:dyDescent="0.15">
      <c r="A2451" s="6">
        <v>2450</v>
      </c>
      <c r="B2451" s="7" t="s">
        <v>8</v>
      </c>
      <c r="C2451" s="8">
        <v>1887</v>
      </c>
      <c r="D2451" s="9">
        <v>45425</v>
      </c>
      <c r="E2451" s="13" t="str">
        <f>+HYPERLINK("http://trademark.i-assist.jp/data/china/image_1887th/77140397.pdf","77140397")</f>
        <v>77140397</v>
      </c>
      <c r="F2451" s="7" t="s">
        <v>6676</v>
      </c>
      <c r="G2451" s="7" t="s">
        <v>6587</v>
      </c>
      <c r="H2451" s="7" t="s">
        <v>6677</v>
      </c>
      <c r="I2451" s="9">
        <v>45357</v>
      </c>
    </row>
    <row r="2452" spans="1:9" x14ac:dyDescent="0.15">
      <c r="A2452" s="6">
        <v>2451</v>
      </c>
      <c r="B2452" s="7" t="s">
        <v>8</v>
      </c>
      <c r="C2452" s="8">
        <v>1887</v>
      </c>
      <c r="D2452" s="9">
        <v>45425</v>
      </c>
      <c r="E2452" s="13" t="str">
        <f>+HYPERLINK("http://trademark.i-assist.jp/data/china/image_1887th/77140476.pdf","77140476")</f>
        <v>77140476</v>
      </c>
      <c r="F2452" s="7" t="s">
        <v>6678</v>
      </c>
      <c r="G2452" s="7" t="s">
        <v>6571</v>
      </c>
      <c r="H2452" s="7" t="s">
        <v>6679</v>
      </c>
      <c r="I2452" s="9">
        <v>45357</v>
      </c>
    </row>
    <row r="2453" spans="1:9" x14ac:dyDescent="0.15">
      <c r="A2453" s="6">
        <v>2452</v>
      </c>
      <c r="B2453" s="7" t="s">
        <v>8</v>
      </c>
      <c r="C2453" s="8">
        <v>1887</v>
      </c>
      <c r="D2453" s="9">
        <v>45425</v>
      </c>
      <c r="E2453" s="13" t="str">
        <f>+HYPERLINK("http://trademark.i-assist.jp/data/china/image_1887th/77140583.pdf","77140583")</f>
        <v>77140583</v>
      </c>
      <c r="F2453" s="7" t="s">
        <v>6680</v>
      </c>
      <c r="G2453" s="7" t="s">
        <v>6559</v>
      </c>
      <c r="H2453" s="7" t="s">
        <v>6681</v>
      </c>
      <c r="I2453" s="9">
        <v>45357</v>
      </c>
    </row>
    <row r="2454" spans="1:9" x14ac:dyDescent="0.15">
      <c r="A2454" s="6">
        <v>2453</v>
      </c>
      <c r="B2454" s="7" t="s">
        <v>8</v>
      </c>
      <c r="C2454" s="8">
        <v>1887</v>
      </c>
      <c r="D2454" s="9">
        <v>45425</v>
      </c>
      <c r="E2454" s="13" t="str">
        <f>+HYPERLINK("http://trademark.i-assist.jp/data/china/image_1887th/77141019.pdf","77141019")</f>
        <v>77141019</v>
      </c>
      <c r="F2454" s="7" t="s">
        <v>6682</v>
      </c>
      <c r="G2454" s="7" t="s">
        <v>6683</v>
      </c>
      <c r="H2454" s="7" t="s">
        <v>6684</v>
      </c>
      <c r="I2454" s="9">
        <v>45357</v>
      </c>
    </row>
    <row r="2455" spans="1:9" ht="27" x14ac:dyDescent="0.15">
      <c r="A2455" s="6">
        <v>2454</v>
      </c>
      <c r="B2455" s="7" t="s">
        <v>8</v>
      </c>
      <c r="C2455" s="8">
        <v>1887</v>
      </c>
      <c r="D2455" s="9">
        <v>45425</v>
      </c>
      <c r="E2455" s="13" t="str">
        <f>+HYPERLINK("http://trademark.i-assist.jp/data/china/image_1887th/77141332.pdf","77141332")</f>
        <v>77141332</v>
      </c>
      <c r="F2455" s="7" t="s">
        <v>6685</v>
      </c>
      <c r="G2455" s="7" t="s">
        <v>6686</v>
      </c>
      <c r="H2455" s="7" t="s">
        <v>6687</v>
      </c>
      <c r="I2455" s="9">
        <v>45357</v>
      </c>
    </row>
    <row r="2456" spans="1:9" x14ac:dyDescent="0.15">
      <c r="A2456" s="6">
        <v>2455</v>
      </c>
      <c r="B2456" s="7" t="s">
        <v>8</v>
      </c>
      <c r="C2456" s="8">
        <v>1887</v>
      </c>
      <c r="D2456" s="9">
        <v>45425</v>
      </c>
      <c r="E2456" s="13" t="str">
        <f>+HYPERLINK("http://trademark.i-assist.jp/data/china/image_1887th/77141922.pdf","77141922")</f>
        <v>77141922</v>
      </c>
      <c r="F2456" s="7" t="s">
        <v>6688</v>
      </c>
      <c r="G2456" s="7" t="s">
        <v>6627</v>
      </c>
      <c r="H2456" s="7" t="s">
        <v>6689</v>
      </c>
      <c r="I2456" s="9">
        <v>45357</v>
      </c>
    </row>
    <row r="2457" spans="1:9" x14ac:dyDescent="0.15">
      <c r="A2457" s="6">
        <v>2456</v>
      </c>
      <c r="B2457" s="7" t="s">
        <v>8</v>
      </c>
      <c r="C2457" s="8">
        <v>1887</v>
      </c>
      <c r="D2457" s="9">
        <v>45425</v>
      </c>
      <c r="E2457" s="13" t="str">
        <f>+HYPERLINK("http://trademark.i-assist.jp/data/china/image_1887th/77142234.pdf","77142234")</f>
        <v>77142234</v>
      </c>
      <c r="F2457" s="7" t="s">
        <v>6690</v>
      </c>
      <c r="G2457" s="7" t="s">
        <v>6582</v>
      </c>
      <c r="H2457" s="7" t="s">
        <v>6691</v>
      </c>
      <c r="I2457" s="9">
        <v>45357</v>
      </c>
    </row>
    <row r="2458" spans="1:9" ht="27" x14ac:dyDescent="0.15">
      <c r="A2458" s="6">
        <v>2457</v>
      </c>
      <c r="B2458" s="7" t="s">
        <v>8</v>
      </c>
      <c r="C2458" s="8">
        <v>1887</v>
      </c>
      <c r="D2458" s="9">
        <v>45425</v>
      </c>
      <c r="E2458" s="13" t="str">
        <f>+HYPERLINK("http://trademark.i-assist.jp/data/china/image_1887th/77142973.pdf","77142973")</f>
        <v>77142973</v>
      </c>
      <c r="F2458" s="7" t="s">
        <v>6692</v>
      </c>
      <c r="G2458" s="7" t="s">
        <v>6630</v>
      </c>
      <c r="H2458" s="7" t="s">
        <v>6693</v>
      </c>
      <c r="I2458" s="9">
        <v>45357</v>
      </c>
    </row>
    <row r="2459" spans="1:9" x14ac:dyDescent="0.15">
      <c r="A2459" s="6">
        <v>2458</v>
      </c>
      <c r="B2459" s="7" t="s">
        <v>8</v>
      </c>
      <c r="C2459" s="8">
        <v>1887</v>
      </c>
      <c r="D2459" s="9">
        <v>45425</v>
      </c>
      <c r="E2459" s="13" t="str">
        <f>+HYPERLINK("http://trademark.i-assist.jp/data/china/image_1887th/77143028.pdf","77143028")</f>
        <v>77143028</v>
      </c>
      <c r="F2459" s="7" t="s">
        <v>6694</v>
      </c>
      <c r="G2459" s="7" t="s">
        <v>6695</v>
      </c>
      <c r="H2459" s="7" t="s">
        <v>6696</v>
      </c>
      <c r="I2459" s="9">
        <v>45357</v>
      </c>
    </row>
    <row r="2460" spans="1:9" x14ac:dyDescent="0.15">
      <c r="A2460" s="6">
        <v>2459</v>
      </c>
      <c r="B2460" s="7" t="s">
        <v>8</v>
      </c>
      <c r="C2460" s="8">
        <v>1887</v>
      </c>
      <c r="D2460" s="9">
        <v>45425</v>
      </c>
      <c r="E2460" s="13" t="str">
        <f>+HYPERLINK("http://trademark.i-assist.jp/data/china/image_1887th/77143148.pdf","77143148")</f>
        <v>77143148</v>
      </c>
      <c r="F2460" s="7" t="s">
        <v>6697</v>
      </c>
      <c r="G2460" s="7" t="s">
        <v>6657</v>
      </c>
      <c r="H2460" s="7" t="s">
        <v>6698</v>
      </c>
      <c r="I2460" s="9">
        <v>45357</v>
      </c>
    </row>
    <row r="2461" spans="1:9" x14ac:dyDescent="0.15">
      <c r="A2461" s="6">
        <v>2460</v>
      </c>
      <c r="B2461" s="7" t="s">
        <v>8</v>
      </c>
      <c r="C2461" s="8">
        <v>1887</v>
      </c>
      <c r="D2461" s="9">
        <v>45425</v>
      </c>
      <c r="E2461" s="13" t="str">
        <f>+HYPERLINK("http://trademark.i-assist.jp/data/china/image_1887th/77143234.pdf","77143234")</f>
        <v>77143234</v>
      </c>
      <c r="F2461" s="7" t="s">
        <v>6699</v>
      </c>
      <c r="G2461" s="7" t="s">
        <v>6700</v>
      </c>
      <c r="H2461" s="7" t="s">
        <v>6701</v>
      </c>
      <c r="I2461" s="9">
        <v>45357</v>
      </c>
    </row>
    <row r="2462" spans="1:9" x14ac:dyDescent="0.15">
      <c r="A2462" s="6">
        <v>2461</v>
      </c>
      <c r="B2462" s="7" t="s">
        <v>8</v>
      </c>
      <c r="C2462" s="8">
        <v>1887</v>
      </c>
      <c r="D2462" s="9">
        <v>45425</v>
      </c>
      <c r="E2462" s="13" t="str">
        <f>+HYPERLINK("http://trademark.i-assist.jp/data/china/image_1887th/77143454.pdf","77143454")</f>
        <v>77143454</v>
      </c>
      <c r="F2462" s="7" t="s">
        <v>6702</v>
      </c>
      <c r="G2462" s="7" t="s">
        <v>6703</v>
      </c>
      <c r="H2462" s="7" t="s">
        <v>6704</v>
      </c>
      <c r="I2462" s="9">
        <v>45357</v>
      </c>
    </row>
    <row r="2463" spans="1:9" x14ac:dyDescent="0.15">
      <c r="A2463" s="6">
        <v>2462</v>
      </c>
      <c r="B2463" s="7" t="s">
        <v>8</v>
      </c>
      <c r="C2463" s="8">
        <v>1887</v>
      </c>
      <c r="D2463" s="9">
        <v>45425</v>
      </c>
      <c r="E2463" s="13" t="str">
        <f>+HYPERLINK("http://trademark.i-assist.jp/data/china/image_1887th/77144598.pdf","77144598")</f>
        <v>77144598</v>
      </c>
      <c r="F2463" s="7" t="s">
        <v>6705</v>
      </c>
      <c r="G2463" s="7" t="s">
        <v>6595</v>
      </c>
      <c r="H2463" s="7" t="s">
        <v>6596</v>
      </c>
      <c r="I2463" s="9">
        <v>45357</v>
      </c>
    </row>
    <row r="2464" spans="1:9" x14ac:dyDescent="0.15">
      <c r="A2464" s="6">
        <v>2463</v>
      </c>
      <c r="B2464" s="7" t="s">
        <v>8</v>
      </c>
      <c r="C2464" s="8">
        <v>1887</v>
      </c>
      <c r="D2464" s="9">
        <v>45425</v>
      </c>
      <c r="E2464" s="13" t="str">
        <f>+HYPERLINK("http://trademark.i-assist.jp/data/china/image_1887th/77145951.pdf","77145951")</f>
        <v>77145951</v>
      </c>
      <c r="F2464" s="7" t="s">
        <v>6706</v>
      </c>
      <c r="G2464" s="7" t="s">
        <v>6707</v>
      </c>
      <c r="H2464" s="7" t="s">
        <v>6708</v>
      </c>
      <c r="I2464" s="9">
        <v>45357</v>
      </c>
    </row>
    <row r="2465" spans="1:9" x14ac:dyDescent="0.15">
      <c r="A2465" s="6">
        <v>2464</v>
      </c>
      <c r="B2465" s="7" t="s">
        <v>8</v>
      </c>
      <c r="C2465" s="8">
        <v>1887</v>
      </c>
      <c r="D2465" s="9">
        <v>45425</v>
      </c>
      <c r="E2465" s="13" t="str">
        <f>+HYPERLINK("http://trademark.i-assist.jp/data/china/image_1887th/77146617.pdf","77146617")</f>
        <v>77146617</v>
      </c>
      <c r="F2465" s="7" t="s">
        <v>6709</v>
      </c>
      <c r="G2465" s="7" t="s">
        <v>6710</v>
      </c>
      <c r="H2465" s="7" t="s">
        <v>6711</v>
      </c>
      <c r="I2465" s="9">
        <v>45357</v>
      </c>
    </row>
    <row r="2466" spans="1:9" x14ac:dyDescent="0.15">
      <c r="A2466" s="6">
        <v>2465</v>
      </c>
      <c r="B2466" s="7" t="s">
        <v>8</v>
      </c>
      <c r="C2466" s="8">
        <v>1887</v>
      </c>
      <c r="D2466" s="9">
        <v>45425</v>
      </c>
      <c r="E2466" s="13" t="str">
        <f>+HYPERLINK("http://trademark.i-assist.jp/data/china/image_1887th/77146998.pdf","77146998")</f>
        <v>77146998</v>
      </c>
      <c r="F2466" s="7" t="s">
        <v>6712</v>
      </c>
      <c r="G2466" s="7" t="s">
        <v>6713</v>
      </c>
      <c r="H2466" s="7" t="s">
        <v>6714</v>
      </c>
      <c r="I2466" s="9">
        <v>45357</v>
      </c>
    </row>
    <row r="2467" spans="1:9" x14ac:dyDescent="0.15">
      <c r="A2467" s="6">
        <v>2466</v>
      </c>
      <c r="B2467" s="7" t="s">
        <v>8</v>
      </c>
      <c r="C2467" s="8">
        <v>1887</v>
      </c>
      <c r="D2467" s="9">
        <v>45425</v>
      </c>
      <c r="E2467" s="13" t="str">
        <f>+HYPERLINK("http://trademark.i-assist.jp/data/china/image_1887th/77147885.pdf","77147885")</f>
        <v>77147885</v>
      </c>
      <c r="F2467" s="7" t="s">
        <v>6715</v>
      </c>
      <c r="G2467" s="7" t="s">
        <v>6716</v>
      </c>
      <c r="H2467" s="7" t="s">
        <v>6717</v>
      </c>
      <c r="I2467" s="9">
        <v>45357</v>
      </c>
    </row>
    <row r="2468" spans="1:9" x14ac:dyDescent="0.15">
      <c r="A2468" s="6">
        <v>2467</v>
      </c>
      <c r="B2468" s="7" t="s">
        <v>8</v>
      </c>
      <c r="C2468" s="8">
        <v>1887</v>
      </c>
      <c r="D2468" s="9">
        <v>45425</v>
      </c>
      <c r="E2468" s="13" t="str">
        <f>+HYPERLINK("http://trademark.i-assist.jp/data/china/image_1887th/77149107.pdf","77149107")</f>
        <v>77149107</v>
      </c>
      <c r="F2468" s="7" t="s">
        <v>6718</v>
      </c>
      <c r="G2468" s="7" t="s">
        <v>6719</v>
      </c>
      <c r="H2468" s="7" t="s">
        <v>6720</v>
      </c>
      <c r="I2468" s="9">
        <v>45358</v>
      </c>
    </row>
    <row r="2469" spans="1:9" x14ac:dyDescent="0.15">
      <c r="A2469" s="6">
        <v>2468</v>
      </c>
      <c r="B2469" s="7" t="s">
        <v>8</v>
      </c>
      <c r="C2469" s="8">
        <v>1887</v>
      </c>
      <c r="D2469" s="9">
        <v>45425</v>
      </c>
      <c r="E2469" s="13" t="str">
        <f>+HYPERLINK("http://trademark.i-assist.jp/data/china/image_1887th/77149262.pdf","77149262")</f>
        <v>77149262</v>
      </c>
      <c r="F2469" s="7" t="s">
        <v>6721</v>
      </c>
      <c r="G2469" s="7" t="s">
        <v>6722</v>
      </c>
      <c r="H2469" s="7" t="s">
        <v>6723</v>
      </c>
      <c r="I2469" s="9">
        <v>45358</v>
      </c>
    </row>
    <row r="2470" spans="1:9" x14ac:dyDescent="0.15">
      <c r="A2470" s="6">
        <v>2469</v>
      </c>
      <c r="B2470" s="7" t="s">
        <v>8</v>
      </c>
      <c r="C2470" s="8">
        <v>1887</v>
      </c>
      <c r="D2470" s="9">
        <v>45425</v>
      </c>
      <c r="E2470" s="13" t="str">
        <f>+HYPERLINK("http://trademark.i-assist.jp/data/china/image_1887th/77149904.pdf","77149904")</f>
        <v>77149904</v>
      </c>
      <c r="F2470" s="7" t="s">
        <v>6724</v>
      </c>
      <c r="G2470" s="7" t="s">
        <v>6725</v>
      </c>
      <c r="H2470" s="7" t="s">
        <v>6726</v>
      </c>
      <c r="I2470" s="9">
        <v>45358</v>
      </c>
    </row>
    <row r="2471" spans="1:9" x14ac:dyDescent="0.15">
      <c r="A2471" s="6">
        <v>2470</v>
      </c>
      <c r="B2471" s="7" t="s">
        <v>8</v>
      </c>
      <c r="C2471" s="8">
        <v>1887</v>
      </c>
      <c r="D2471" s="9">
        <v>45425</v>
      </c>
      <c r="E2471" s="13" t="str">
        <f>+HYPERLINK("http://trademark.i-assist.jp/data/china/image_1887th/77150122.pdf","77150122")</f>
        <v>77150122</v>
      </c>
      <c r="F2471" s="7" t="s">
        <v>6727</v>
      </c>
      <c r="G2471" s="7" t="s">
        <v>6728</v>
      </c>
      <c r="H2471" s="7" t="s">
        <v>6729</v>
      </c>
      <c r="I2471" s="9">
        <v>45358</v>
      </c>
    </row>
    <row r="2472" spans="1:9" x14ac:dyDescent="0.15">
      <c r="A2472" s="6">
        <v>2471</v>
      </c>
      <c r="B2472" s="7" t="s">
        <v>8</v>
      </c>
      <c r="C2472" s="8">
        <v>1887</v>
      </c>
      <c r="D2472" s="9">
        <v>45425</v>
      </c>
      <c r="E2472" s="13" t="str">
        <f>+HYPERLINK("http://trademark.i-assist.jp/data/china/image_1887th/77150272.pdf","77150272")</f>
        <v>77150272</v>
      </c>
      <c r="F2472" s="7" t="s">
        <v>6730</v>
      </c>
      <c r="G2472" s="7" t="s">
        <v>6731</v>
      </c>
      <c r="H2472" s="7" t="s">
        <v>6732</v>
      </c>
      <c r="I2472" s="9">
        <v>45358</v>
      </c>
    </row>
    <row r="2473" spans="1:9" x14ac:dyDescent="0.15">
      <c r="A2473" s="6">
        <v>2472</v>
      </c>
      <c r="B2473" s="7" t="s">
        <v>8</v>
      </c>
      <c r="C2473" s="8">
        <v>1887</v>
      </c>
      <c r="D2473" s="9">
        <v>45425</v>
      </c>
      <c r="E2473" s="13" t="str">
        <f>+HYPERLINK("http://trademark.i-assist.jp/data/china/image_1887th/77151352.pdf","77151352")</f>
        <v>77151352</v>
      </c>
      <c r="F2473" s="7" t="s">
        <v>6733</v>
      </c>
      <c r="G2473" s="7" t="s">
        <v>6734</v>
      </c>
      <c r="H2473" s="7" t="s">
        <v>6735</v>
      </c>
      <c r="I2473" s="9">
        <v>45358</v>
      </c>
    </row>
    <row r="2474" spans="1:9" x14ac:dyDescent="0.15">
      <c r="A2474" s="6">
        <v>2473</v>
      </c>
      <c r="B2474" s="7" t="s">
        <v>8</v>
      </c>
      <c r="C2474" s="8">
        <v>1887</v>
      </c>
      <c r="D2474" s="9">
        <v>45425</v>
      </c>
      <c r="E2474" s="13" t="str">
        <f>+HYPERLINK("http://trademark.i-assist.jp/data/china/image_1887th/77151924.pdf","77151924")</f>
        <v>77151924</v>
      </c>
      <c r="F2474" s="7" t="s">
        <v>6736</v>
      </c>
      <c r="G2474" s="7" t="s">
        <v>6737</v>
      </c>
      <c r="H2474" s="7" t="s">
        <v>6738</v>
      </c>
      <c r="I2474" s="9">
        <v>45358</v>
      </c>
    </row>
    <row r="2475" spans="1:9" ht="27" x14ac:dyDescent="0.15">
      <c r="A2475" s="6">
        <v>2474</v>
      </c>
      <c r="B2475" s="7" t="s">
        <v>8</v>
      </c>
      <c r="C2475" s="8">
        <v>1887</v>
      </c>
      <c r="D2475" s="9">
        <v>45425</v>
      </c>
      <c r="E2475" s="13" t="str">
        <f>+HYPERLINK("http://trademark.i-assist.jp/data/china/image_1887th/77151993.pdf","77151993")</f>
        <v>77151993</v>
      </c>
      <c r="F2475" s="7" t="s">
        <v>6739</v>
      </c>
      <c r="G2475" s="7" t="s">
        <v>6740</v>
      </c>
      <c r="H2475" s="7" t="s">
        <v>6741</v>
      </c>
      <c r="I2475" s="9">
        <v>45358</v>
      </c>
    </row>
    <row r="2476" spans="1:9" x14ac:dyDescent="0.15">
      <c r="A2476" s="6">
        <v>2475</v>
      </c>
      <c r="B2476" s="7" t="s">
        <v>8</v>
      </c>
      <c r="C2476" s="8">
        <v>1887</v>
      </c>
      <c r="D2476" s="9">
        <v>45425</v>
      </c>
      <c r="E2476" s="13" t="str">
        <f>+HYPERLINK("http://trademark.i-assist.jp/data/china/image_1887th/77152347.pdf","77152347")</f>
        <v>77152347</v>
      </c>
      <c r="F2476" s="7" t="s">
        <v>6742</v>
      </c>
      <c r="G2476" s="7" t="s">
        <v>6719</v>
      </c>
      <c r="H2476" s="7" t="s">
        <v>6743</v>
      </c>
      <c r="I2476" s="9">
        <v>45358</v>
      </c>
    </row>
    <row r="2477" spans="1:9" x14ac:dyDescent="0.15">
      <c r="A2477" s="6">
        <v>2476</v>
      </c>
      <c r="B2477" s="7" t="s">
        <v>8</v>
      </c>
      <c r="C2477" s="8">
        <v>1887</v>
      </c>
      <c r="D2477" s="9">
        <v>45425</v>
      </c>
      <c r="E2477" s="13" t="str">
        <f>+HYPERLINK("http://trademark.i-assist.jp/data/china/image_1887th/77152452.pdf","77152452")</f>
        <v>77152452</v>
      </c>
      <c r="F2477" s="7" t="s">
        <v>54</v>
      </c>
      <c r="G2477" s="7" t="s">
        <v>6744</v>
      </c>
      <c r="H2477" s="7" t="s">
        <v>6745</v>
      </c>
      <c r="I2477" s="9">
        <v>45358</v>
      </c>
    </row>
    <row r="2478" spans="1:9" x14ac:dyDescent="0.15">
      <c r="A2478" s="6">
        <v>2477</v>
      </c>
      <c r="B2478" s="7" t="s">
        <v>8</v>
      </c>
      <c r="C2478" s="8">
        <v>1887</v>
      </c>
      <c r="D2478" s="9">
        <v>45425</v>
      </c>
      <c r="E2478" s="13" t="str">
        <f>+HYPERLINK("http://trademark.i-assist.jp/data/china/image_1887th/77152862.pdf","77152862")</f>
        <v>77152862</v>
      </c>
      <c r="F2478" s="7" t="s">
        <v>6746</v>
      </c>
      <c r="G2478" s="7" t="s">
        <v>6747</v>
      </c>
      <c r="H2478" s="7" t="s">
        <v>6748</v>
      </c>
      <c r="I2478" s="9">
        <v>45358</v>
      </c>
    </row>
    <row r="2479" spans="1:9" x14ac:dyDescent="0.15">
      <c r="A2479" s="6">
        <v>2478</v>
      </c>
      <c r="B2479" s="7" t="s">
        <v>8</v>
      </c>
      <c r="C2479" s="8">
        <v>1887</v>
      </c>
      <c r="D2479" s="9">
        <v>45425</v>
      </c>
      <c r="E2479" s="13" t="str">
        <f>+HYPERLINK("http://trademark.i-assist.jp/data/china/image_1887th/77153244.pdf","77153244")</f>
        <v>77153244</v>
      </c>
      <c r="F2479" s="7" t="s">
        <v>6749</v>
      </c>
      <c r="G2479" s="7" t="s">
        <v>6750</v>
      </c>
      <c r="H2479" s="7" t="s">
        <v>6751</v>
      </c>
      <c r="I2479" s="9">
        <v>45358</v>
      </c>
    </row>
    <row r="2480" spans="1:9" ht="27" x14ac:dyDescent="0.15">
      <c r="A2480" s="6">
        <v>2479</v>
      </c>
      <c r="B2480" s="7" t="s">
        <v>8</v>
      </c>
      <c r="C2480" s="8">
        <v>1887</v>
      </c>
      <c r="D2480" s="9">
        <v>45425</v>
      </c>
      <c r="E2480" s="13" t="str">
        <f>+HYPERLINK("http://trademark.i-assist.jp/data/china/image_1887th/77154002.pdf","77154002")</f>
        <v>77154002</v>
      </c>
      <c r="F2480" s="7" t="s">
        <v>6752</v>
      </c>
      <c r="G2480" s="7" t="s">
        <v>3581</v>
      </c>
      <c r="H2480" s="7" t="s">
        <v>6753</v>
      </c>
      <c r="I2480" s="9">
        <v>45358</v>
      </c>
    </row>
    <row r="2481" spans="1:9" ht="27" x14ac:dyDescent="0.15">
      <c r="A2481" s="6">
        <v>2480</v>
      </c>
      <c r="B2481" s="7" t="s">
        <v>8</v>
      </c>
      <c r="C2481" s="8">
        <v>1887</v>
      </c>
      <c r="D2481" s="9">
        <v>45425</v>
      </c>
      <c r="E2481" s="13" t="str">
        <f>+HYPERLINK("http://trademark.i-assist.jp/data/china/image_1887th/77154028.pdf","77154028")</f>
        <v>77154028</v>
      </c>
      <c r="F2481" s="7" t="s">
        <v>6754</v>
      </c>
      <c r="G2481" s="7" t="s">
        <v>6755</v>
      </c>
      <c r="H2481" s="7" t="s">
        <v>6756</v>
      </c>
      <c r="I2481" s="9">
        <v>45358</v>
      </c>
    </row>
    <row r="2482" spans="1:9" x14ac:dyDescent="0.15">
      <c r="A2482" s="6">
        <v>2481</v>
      </c>
      <c r="B2482" s="7" t="s">
        <v>8</v>
      </c>
      <c r="C2482" s="8">
        <v>1887</v>
      </c>
      <c r="D2482" s="9">
        <v>45425</v>
      </c>
      <c r="E2482" s="13" t="str">
        <f>+HYPERLINK("http://trademark.i-assist.jp/data/china/image_1887th/77154169.pdf","77154169")</f>
        <v>77154169</v>
      </c>
      <c r="F2482" s="7" t="s">
        <v>6757</v>
      </c>
      <c r="G2482" s="7" t="s">
        <v>6758</v>
      </c>
      <c r="H2482" s="7" t="s">
        <v>6759</v>
      </c>
      <c r="I2482" s="9">
        <v>45358</v>
      </c>
    </row>
    <row r="2483" spans="1:9" x14ac:dyDescent="0.15">
      <c r="A2483" s="6">
        <v>2482</v>
      </c>
      <c r="B2483" s="7" t="s">
        <v>8</v>
      </c>
      <c r="C2483" s="8">
        <v>1887</v>
      </c>
      <c r="D2483" s="9">
        <v>45425</v>
      </c>
      <c r="E2483" s="13" t="str">
        <f>+HYPERLINK("http://trademark.i-assist.jp/data/china/image_1887th/77154754.pdf","77154754")</f>
        <v>77154754</v>
      </c>
      <c r="F2483" s="7" t="s">
        <v>6760</v>
      </c>
      <c r="G2483" s="7" t="s">
        <v>6761</v>
      </c>
      <c r="H2483" s="7" t="s">
        <v>6762</v>
      </c>
      <c r="I2483" s="9">
        <v>45358</v>
      </c>
    </row>
    <row r="2484" spans="1:9" x14ac:dyDescent="0.15">
      <c r="A2484" s="6">
        <v>2483</v>
      </c>
      <c r="B2484" s="7" t="s">
        <v>8</v>
      </c>
      <c r="C2484" s="8">
        <v>1887</v>
      </c>
      <c r="D2484" s="9">
        <v>45425</v>
      </c>
      <c r="E2484" s="13" t="str">
        <f>+HYPERLINK("http://trademark.i-assist.jp/data/china/image_1887th/77155207.pdf","77155207")</f>
        <v>77155207</v>
      </c>
      <c r="F2484" s="7" t="s">
        <v>6763</v>
      </c>
      <c r="G2484" s="7" t="s">
        <v>6764</v>
      </c>
      <c r="H2484" s="7" t="s">
        <v>6765</v>
      </c>
      <c r="I2484" s="9">
        <v>45358</v>
      </c>
    </row>
    <row r="2485" spans="1:9" ht="27" x14ac:dyDescent="0.15">
      <c r="A2485" s="6">
        <v>2484</v>
      </c>
      <c r="B2485" s="7" t="s">
        <v>8</v>
      </c>
      <c r="C2485" s="8">
        <v>1887</v>
      </c>
      <c r="D2485" s="9">
        <v>45425</v>
      </c>
      <c r="E2485" s="13" t="str">
        <f>+HYPERLINK("http://trademark.i-assist.jp/data/china/image_1887th/77155521.pdf","77155521")</f>
        <v>77155521</v>
      </c>
      <c r="F2485" s="7" t="s">
        <v>6766</v>
      </c>
      <c r="G2485" s="7" t="s">
        <v>6767</v>
      </c>
      <c r="H2485" s="7" t="s">
        <v>6768</v>
      </c>
      <c r="I2485" s="9">
        <v>45358</v>
      </c>
    </row>
    <row r="2486" spans="1:9" x14ac:dyDescent="0.15">
      <c r="A2486" s="6">
        <v>2485</v>
      </c>
      <c r="B2486" s="7" t="s">
        <v>8</v>
      </c>
      <c r="C2486" s="8">
        <v>1887</v>
      </c>
      <c r="D2486" s="9">
        <v>45425</v>
      </c>
      <c r="E2486" s="13" t="str">
        <f>+HYPERLINK("http://trademark.i-assist.jp/data/china/image_1887th/77155892.pdf","77155892")</f>
        <v>77155892</v>
      </c>
      <c r="F2486" s="7" t="s">
        <v>6769</v>
      </c>
      <c r="G2486" s="7" t="s">
        <v>6770</v>
      </c>
      <c r="H2486" s="7" t="s">
        <v>6771</v>
      </c>
      <c r="I2486" s="9">
        <v>45358</v>
      </c>
    </row>
    <row r="2487" spans="1:9" x14ac:dyDescent="0.15">
      <c r="A2487" s="6">
        <v>2486</v>
      </c>
      <c r="B2487" s="7" t="s">
        <v>8</v>
      </c>
      <c r="C2487" s="8">
        <v>1887</v>
      </c>
      <c r="D2487" s="9">
        <v>45425</v>
      </c>
      <c r="E2487" s="13" t="str">
        <f>+HYPERLINK("http://trademark.i-assist.jp/data/china/image_1887th/77156311.pdf","77156311")</f>
        <v>77156311</v>
      </c>
      <c r="F2487" s="7" t="s">
        <v>6772</v>
      </c>
      <c r="G2487" s="7" t="s">
        <v>6773</v>
      </c>
      <c r="H2487" s="7" t="s">
        <v>6774</v>
      </c>
      <c r="I2487" s="9">
        <v>45358</v>
      </c>
    </row>
    <row r="2488" spans="1:9" x14ac:dyDescent="0.15">
      <c r="A2488" s="6">
        <v>2487</v>
      </c>
      <c r="B2488" s="7" t="s">
        <v>8</v>
      </c>
      <c r="C2488" s="8">
        <v>1887</v>
      </c>
      <c r="D2488" s="9">
        <v>45425</v>
      </c>
      <c r="E2488" s="13" t="str">
        <f>+HYPERLINK("http://trademark.i-assist.jp/data/china/image_1887th/77156459.pdf","77156459")</f>
        <v>77156459</v>
      </c>
      <c r="F2488" s="7" t="s">
        <v>6775</v>
      </c>
      <c r="G2488" s="7" t="s">
        <v>6776</v>
      </c>
      <c r="H2488" s="7" t="s">
        <v>6777</v>
      </c>
      <c r="I2488" s="9">
        <v>45358</v>
      </c>
    </row>
    <row r="2489" spans="1:9" ht="27" x14ac:dyDescent="0.15">
      <c r="A2489" s="6">
        <v>2488</v>
      </c>
      <c r="B2489" s="7" t="s">
        <v>8</v>
      </c>
      <c r="C2489" s="8">
        <v>1887</v>
      </c>
      <c r="D2489" s="9">
        <v>45425</v>
      </c>
      <c r="E2489" s="13" t="str">
        <f>+HYPERLINK("http://trademark.i-assist.jp/data/china/image_1887th/77156895.pdf","77156895")</f>
        <v>77156895</v>
      </c>
      <c r="F2489" s="7" t="s">
        <v>6778</v>
      </c>
      <c r="G2489" s="7" t="s">
        <v>6779</v>
      </c>
      <c r="H2489" s="7" t="s">
        <v>6780</v>
      </c>
      <c r="I2489" s="9">
        <v>45358</v>
      </c>
    </row>
    <row r="2490" spans="1:9" x14ac:dyDescent="0.15">
      <c r="A2490" s="6">
        <v>2489</v>
      </c>
      <c r="B2490" s="7" t="s">
        <v>8</v>
      </c>
      <c r="C2490" s="8">
        <v>1887</v>
      </c>
      <c r="D2490" s="9">
        <v>45425</v>
      </c>
      <c r="E2490" s="13" t="str">
        <f>+HYPERLINK("http://trademark.i-assist.jp/data/china/image_1887th/77157515.pdf","77157515")</f>
        <v>77157515</v>
      </c>
      <c r="F2490" s="7" t="s">
        <v>6781</v>
      </c>
      <c r="G2490" s="7" t="s">
        <v>6782</v>
      </c>
      <c r="H2490" s="7" t="s">
        <v>6783</v>
      </c>
      <c r="I2490" s="9">
        <v>45358</v>
      </c>
    </row>
    <row r="2491" spans="1:9" ht="27" x14ac:dyDescent="0.15">
      <c r="A2491" s="6">
        <v>2490</v>
      </c>
      <c r="B2491" s="7" t="s">
        <v>8</v>
      </c>
      <c r="C2491" s="8">
        <v>1887</v>
      </c>
      <c r="D2491" s="9">
        <v>45425</v>
      </c>
      <c r="E2491" s="13" t="str">
        <f>+HYPERLINK("http://trademark.i-assist.jp/data/china/image_1887th/77158851.pdf","77158851")</f>
        <v>77158851</v>
      </c>
      <c r="F2491" s="7" t="s">
        <v>6784</v>
      </c>
      <c r="G2491" s="7" t="s">
        <v>6785</v>
      </c>
      <c r="H2491" s="7" t="s">
        <v>6786</v>
      </c>
      <c r="I2491" s="9">
        <v>45358</v>
      </c>
    </row>
    <row r="2492" spans="1:9" x14ac:dyDescent="0.15">
      <c r="A2492" s="6">
        <v>2491</v>
      </c>
      <c r="B2492" s="7" t="s">
        <v>8</v>
      </c>
      <c r="C2492" s="8">
        <v>1887</v>
      </c>
      <c r="D2492" s="9">
        <v>45425</v>
      </c>
      <c r="E2492" s="13" t="str">
        <f>+HYPERLINK("http://trademark.i-assist.jp/data/china/image_1887th/77158855.pdf","77158855")</f>
        <v>77158855</v>
      </c>
      <c r="F2492" s="7" t="s">
        <v>6787</v>
      </c>
      <c r="G2492" s="7" t="s">
        <v>6776</v>
      </c>
      <c r="H2492" s="7" t="s">
        <v>6788</v>
      </c>
      <c r="I2492" s="9">
        <v>45358</v>
      </c>
    </row>
    <row r="2493" spans="1:9" x14ac:dyDescent="0.15">
      <c r="A2493" s="6">
        <v>2492</v>
      </c>
      <c r="B2493" s="7" t="s">
        <v>8</v>
      </c>
      <c r="C2493" s="8">
        <v>1887</v>
      </c>
      <c r="D2493" s="9">
        <v>45425</v>
      </c>
      <c r="E2493" s="13" t="str">
        <f>+HYPERLINK("http://trademark.i-assist.jp/data/china/image_1887th/77159212.pdf","77159212")</f>
        <v>77159212</v>
      </c>
      <c r="F2493" s="7" t="s">
        <v>6789</v>
      </c>
      <c r="G2493" s="7" t="s">
        <v>6790</v>
      </c>
      <c r="H2493" s="7" t="s">
        <v>6791</v>
      </c>
      <c r="I2493" s="9">
        <v>45358</v>
      </c>
    </row>
    <row r="2494" spans="1:9" ht="27" x14ac:dyDescent="0.15">
      <c r="A2494" s="6">
        <v>2493</v>
      </c>
      <c r="B2494" s="7" t="s">
        <v>8</v>
      </c>
      <c r="C2494" s="8">
        <v>1887</v>
      </c>
      <c r="D2494" s="9">
        <v>45425</v>
      </c>
      <c r="E2494" s="13" t="str">
        <f>+HYPERLINK("http://trademark.i-assist.jp/data/china/image_1887th/77159736.pdf","77159736")</f>
        <v>77159736</v>
      </c>
      <c r="F2494" s="7" t="s">
        <v>6754</v>
      </c>
      <c r="G2494" s="7" t="s">
        <v>6755</v>
      </c>
      <c r="H2494" s="7" t="s">
        <v>6792</v>
      </c>
      <c r="I2494" s="9">
        <v>45358</v>
      </c>
    </row>
    <row r="2495" spans="1:9" x14ac:dyDescent="0.15">
      <c r="A2495" s="6">
        <v>2494</v>
      </c>
      <c r="B2495" s="7" t="s">
        <v>8</v>
      </c>
      <c r="C2495" s="8">
        <v>1887</v>
      </c>
      <c r="D2495" s="9">
        <v>45425</v>
      </c>
      <c r="E2495" s="13" t="str">
        <f>+HYPERLINK("http://trademark.i-assist.jp/data/china/image_1887th/77160921.pdf","77160921")</f>
        <v>77160921</v>
      </c>
      <c r="F2495" s="7" t="s">
        <v>6793</v>
      </c>
      <c r="G2495" s="7" t="s">
        <v>6719</v>
      </c>
      <c r="H2495" s="7" t="s">
        <v>6794</v>
      </c>
      <c r="I2495" s="9">
        <v>45358</v>
      </c>
    </row>
    <row r="2496" spans="1:9" x14ac:dyDescent="0.15">
      <c r="A2496" s="6">
        <v>2495</v>
      </c>
      <c r="B2496" s="7" t="s">
        <v>8</v>
      </c>
      <c r="C2496" s="8">
        <v>1887</v>
      </c>
      <c r="D2496" s="9">
        <v>45425</v>
      </c>
      <c r="E2496" s="13" t="str">
        <f>+HYPERLINK("http://trademark.i-assist.jp/data/china/image_1887th/77161763.pdf","77161763")</f>
        <v>77161763</v>
      </c>
      <c r="F2496" s="7" t="s">
        <v>6795</v>
      </c>
      <c r="G2496" s="7" t="s">
        <v>6796</v>
      </c>
      <c r="H2496" s="7" t="s">
        <v>6797</v>
      </c>
      <c r="I2496" s="9">
        <v>45358</v>
      </c>
    </row>
    <row r="2497" spans="1:9" x14ac:dyDescent="0.15">
      <c r="A2497" s="6">
        <v>2496</v>
      </c>
      <c r="B2497" s="7" t="s">
        <v>8</v>
      </c>
      <c r="C2497" s="8">
        <v>1887</v>
      </c>
      <c r="D2497" s="9">
        <v>45425</v>
      </c>
      <c r="E2497" s="13" t="str">
        <f>+HYPERLINK("http://trademark.i-assist.jp/data/china/image_1887th/77161942.pdf","77161942")</f>
        <v>77161942</v>
      </c>
      <c r="F2497" s="7" t="s">
        <v>6798</v>
      </c>
      <c r="G2497" s="7" t="s">
        <v>6799</v>
      </c>
      <c r="H2497" s="7" t="s">
        <v>6800</v>
      </c>
      <c r="I2497" s="9">
        <v>45358</v>
      </c>
    </row>
    <row r="2498" spans="1:9" x14ac:dyDescent="0.15">
      <c r="A2498" s="6">
        <v>2497</v>
      </c>
      <c r="B2498" s="7" t="s">
        <v>8</v>
      </c>
      <c r="C2498" s="8">
        <v>1887</v>
      </c>
      <c r="D2498" s="9">
        <v>45425</v>
      </c>
      <c r="E2498" s="13" t="str">
        <f>+HYPERLINK("http://trademark.i-assist.jp/data/china/image_1887th/77161963.pdf","77161963")</f>
        <v>77161963</v>
      </c>
      <c r="F2498" s="7" t="s">
        <v>6801</v>
      </c>
      <c r="G2498" s="7" t="s">
        <v>6802</v>
      </c>
      <c r="H2498" s="7" t="s">
        <v>6803</v>
      </c>
      <c r="I2498" s="9">
        <v>45358</v>
      </c>
    </row>
    <row r="2499" spans="1:9" x14ac:dyDescent="0.15">
      <c r="A2499" s="6">
        <v>2498</v>
      </c>
      <c r="B2499" s="7" t="s">
        <v>8</v>
      </c>
      <c r="C2499" s="8">
        <v>1887</v>
      </c>
      <c r="D2499" s="9">
        <v>45425</v>
      </c>
      <c r="E2499" s="13" t="str">
        <f>+HYPERLINK("http://trademark.i-assist.jp/data/china/image_1887th/77162417.pdf","77162417")</f>
        <v>77162417</v>
      </c>
      <c r="F2499" s="7" t="s">
        <v>6804</v>
      </c>
      <c r="G2499" s="7" t="s">
        <v>6805</v>
      </c>
      <c r="H2499" s="7" t="s">
        <v>6806</v>
      </c>
      <c r="I2499" s="9">
        <v>45358</v>
      </c>
    </row>
    <row r="2500" spans="1:9" ht="27" x14ac:dyDescent="0.15">
      <c r="A2500" s="6">
        <v>2499</v>
      </c>
      <c r="B2500" s="7" t="s">
        <v>8</v>
      </c>
      <c r="C2500" s="8">
        <v>1887</v>
      </c>
      <c r="D2500" s="9">
        <v>45425</v>
      </c>
      <c r="E2500" s="13" t="str">
        <f>+HYPERLINK("http://trademark.i-assist.jp/data/china/image_1887th/77163304.pdf","77163304")</f>
        <v>77163304</v>
      </c>
      <c r="F2500" s="7" t="s">
        <v>6807</v>
      </c>
      <c r="G2500" s="7" t="s">
        <v>6779</v>
      </c>
      <c r="H2500" s="7" t="s">
        <v>6808</v>
      </c>
      <c r="I2500" s="9">
        <v>45358</v>
      </c>
    </row>
    <row r="2501" spans="1:9" x14ac:dyDescent="0.15">
      <c r="A2501" s="6">
        <v>2500</v>
      </c>
      <c r="B2501" s="7" t="s">
        <v>8</v>
      </c>
      <c r="C2501" s="8">
        <v>1887</v>
      </c>
      <c r="D2501" s="9">
        <v>45425</v>
      </c>
      <c r="E2501" s="13" t="str">
        <f>+HYPERLINK("http://trademark.i-assist.jp/data/china/image_1887th/77163704.pdf","77163704")</f>
        <v>77163704</v>
      </c>
      <c r="F2501" s="7" t="s">
        <v>6809</v>
      </c>
      <c r="G2501" s="7" t="s">
        <v>6810</v>
      </c>
      <c r="H2501" s="7" t="s">
        <v>6811</v>
      </c>
      <c r="I2501" s="9">
        <v>45358</v>
      </c>
    </row>
    <row r="2502" spans="1:9" x14ac:dyDescent="0.15">
      <c r="A2502" s="6">
        <v>2501</v>
      </c>
      <c r="B2502" s="7" t="s">
        <v>8</v>
      </c>
      <c r="C2502" s="8">
        <v>1887</v>
      </c>
      <c r="D2502" s="9">
        <v>45425</v>
      </c>
      <c r="E2502" s="13" t="str">
        <f>+HYPERLINK("http://trademark.i-assist.jp/data/china/image_1887th/77163723.pdf","77163723")</f>
        <v>77163723</v>
      </c>
      <c r="F2502" s="7" t="s">
        <v>6812</v>
      </c>
      <c r="G2502" s="7" t="s">
        <v>6813</v>
      </c>
      <c r="H2502" s="7" t="s">
        <v>6814</v>
      </c>
      <c r="I2502" s="9">
        <v>45358</v>
      </c>
    </row>
    <row r="2503" spans="1:9" x14ac:dyDescent="0.15">
      <c r="A2503" s="6">
        <v>2502</v>
      </c>
      <c r="B2503" s="7" t="s">
        <v>8</v>
      </c>
      <c r="C2503" s="8">
        <v>1887</v>
      </c>
      <c r="D2503" s="9">
        <v>45425</v>
      </c>
      <c r="E2503" s="13" t="str">
        <f>+HYPERLINK("http://trademark.i-assist.jp/data/china/image_1887th/77163895.pdf","77163895")</f>
        <v>77163895</v>
      </c>
      <c r="F2503" s="7" t="s">
        <v>6815</v>
      </c>
      <c r="G2503" s="7" t="s">
        <v>6816</v>
      </c>
      <c r="H2503" s="7" t="s">
        <v>6817</v>
      </c>
      <c r="I2503" s="9">
        <v>45358</v>
      </c>
    </row>
    <row r="2504" spans="1:9" ht="27" x14ac:dyDescent="0.15">
      <c r="A2504" s="6">
        <v>2503</v>
      </c>
      <c r="B2504" s="7" t="s">
        <v>8</v>
      </c>
      <c r="C2504" s="8">
        <v>1887</v>
      </c>
      <c r="D2504" s="9">
        <v>45425</v>
      </c>
      <c r="E2504" s="13" t="str">
        <f>+HYPERLINK("http://trademark.i-assist.jp/data/china/image_1887th/77164321.pdf","77164321")</f>
        <v>77164321</v>
      </c>
      <c r="F2504" s="7" t="s">
        <v>6818</v>
      </c>
      <c r="G2504" s="7" t="s">
        <v>6740</v>
      </c>
      <c r="H2504" s="7" t="s">
        <v>6819</v>
      </c>
      <c r="I2504" s="9">
        <v>45358</v>
      </c>
    </row>
    <row r="2505" spans="1:9" ht="27" x14ac:dyDescent="0.15">
      <c r="A2505" s="6">
        <v>2504</v>
      </c>
      <c r="B2505" s="7" t="s">
        <v>8</v>
      </c>
      <c r="C2505" s="8">
        <v>1887</v>
      </c>
      <c r="D2505" s="9">
        <v>45425</v>
      </c>
      <c r="E2505" s="13" t="str">
        <f>+HYPERLINK("http://trademark.i-assist.jp/data/china/image_1887th/77165948.pdf","77165948")</f>
        <v>77165948</v>
      </c>
      <c r="F2505" s="7" t="s">
        <v>6820</v>
      </c>
      <c r="G2505" s="7" t="s">
        <v>6821</v>
      </c>
      <c r="H2505" s="7" t="s">
        <v>6822</v>
      </c>
      <c r="I2505" s="9">
        <v>45358</v>
      </c>
    </row>
    <row r="2506" spans="1:9" ht="27" x14ac:dyDescent="0.15">
      <c r="A2506" s="6">
        <v>2505</v>
      </c>
      <c r="B2506" s="7" t="s">
        <v>8</v>
      </c>
      <c r="C2506" s="8">
        <v>1887</v>
      </c>
      <c r="D2506" s="9">
        <v>45425</v>
      </c>
      <c r="E2506" s="13" t="str">
        <f>+HYPERLINK("http://trademark.i-assist.jp/data/china/image_1887th/77166480.pdf","77166480")</f>
        <v>77166480</v>
      </c>
      <c r="F2506" s="7" t="s">
        <v>6823</v>
      </c>
      <c r="G2506" s="7" t="s">
        <v>6824</v>
      </c>
      <c r="H2506" s="7" t="s">
        <v>6825</v>
      </c>
      <c r="I2506" s="9">
        <v>45358</v>
      </c>
    </row>
    <row r="2507" spans="1:9" x14ac:dyDescent="0.15">
      <c r="A2507" s="6">
        <v>2506</v>
      </c>
      <c r="B2507" s="7" t="s">
        <v>8</v>
      </c>
      <c r="C2507" s="8">
        <v>1887</v>
      </c>
      <c r="D2507" s="9">
        <v>45425</v>
      </c>
      <c r="E2507" s="13" t="str">
        <f>+HYPERLINK("http://trademark.i-assist.jp/data/china/image_1887th/77167386.pdf","77167386")</f>
        <v>77167386</v>
      </c>
      <c r="F2507" s="7" t="s">
        <v>6826</v>
      </c>
      <c r="G2507" s="7" t="s">
        <v>6827</v>
      </c>
      <c r="H2507" s="7" t="s">
        <v>6828</v>
      </c>
      <c r="I2507" s="9">
        <v>45358</v>
      </c>
    </row>
    <row r="2508" spans="1:9" x14ac:dyDescent="0.15">
      <c r="A2508" s="6">
        <v>2507</v>
      </c>
      <c r="B2508" s="7" t="s">
        <v>8</v>
      </c>
      <c r="C2508" s="8">
        <v>1887</v>
      </c>
      <c r="D2508" s="9">
        <v>45425</v>
      </c>
      <c r="E2508" s="13" t="str">
        <f>+HYPERLINK("http://trademark.i-assist.jp/data/china/image_1887th/77167405.pdf","77167405")</f>
        <v>77167405</v>
      </c>
      <c r="F2508" s="7" t="s">
        <v>6829</v>
      </c>
      <c r="G2508" s="7" t="s">
        <v>6827</v>
      </c>
      <c r="H2508" s="7" t="s">
        <v>6830</v>
      </c>
      <c r="I2508" s="9">
        <v>45358</v>
      </c>
    </row>
    <row r="2509" spans="1:9" x14ac:dyDescent="0.15">
      <c r="A2509" s="6">
        <v>2508</v>
      </c>
      <c r="B2509" s="7" t="s">
        <v>8</v>
      </c>
      <c r="C2509" s="8">
        <v>1887</v>
      </c>
      <c r="D2509" s="9">
        <v>45425</v>
      </c>
      <c r="E2509" s="13" t="str">
        <f>+HYPERLINK("http://trademark.i-assist.jp/data/china/image_1887th/77167676.pdf","77167676")</f>
        <v>77167676</v>
      </c>
      <c r="F2509" s="7" t="s">
        <v>6831</v>
      </c>
      <c r="G2509" s="7" t="s">
        <v>6832</v>
      </c>
      <c r="H2509" s="7" t="s">
        <v>6833</v>
      </c>
      <c r="I2509" s="9">
        <v>45358</v>
      </c>
    </row>
    <row r="2510" spans="1:9" ht="27" x14ac:dyDescent="0.15">
      <c r="A2510" s="6">
        <v>2509</v>
      </c>
      <c r="B2510" s="7" t="s">
        <v>8</v>
      </c>
      <c r="C2510" s="8">
        <v>1887</v>
      </c>
      <c r="D2510" s="9">
        <v>45425</v>
      </c>
      <c r="E2510" s="13" t="str">
        <f>+HYPERLINK("http://trademark.i-assist.jp/data/china/image_1887th/77168685.pdf","77168685")</f>
        <v>77168685</v>
      </c>
      <c r="F2510" s="7" t="s">
        <v>6834</v>
      </c>
      <c r="G2510" s="7" t="s">
        <v>6785</v>
      </c>
      <c r="H2510" s="7" t="s">
        <v>6835</v>
      </c>
      <c r="I2510" s="9">
        <v>45358</v>
      </c>
    </row>
    <row r="2511" spans="1:9" x14ac:dyDescent="0.15">
      <c r="A2511" s="6">
        <v>2510</v>
      </c>
      <c r="B2511" s="7" t="s">
        <v>8</v>
      </c>
      <c r="C2511" s="8">
        <v>1887</v>
      </c>
      <c r="D2511" s="9">
        <v>45425</v>
      </c>
      <c r="E2511" s="13" t="str">
        <f>+HYPERLINK("http://trademark.i-assist.jp/data/china/image_1887th/77169220.pdf","77169220")</f>
        <v>77169220</v>
      </c>
      <c r="F2511" s="7" t="s">
        <v>6836</v>
      </c>
      <c r="G2511" s="7" t="s">
        <v>6837</v>
      </c>
      <c r="H2511" s="7" t="s">
        <v>6838</v>
      </c>
      <c r="I2511" s="9">
        <v>45358</v>
      </c>
    </row>
    <row r="2512" spans="1:9" x14ac:dyDescent="0.15">
      <c r="A2512" s="6">
        <v>2511</v>
      </c>
      <c r="B2512" s="7" t="s">
        <v>8</v>
      </c>
      <c r="C2512" s="8">
        <v>1887</v>
      </c>
      <c r="D2512" s="9">
        <v>45425</v>
      </c>
      <c r="E2512" s="13" t="str">
        <f>+HYPERLINK("http://trademark.i-assist.jp/data/china/image_1887th/77169814.pdf","77169814")</f>
        <v>77169814</v>
      </c>
      <c r="F2512" s="7" t="s">
        <v>6839</v>
      </c>
      <c r="G2512" s="7" t="s">
        <v>6840</v>
      </c>
      <c r="H2512" s="7" t="s">
        <v>6841</v>
      </c>
      <c r="I2512" s="9">
        <v>45358</v>
      </c>
    </row>
    <row r="2513" spans="1:9" x14ac:dyDescent="0.15">
      <c r="A2513" s="6">
        <v>2512</v>
      </c>
      <c r="B2513" s="7" t="s">
        <v>8</v>
      </c>
      <c r="C2513" s="8">
        <v>1887</v>
      </c>
      <c r="D2513" s="9">
        <v>45425</v>
      </c>
      <c r="E2513" s="13" t="str">
        <f>+HYPERLINK("http://trademark.i-assist.jp/data/china/image_1887th/77169947.pdf","77169947")</f>
        <v>77169947</v>
      </c>
      <c r="F2513" s="7" t="s">
        <v>6842</v>
      </c>
      <c r="G2513" s="7" t="s">
        <v>6843</v>
      </c>
      <c r="H2513" s="7" t="s">
        <v>6844</v>
      </c>
      <c r="I2513" s="9">
        <v>45358</v>
      </c>
    </row>
    <row r="2514" spans="1:9" x14ac:dyDescent="0.15">
      <c r="A2514" s="6">
        <v>2513</v>
      </c>
      <c r="B2514" s="7" t="s">
        <v>8</v>
      </c>
      <c r="C2514" s="8">
        <v>1887</v>
      </c>
      <c r="D2514" s="9">
        <v>45425</v>
      </c>
      <c r="E2514" s="13" t="str">
        <f>+HYPERLINK("http://trademark.i-assist.jp/data/china/image_1887th/77169989.pdf","77169989")</f>
        <v>77169989</v>
      </c>
      <c r="F2514" s="7" t="s">
        <v>6845</v>
      </c>
      <c r="G2514" s="7" t="s">
        <v>6776</v>
      </c>
      <c r="H2514" s="7" t="s">
        <v>6846</v>
      </c>
      <c r="I2514" s="9">
        <v>45358</v>
      </c>
    </row>
    <row r="2515" spans="1:9" x14ac:dyDescent="0.15">
      <c r="A2515" s="6">
        <v>2514</v>
      </c>
      <c r="B2515" s="7" t="s">
        <v>8</v>
      </c>
      <c r="C2515" s="8">
        <v>1887</v>
      </c>
      <c r="D2515" s="9">
        <v>45425</v>
      </c>
      <c r="E2515" s="13" t="str">
        <f>+HYPERLINK("http://trademark.i-assist.jp/data/china/image_1887th/77170097.pdf","77170097")</f>
        <v>77170097</v>
      </c>
      <c r="F2515" s="7" t="s">
        <v>6847</v>
      </c>
      <c r="G2515" s="7" t="s">
        <v>6848</v>
      </c>
      <c r="H2515" s="7" t="s">
        <v>6849</v>
      </c>
      <c r="I2515" s="9">
        <v>45358</v>
      </c>
    </row>
    <row r="2516" spans="1:9" x14ac:dyDescent="0.15">
      <c r="A2516" s="6">
        <v>2515</v>
      </c>
      <c r="B2516" s="7" t="s">
        <v>8</v>
      </c>
      <c r="C2516" s="8">
        <v>1887</v>
      </c>
      <c r="D2516" s="9">
        <v>45425</v>
      </c>
      <c r="E2516" s="13" t="str">
        <f>+HYPERLINK("http://trademark.i-assist.jp/data/china/image_1887th/77173649.pdf","77173649")</f>
        <v>77173649</v>
      </c>
      <c r="F2516" s="7" t="s">
        <v>6850</v>
      </c>
      <c r="G2516" s="7" t="s">
        <v>6851</v>
      </c>
      <c r="H2516" s="7" t="s">
        <v>6852</v>
      </c>
      <c r="I2516" s="9">
        <v>45358</v>
      </c>
    </row>
    <row r="2517" spans="1:9" x14ac:dyDescent="0.15">
      <c r="A2517" s="6">
        <v>2516</v>
      </c>
      <c r="B2517" s="7" t="s">
        <v>8</v>
      </c>
      <c r="C2517" s="8">
        <v>1887</v>
      </c>
      <c r="D2517" s="9">
        <v>45425</v>
      </c>
      <c r="E2517" s="13" t="str">
        <f>+HYPERLINK("http://trademark.i-assist.jp/data/china/image_1887th/77173684.pdf","77173684")</f>
        <v>77173684</v>
      </c>
      <c r="F2517" s="7" t="s">
        <v>6853</v>
      </c>
      <c r="G2517" s="7" t="s">
        <v>6854</v>
      </c>
      <c r="H2517" s="7" t="s">
        <v>6855</v>
      </c>
      <c r="I2517" s="9">
        <v>45358</v>
      </c>
    </row>
    <row r="2518" spans="1:9" x14ac:dyDescent="0.15">
      <c r="A2518" s="6">
        <v>2517</v>
      </c>
      <c r="B2518" s="7" t="s">
        <v>8</v>
      </c>
      <c r="C2518" s="8">
        <v>1887</v>
      </c>
      <c r="D2518" s="9">
        <v>45425</v>
      </c>
      <c r="E2518" s="13" t="str">
        <f>+HYPERLINK("http://trademark.i-assist.jp/data/china/image_1887th/77173872.pdf","77173872")</f>
        <v>77173872</v>
      </c>
      <c r="F2518" s="7" t="s">
        <v>6856</v>
      </c>
      <c r="G2518" s="7" t="s">
        <v>6857</v>
      </c>
      <c r="H2518" s="7" t="s">
        <v>6858</v>
      </c>
      <c r="I2518" s="9">
        <v>45358</v>
      </c>
    </row>
    <row r="2519" spans="1:9" ht="27" x14ac:dyDescent="0.15">
      <c r="A2519" s="6">
        <v>2518</v>
      </c>
      <c r="B2519" s="7" t="s">
        <v>8</v>
      </c>
      <c r="C2519" s="8">
        <v>1887</v>
      </c>
      <c r="D2519" s="9">
        <v>45425</v>
      </c>
      <c r="E2519" s="13" t="str">
        <f>+HYPERLINK("http://trademark.i-assist.jp/data/china/image_1887th/77174505.pdf","77174505")</f>
        <v>77174505</v>
      </c>
      <c r="F2519" s="7" t="s">
        <v>6859</v>
      </c>
      <c r="G2519" s="7" t="s">
        <v>6860</v>
      </c>
      <c r="H2519" s="7" t="s">
        <v>6861</v>
      </c>
      <c r="I2519" s="9">
        <v>45359</v>
      </c>
    </row>
    <row r="2520" spans="1:9" x14ac:dyDescent="0.15">
      <c r="A2520" s="6">
        <v>2519</v>
      </c>
      <c r="B2520" s="7" t="s">
        <v>8</v>
      </c>
      <c r="C2520" s="8">
        <v>1887</v>
      </c>
      <c r="D2520" s="9">
        <v>45425</v>
      </c>
      <c r="E2520" s="13" t="str">
        <f>+HYPERLINK("http://trademark.i-assist.jp/data/china/image_1887th/77174982.pdf","77174982")</f>
        <v>77174982</v>
      </c>
      <c r="F2520" s="7" t="s">
        <v>6862</v>
      </c>
      <c r="G2520" s="7" t="s">
        <v>4192</v>
      </c>
      <c r="H2520" s="7" t="s">
        <v>6863</v>
      </c>
      <c r="I2520" s="9">
        <v>45359</v>
      </c>
    </row>
    <row r="2521" spans="1:9" x14ac:dyDescent="0.15">
      <c r="A2521" s="6">
        <v>2520</v>
      </c>
      <c r="B2521" s="7" t="s">
        <v>8</v>
      </c>
      <c r="C2521" s="8">
        <v>1887</v>
      </c>
      <c r="D2521" s="9">
        <v>45425</v>
      </c>
      <c r="E2521" s="13" t="str">
        <f>+HYPERLINK("http://trademark.i-assist.jp/data/china/image_1887th/77175096.pdf","77175096")</f>
        <v>77175096</v>
      </c>
      <c r="F2521" s="7" t="s">
        <v>6864</v>
      </c>
      <c r="G2521" s="7" t="s">
        <v>6865</v>
      </c>
      <c r="H2521" s="7" t="s">
        <v>6866</v>
      </c>
      <c r="I2521" s="9">
        <v>45359</v>
      </c>
    </row>
    <row r="2522" spans="1:9" x14ac:dyDescent="0.15">
      <c r="A2522" s="6">
        <v>2521</v>
      </c>
      <c r="B2522" s="7" t="s">
        <v>8</v>
      </c>
      <c r="C2522" s="8">
        <v>1887</v>
      </c>
      <c r="D2522" s="9">
        <v>45425</v>
      </c>
      <c r="E2522" s="13" t="str">
        <f>+HYPERLINK("http://trademark.i-assist.jp/data/china/image_1887th/77175326.pdf","77175326")</f>
        <v>77175326</v>
      </c>
      <c r="F2522" s="7" t="s">
        <v>6867</v>
      </c>
      <c r="G2522" s="7" t="s">
        <v>6868</v>
      </c>
      <c r="H2522" s="7" t="s">
        <v>6869</v>
      </c>
      <c r="I2522" s="9">
        <v>45359</v>
      </c>
    </row>
    <row r="2523" spans="1:9" x14ac:dyDescent="0.15">
      <c r="A2523" s="6">
        <v>2522</v>
      </c>
      <c r="B2523" s="7" t="s">
        <v>8</v>
      </c>
      <c r="C2523" s="8">
        <v>1887</v>
      </c>
      <c r="D2523" s="9">
        <v>45425</v>
      </c>
      <c r="E2523" s="13" t="str">
        <f>+HYPERLINK("http://trademark.i-assist.jp/data/china/image_1887th/77175344.pdf","77175344")</f>
        <v>77175344</v>
      </c>
      <c r="F2523" s="7" t="s">
        <v>6870</v>
      </c>
      <c r="G2523" s="7" t="s">
        <v>6871</v>
      </c>
      <c r="H2523" s="7" t="s">
        <v>6872</v>
      </c>
      <c r="I2523" s="9">
        <v>45359</v>
      </c>
    </row>
    <row r="2524" spans="1:9" x14ac:dyDescent="0.15">
      <c r="A2524" s="6">
        <v>2523</v>
      </c>
      <c r="B2524" s="7" t="s">
        <v>8</v>
      </c>
      <c r="C2524" s="8">
        <v>1887</v>
      </c>
      <c r="D2524" s="9">
        <v>45425</v>
      </c>
      <c r="E2524" s="13" t="str">
        <f>+HYPERLINK("http://trademark.i-assist.jp/data/china/image_1887th/77175751.pdf","77175751")</f>
        <v>77175751</v>
      </c>
      <c r="F2524" s="7" t="s">
        <v>6873</v>
      </c>
      <c r="G2524" s="7" t="s">
        <v>6874</v>
      </c>
      <c r="H2524" s="7" t="s">
        <v>6875</v>
      </c>
      <c r="I2524" s="9">
        <v>45359</v>
      </c>
    </row>
    <row r="2525" spans="1:9" x14ac:dyDescent="0.15">
      <c r="A2525" s="6">
        <v>2524</v>
      </c>
      <c r="B2525" s="7" t="s">
        <v>8</v>
      </c>
      <c r="C2525" s="8">
        <v>1887</v>
      </c>
      <c r="D2525" s="9">
        <v>45425</v>
      </c>
      <c r="E2525" s="13" t="str">
        <f>+HYPERLINK("http://trademark.i-assist.jp/data/china/image_1887th/77175840.pdf","77175840")</f>
        <v>77175840</v>
      </c>
      <c r="F2525" s="7" t="s">
        <v>6876</v>
      </c>
      <c r="G2525" s="7" t="s">
        <v>6877</v>
      </c>
      <c r="H2525" s="7" t="s">
        <v>6878</v>
      </c>
      <c r="I2525" s="9">
        <v>45359</v>
      </c>
    </row>
    <row r="2526" spans="1:9" x14ac:dyDescent="0.15">
      <c r="A2526" s="6">
        <v>2525</v>
      </c>
      <c r="B2526" s="7" t="s">
        <v>8</v>
      </c>
      <c r="C2526" s="8">
        <v>1887</v>
      </c>
      <c r="D2526" s="9">
        <v>45425</v>
      </c>
      <c r="E2526" s="13" t="str">
        <f>+HYPERLINK("http://trademark.i-assist.jp/data/china/image_1887th/77176081.pdf","77176081")</f>
        <v>77176081</v>
      </c>
      <c r="F2526" s="7" t="s">
        <v>6879</v>
      </c>
      <c r="G2526" s="7" t="s">
        <v>3692</v>
      </c>
      <c r="H2526" s="7" t="s">
        <v>6880</v>
      </c>
      <c r="I2526" s="9">
        <v>45359</v>
      </c>
    </row>
    <row r="2527" spans="1:9" x14ac:dyDescent="0.15">
      <c r="A2527" s="6">
        <v>2526</v>
      </c>
      <c r="B2527" s="7" t="s">
        <v>8</v>
      </c>
      <c r="C2527" s="8">
        <v>1887</v>
      </c>
      <c r="D2527" s="9">
        <v>45425</v>
      </c>
      <c r="E2527" s="13" t="str">
        <f>+HYPERLINK("http://trademark.i-assist.jp/data/china/image_1887th/77176468.pdf","77176468")</f>
        <v>77176468</v>
      </c>
      <c r="F2527" s="7" t="s">
        <v>6881</v>
      </c>
      <c r="G2527" s="7" t="s">
        <v>6882</v>
      </c>
      <c r="H2527" s="7" t="s">
        <v>6883</v>
      </c>
      <c r="I2527" s="9">
        <v>45359</v>
      </c>
    </row>
    <row r="2528" spans="1:9" x14ac:dyDescent="0.15">
      <c r="A2528" s="6">
        <v>2527</v>
      </c>
      <c r="B2528" s="7" t="s">
        <v>8</v>
      </c>
      <c r="C2528" s="8">
        <v>1887</v>
      </c>
      <c r="D2528" s="9">
        <v>45425</v>
      </c>
      <c r="E2528" s="13" t="str">
        <f>+HYPERLINK("http://trademark.i-assist.jp/data/china/image_1887th/77176564.pdf","77176564")</f>
        <v>77176564</v>
      </c>
      <c r="F2528" s="7" t="s">
        <v>6884</v>
      </c>
      <c r="G2528" s="7" t="s">
        <v>6885</v>
      </c>
      <c r="H2528" s="7" t="s">
        <v>6886</v>
      </c>
      <c r="I2528" s="9">
        <v>45359</v>
      </c>
    </row>
    <row r="2529" spans="1:9" x14ac:dyDescent="0.15">
      <c r="A2529" s="6">
        <v>2528</v>
      </c>
      <c r="B2529" s="7" t="s">
        <v>8</v>
      </c>
      <c r="C2529" s="8">
        <v>1887</v>
      </c>
      <c r="D2529" s="9">
        <v>45425</v>
      </c>
      <c r="E2529" s="13" t="str">
        <f>+HYPERLINK("http://trademark.i-assist.jp/data/china/image_1887th/77177078.pdf","77177078")</f>
        <v>77177078</v>
      </c>
      <c r="F2529" s="7" t="s">
        <v>6887</v>
      </c>
      <c r="G2529" s="7" t="s">
        <v>6888</v>
      </c>
      <c r="H2529" s="7" t="s">
        <v>6889</v>
      </c>
      <c r="I2529" s="9">
        <v>45359</v>
      </c>
    </row>
    <row r="2530" spans="1:9" x14ac:dyDescent="0.15">
      <c r="A2530" s="6">
        <v>2529</v>
      </c>
      <c r="B2530" s="7" t="s">
        <v>8</v>
      </c>
      <c r="C2530" s="8">
        <v>1887</v>
      </c>
      <c r="D2530" s="9">
        <v>45425</v>
      </c>
      <c r="E2530" s="13" t="str">
        <f>+HYPERLINK("http://trademark.i-assist.jp/data/china/image_1887th/77177382.pdf","77177382")</f>
        <v>77177382</v>
      </c>
      <c r="F2530" s="7" t="s">
        <v>6890</v>
      </c>
      <c r="G2530" s="7" t="s">
        <v>6891</v>
      </c>
      <c r="H2530" s="7" t="s">
        <v>6892</v>
      </c>
      <c r="I2530" s="9">
        <v>45359</v>
      </c>
    </row>
    <row r="2531" spans="1:9" ht="27" x14ac:dyDescent="0.15">
      <c r="A2531" s="6">
        <v>2530</v>
      </c>
      <c r="B2531" s="7" t="s">
        <v>8</v>
      </c>
      <c r="C2531" s="8">
        <v>1887</v>
      </c>
      <c r="D2531" s="9">
        <v>45425</v>
      </c>
      <c r="E2531" s="13" t="str">
        <f>+HYPERLINK("http://trademark.i-assist.jp/data/china/image_1887th/77177600.pdf","77177600")</f>
        <v>77177600</v>
      </c>
      <c r="F2531" s="7" t="s">
        <v>6893</v>
      </c>
      <c r="G2531" s="7" t="s">
        <v>6860</v>
      </c>
      <c r="H2531" s="7" t="s">
        <v>6894</v>
      </c>
      <c r="I2531" s="9">
        <v>45359</v>
      </c>
    </row>
    <row r="2532" spans="1:9" x14ac:dyDescent="0.15">
      <c r="A2532" s="6">
        <v>2531</v>
      </c>
      <c r="B2532" s="7" t="s">
        <v>8</v>
      </c>
      <c r="C2532" s="8">
        <v>1887</v>
      </c>
      <c r="D2532" s="9">
        <v>45425</v>
      </c>
      <c r="E2532" s="13" t="str">
        <f>+HYPERLINK("http://trademark.i-assist.jp/data/china/image_1887th/77178001.pdf","77178001")</f>
        <v>77178001</v>
      </c>
      <c r="F2532" s="7" t="s">
        <v>6895</v>
      </c>
      <c r="G2532" s="7" t="s">
        <v>6896</v>
      </c>
      <c r="H2532" s="7" t="s">
        <v>6897</v>
      </c>
      <c r="I2532" s="9">
        <v>45359</v>
      </c>
    </row>
    <row r="2533" spans="1:9" x14ac:dyDescent="0.15">
      <c r="A2533" s="6">
        <v>2532</v>
      </c>
      <c r="B2533" s="7" t="s">
        <v>8</v>
      </c>
      <c r="C2533" s="8">
        <v>1887</v>
      </c>
      <c r="D2533" s="9">
        <v>45425</v>
      </c>
      <c r="E2533" s="13" t="str">
        <f>+HYPERLINK("http://trademark.i-assist.jp/data/china/image_1887th/77178334.pdf","77178334")</f>
        <v>77178334</v>
      </c>
      <c r="F2533" s="7" t="s">
        <v>6898</v>
      </c>
      <c r="G2533" s="7" t="s">
        <v>6899</v>
      </c>
      <c r="H2533" s="7" t="s">
        <v>6900</v>
      </c>
      <c r="I2533" s="9">
        <v>45359</v>
      </c>
    </row>
    <row r="2534" spans="1:9" x14ac:dyDescent="0.15">
      <c r="A2534" s="6">
        <v>2533</v>
      </c>
      <c r="B2534" s="7" t="s">
        <v>8</v>
      </c>
      <c r="C2534" s="8">
        <v>1887</v>
      </c>
      <c r="D2534" s="9">
        <v>45425</v>
      </c>
      <c r="E2534" s="13" t="str">
        <f>+HYPERLINK("http://trademark.i-assist.jp/data/china/image_1887th/77178752.pdf","77178752")</f>
        <v>77178752</v>
      </c>
      <c r="F2534" s="7" t="s">
        <v>6901</v>
      </c>
      <c r="G2534" s="7" t="s">
        <v>6902</v>
      </c>
      <c r="H2534" s="7" t="s">
        <v>6903</v>
      </c>
      <c r="I2534" s="9">
        <v>45359</v>
      </c>
    </row>
    <row r="2535" spans="1:9" x14ac:dyDescent="0.15">
      <c r="A2535" s="6">
        <v>2534</v>
      </c>
      <c r="B2535" s="7" t="s">
        <v>8</v>
      </c>
      <c r="C2535" s="8">
        <v>1887</v>
      </c>
      <c r="D2535" s="9">
        <v>45425</v>
      </c>
      <c r="E2535" s="13" t="str">
        <f>+HYPERLINK("http://trademark.i-assist.jp/data/china/image_1887th/77180188.pdf","77180188")</f>
        <v>77180188</v>
      </c>
      <c r="F2535" s="7" t="s">
        <v>6904</v>
      </c>
      <c r="G2535" s="7" t="s">
        <v>6905</v>
      </c>
      <c r="H2535" s="7" t="s">
        <v>6906</v>
      </c>
      <c r="I2535" s="9">
        <v>45359</v>
      </c>
    </row>
    <row r="2536" spans="1:9" x14ac:dyDescent="0.15">
      <c r="A2536" s="6">
        <v>2535</v>
      </c>
      <c r="B2536" s="7" t="s">
        <v>8</v>
      </c>
      <c r="C2536" s="8">
        <v>1887</v>
      </c>
      <c r="D2536" s="9">
        <v>45425</v>
      </c>
      <c r="E2536" s="13" t="str">
        <f>+HYPERLINK("http://trademark.i-assist.jp/data/china/image_1887th/77180475.pdf","77180475")</f>
        <v>77180475</v>
      </c>
      <c r="F2536" s="7" t="s">
        <v>6907</v>
      </c>
      <c r="G2536" s="7" t="s">
        <v>6908</v>
      </c>
      <c r="H2536" s="7" t="s">
        <v>6909</v>
      </c>
      <c r="I2536" s="9">
        <v>45359</v>
      </c>
    </row>
    <row r="2537" spans="1:9" x14ac:dyDescent="0.15">
      <c r="A2537" s="6">
        <v>2536</v>
      </c>
      <c r="B2537" s="7" t="s">
        <v>8</v>
      </c>
      <c r="C2537" s="8">
        <v>1887</v>
      </c>
      <c r="D2537" s="9">
        <v>45425</v>
      </c>
      <c r="E2537" s="13" t="str">
        <f>+HYPERLINK("http://trademark.i-assist.jp/data/china/image_1887th/77180744.pdf","77180744")</f>
        <v>77180744</v>
      </c>
      <c r="F2537" s="7" t="s">
        <v>6910</v>
      </c>
      <c r="G2537" s="7" t="s">
        <v>6911</v>
      </c>
      <c r="H2537" s="7" t="s">
        <v>6912</v>
      </c>
      <c r="I2537" s="9">
        <v>45359</v>
      </c>
    </row>
    <row r="2538" spans="1:9" x14ac:dyDescent="0.15">
      <c r="A2538" s="6">
        <v>2537</v>
      </c>
      <c r="B2538" s="7" t="s">
        <v>8</v>
      </c>
      <c r="C2538" s="8">
        <v>1887</v>
      </c>
      <c r="D2538" s="9">
        <v>45425</v>
      </c>
      <c r="E2538" s="13" t="str">
        <f>+HYPERLINK("http://trademark.i-assist.jp/data/china/image_1887th/77181154.pdf","77181154")</f>
        <v>77181154</v>
      </c>
      <c r="F2538" s="7" t="s">
        <v>6913</v>
      </c>
      <c r="G2538" s="7" t="s">
        <v>6914</v>
      </c>
      <c r="H2538" s="7" t="s">
        <v>6915</v>
      </c>
      <c r="I2538" s="9">
        <v>45359</v>
      </c>
    </row>
    <row r="2539" spans="1:9" x14ac:dyDescent="0.15">
      <c r="A2539" s="6">
        <v>2538</v>
      </c>
      <c r="B2539" s="7" t="s">
        <v>8</v>
      </c>
      <c r="C2539" s="8">
        <v>1887</v>
      </c>
      <c r="D2539" s="9">
        <v>45425</v>
      </c>
      <c r="E2539" s="13" t="str">
        <f>+HYPERLINK("http://trademark.i-assist.jp/data/china/image_1887th/77184501.pdf","77184501")</f>
        <v>77184501</v>
      </c>
      <c r="F2539" s="7" t="s">
        <v>6916</v>
      </c>
      <c r="G2539" s="7" t="s">
        <v>6917</v>
      </c>
      <c r="H2539" s="7" t="s">
        <v>6918</v>
      </c>
      <c r="I2539" s="9">
        <v>45359</v>
      </c>
    </row>
    <row r="2540" spans="1:9" x14ac:dyDescent="0.15">
      <c r="A2540" s="6">
        <v>2539</v>
      </c>
      <c r="B2540" s="7" t="s">
        <v>8</v>
      </c>
      <c r="C2540" s="8">
        <v>1887</v>
      </c>
      <c r="D2540" s="9">
        <v>45425</v>
      </c>
      <c r="E2540" s="13" t="str">
        <f>+HYPERLINK("http://trademark.i-assist.jp/data/china/image_1887th/77184864.pdf","77184864")</f>
        <v>77184864</v>
      </c>
      <c r="F2540" s="7" t="s">
        <v>6919</v>
      </c>
      <c r="G2540" s="7" t="s">
        <v>6877</v>
      </c>
      <c r="H2540" s="7" t="s">
        <v>6920</v>
      </c>
      <c r="I2540" s="9">
        <v>45359</v>
      </c>
    </row>
    <row r="2541" spans="1:9" x14ac:dyDescent="0.15">
      <c r="A2541" s="6">
        <v>2540</v>
      </c>
      <c r="B2541" s="7" t="s">
        <v>8</v>
      </c>
      <c r="C2541" s="8">
        <v>1887</v>
      </c>
      <c r="D2541" s="9">
        <v>45425</v>
      </c>
      <c r="E2541" s="13" t="str">
        <f>+HYPERLINK("http://trademark.i-assist.jp/data/china/image_1887th/77185280.pdf","77185280")</f>
        <v>77185280</v>
      </c>
      <c r="F2541" s="7" t="s">
        <v>6921</v>
      </c>
      <c r="G2541" s="7" t="s">
        <v>6871</v>
      </c>
      <c r="H2541" s="7" t="s">
        <v>6922</v>
      </c>
      <c r="I2541" s="9">
        <v>45359</v>
      </c>
    </row>
    <row r="2542" spans="1:9" x14ac:dyDescent="0.15">
      <c r="A2542" s="6">
        <v>2541</v>
      </c>
      <c r="B2542" s="7" t="s">
        <v>8</v>
      </c>
      <c r="C2542" s="8">
        <v>1887</v>
      </c>
      <c r="D2542" s="9">
        <v>45425</v>
      </c>
      <c r="E2542" s="13" t="str">
        <f>+HYPERLINK("http://trademark.i-assist.jp/data/china/image_1887th/77185726.pdf","77185726")</f>
        <v>77185726</v>
      </c>
      <c r="F2542" s="7" t="s">
        <v>6923</v>
      </c>
      <c r="G2542" s="7" t="s">
        <v>3692</v>
      </c>
      <c r="H2542" s="7" t="s">
        <v>6924</v>
      </c>
      <c r="I2542" s="9">
        <v>45359</v>
      </c>
    </row>
    <row r="2543" spans="1:9" x14ac:dyDescent="0.15">
      <c r="A2543" s="6">
        <v>2542</v>
      </c>
      <c r="B2543" s="7" t="s">
        <v>8</v>
      </c>
      <c r="C2543" s="8">
        <v>1887</v>
      </c>
      <c r="D2543" s="9">
        <v>45425</v>
      </c>
      <c r="E2543" s="13" t="str">
        <f>+HYPERLINK("http://trademark.i-assist.jp/data/china/image_1887th/77186644.pdf","77186644")</f>
        <v>77186644</v>
      </c>
      <c r="F2543" s="7" t="s">
        <v>6925</v>
      </c>
      <c r="G2543" s="7" t="s">
        <v>6926</v>
      </c>
      <c r="H2543" s="7" t="s">
        <v>6927</v>
      </c>
      <c r="I2543" s="9">
        <v>45359</v>
      </c>
    </row>
    <row r="2544" spans="1:9" x14ac:dyDescent="0.15">
      <c r="A2544" s="6">
        <v>2543</v>
      </c>
      <c r="B2544" s="7" t="s">
        <v>8</v>
      </c>
      <c r="C2544" s="8">
        <v>1887</v>
      </c>
      <c r="D2544" s="9">
        <v>45425</v>
      </c>
      <c r="E2544" s="13" t="str">
        <f>+HYPERLINK("http://trademark.i-assist.jp/data/china/image_1887th/77187558.pdf","77187558")</f>
        <v>77187558</v>
      </c>
      <c r="F2544" s="7" t="s">
        <v>6928</v>
      </c>
      <c r="G2544" s="7" t="s">
        <v>6917</v>
      </c>
      <c r="H2544" s="7" t="s">
        <v>6929</v>
      </c>
      <c r="I2544" s="9">
        <v>45359</v>
      </c>
    </row>
    <row r="2545" spans="1:9" x14ac:dyDescent="0.15">
      <c r="A2545" s="6">
        <v>2544</v>
      </c>
      <c r="B2545" s="7" t="s">
        <v>8</v>
      </c>
      <c r="C2545" s="8">
        <v>1887</v>
      </c>
      <c r="D2545" s="9">
        <v>45425</v>
      </c>
      <c r="E2545" s="13" t="str">
        <f>+HYPERLINK("http://trademark.i-assist.jp/data/china/image_1887th/77187665.pdf","77187665")</f>
        <v>77187665</v>
      </c>
      <c r="F2545" s="7" t="s">
        <v>6930</v>
      </c>
      <c r="G2545" s="7" t="s">
        <v>6917</v>
      </c>
      <c r="H2545" s="7" t="s">
        <v>6931</v>
      </c>
      <c r="I2545" s="9">
        <v>45359</v>
      </c>
    </row>
    <row r="2546" spans="1:9" ht="27" x14ac:dyDescent="0.15">
      <c r="A2546" s="6">
        <v>2545</v>
      </c>
      <c r="B2546" s="7" t="s">
        <v>8</v>
      </c>
      <c r="C2546" s="8">
        <v>1887</v>
      </c>
      <c r="D2546" s="9">
        <v>45425</v>
      </c>
      <c r="E2546" s="13" t="str">
        <f>+HYPERLINK("http://trademark.i-assist.jp/data/china/image_1887th/77187781.pdf","77187781")</f>
        <v>77187781</v>
      </c>
      <c r="F2546" s="7" t="s">
        <v>6932</v>
      </c>
      <c r="G2546" s="7" t="s">
        <v>6933</v>
      </c>
      <c r="H2546" s="7" t="s">
        <v>6934</v>
      </c>
      <c r="I2546" s="9">
        <v>45359</v>
      </c>
    </row>
    <row r="2547" spans="1:9" x14ac:dyDescent="0.15">
      <c r="A2547" s="6">
        <v>2546</v>
      </c>
      <c r="B2547" s="7" t="s">
        <v>8</v>
      </c>
      <c r="C2547" s="8">
        <v>1887</v>
      </c>
      <c r="D2547" s="9">
        <v>45425</v>
      </c>
      <c r="E2547" s="13" t="str">
        <f>+HYPERLINK("http://trademark.i-assist.jp/data/china/image_1887th/77187805.pdf","77187805")</f>
        <v>77187805</v>
      </c>
      <c r="F2547" s="7" t="s">
        <v>6935</v>
      </c>
      <c r="G2547" s="7" t="s">
        <v>6936</v>
      </c>
      <c r="H2547" s="7" t="s">
        <v>6937</v>
      </c>
      <c r="I2547" s="9">
        <v>45359</v>
      </c>
    </row>
    <row r="2548" spans="1:9" ht="27" x14ac:dyDescent="0.15">
      <c r="A2548" s="6">
        <v>2547</v>
      </c>
      <c r="B2548" s="7" t="s">
        <v>8</v>
      </c>
      <c r="C2548" s="8">
        <v>1887</v>
      </c>
      <c r="D2548" s="9">
        <v>45425</v>
      </c>
      <c r="E2548" s="13" t="str">
        <f>+HYPERLINK("http://trademark.i-assist.jp/data/china/image_1887th/77188189.pdf","77188189")</f>
        <v>77188189</v>
      </c>
      <c r="F2548" s="7" t="s">
        <v>6938</v>
      </c>
      <c r="G2548" s="7" t="s">
        <v>6860</v>
      </c>
      <c r="H2548" s="7" t="s">
        <v>6939</v>
      </c>
      <c r="I2548" s="9">
        <v>45359</v>
      </c>
    </row>
    <row r="2549" spans="1:9" ht="27" x14ac:dyDescent="0.15">
      <c r="A2549" s="6">
        <v>2548</v>
      </c>
      <c r="B2549" s="7" t="s">
        <v>8</v>
      </c>
      <c r="C2549" s="8">
        <v>1887</v>
      </c>
      <c r="D2549" s="9">
        <v>45425</v>
      </c>
      <c r="E2549" s="13" t="str">
        <f>+HYPERLINK("http://trademark.i-assist.jp/data/china/image_1887th/77188700.pdf","77188700")</f>
        <v>77188700</v>
      </c>
      <c r="F2549" s="7" t="s">
        <v>6940</v>
      </c>
      <c r="G2549" s="7" t="s">
        <v>6941</v>
      </c>
      <c r="H2549" s="7" t="s">
        <v>6942</v>
      </c>
      <c r="I2549" s="9">
        <v>45359</v>
      </c>
    </row>
    <row r="2550" spans="1:9" ht="27" x14ac:dyDescent="0.15">
      <c r="A2550" s="6">
        <v>2549</v>
      </c>
      <c r="B2550" s="7" t="s">
        <v>8</v>
      </c>
      <c r="C2550" s="8">
        <v>1887</v>
      </c>
      <c r="D2550" s="9">
        <v>45425</v>
      </c>
      <c r="E2550" s="13" t="str">
        <f>+HYPERLINK("http://trademark.i-assist.jp/data/china/image_1887th/77188820.pdf","77188820")</f>
        <v>77188820</v>
      </c>
      <c r="F2550" s="7" t="s">
        <v>6943</v>
      </c>
      <c r="G2550" s="7" t="s">
        <v>6860</v>
      </c>
      <c r="H2550" s="7" t="s">
        <v>6944</v>
      </c>
      <c r="I2550" s="9">
        <v>45359</v>
      </c>
    </row>
    <row r="2551" spans="1:9" ht="27" x14ac:dyDescent="0.15">
      <c r="A2551" s="6">
        <v>2550</v>
      </c>
      <c r="B2551" s="7" t="s">
        <v>8</v>
      </c>
      <c r="C2551" s="8">
        <v>1887</v>
      </c>
      <c r="D2551" s="9">
        <v>45425</v>
      </c>
      <c r="E2551" s="13" t="str">
        <f>+HYPERLINK("http://trademark.i-assist.jp/data/china/image_1887th/77188826.pdf","77188826")</f>
        <v>77188826</v>
      </c>
      <c r="F2551" s="7" t="s">
        <v>6945</v>
      </c>
      <c r="G2551" s="7" t="s">
        <v>6946</v>
      </c>
      <c r="H2551" s="7" t="s">
        <v>6947</v>
      </c>
      <c r="I2551" s="9">
        <v>45359</v>
      </c>
    </row>
    <row r="2552" spans="1:9" ht="27" x14ac:dyDescent="0.15">
      <c r="A2552" s="6">
        <v>2551</v>
      </c>
      <c r="B2552" s="7" t="s">
        <v>8</v>
      </c>
      <c r="C2552" s="8">
        <v>1887</v>
      </c>
      <c r="D2552" s="9">
        <v>45425</v>
      </c>
      <c r="E2552" s="13" t="str">
        <f>+HYPERLINK("http://trademark.i-assist.jp/data/china/image_1887th/77189730.pdf","77189730")</f>
        <v>77189730</v>
      </c>
      <c r="F2552" s="7" t="s">
        <v>6948</v>
      </c>
      <c r="G2552" s="7" t="s">
        <v>6933</v>
      </c>
      <c r="H2552" s="7" t="s">
        <v>6949</v>
      </c>
      <c r="I2552" s="9">
        <v>45359</v>
      </c>
    </row>
    <row r="2553" spans="1:9" ht="27" x14ac:dyDescent="0.15">
      <c r="A2553" s="6">
        <v>2552</v>
      </c>
      <c r="B2553" s="7" t="s">
        <v>8</v>
      </c>
      <c r="C2553" s="8">
        <v>1887</v>
      </c>
      <c r="D2553" s="9">
        <v>45425</v>
      </c>
      <c r="E2553" s="13" t="str">
        <f>+HYPERLINK("http://trademark.i-assist.jp/data/china/image_1887th/77189847.pdf","77189847")</f>
        <v>77189847</v>
      </c>
      <c r="F2553" s="7" t="s">
        <v>6950</v>
      </c>
      <c r="G2553" s="7" t="s">
        <v>6941</v>
      </c>
      <c r="H2553" s="7" t="s">
        <v>6951</v>
      </c>
      <c r="I2553" s="9">
        <v>45359</v>
      </c>
    </row>
    <row r="2554" spans="1:9" ht="27" x14ac:dyDescent="0.15">
      <c r="A2554" s="6">
        <v>2553</v>
      </c>
      <c r="B2554" s="7" t="s">
        <v>8</v>
      </c>
      <c r="C2554" s="8">
        <v>1887</v>
      </c>
      <c r="D2554" s="9">
        <v>45425</v>
      </c>
      <c r="E2554" s="13" t="str">
        <f>+HYPERLINK("http://trademark.i-assist.jp/data/china/image_1887th/77189921.pdf","77189921")</f>
        <v>77189921</v>
      </c>
      <c r="F2554" s="7" t="s">
        <v>6952</v>
      </c>
      <c r="G2554" s="7" t="s">
        <v>6953</v>
      </c>
      <c r="H2554" s="7" t="s">
        <v>6954</v>
      </c>
      <c r="I2554" s="9">
        <v>45359</v>
      </c>
    </row>
    <row r="2555" spans="1:9" x14ac:dyDescent="0.15">
      <c r="A2555" s="6">
        <v>2554</v>
      </c>
      <c r="B2555" s="7" t="s">
        <v>8</v>
      </c>
      <c r="C2555" s="8">
        <v>1887</v>
      </c>
      <c r="D2555" s="9">
        <v>45425</v>
      </c>
      <c r="E2555" s="13" t="str">
        <f>+HYPERLINK("http://trademark.i-assist.jp/data/china/image_1887th/77191584.pdf","77191584")</f>
        <v>77191584</v>
      </c>
      <c r="F2555" s="7" t="s">
        <v>6955</v>
      </c>
      <c r="G2555" s="7" t="s">
        <v>6877</v>
      </c>
      <c r="H2555" s="7" t="s">
        <v>6956</v>
      </c>
      <c r="I2555" s="9">
        <v>45359</v>
      </c>
    </row>
    <row r="2556" spans="1:9" x14ac:dyDescent="0.15">
      <c r="A2556" s="6">
        <v>2555</v>
      </c>
      <c r="B2556" s="7" t="s">
        <v>8</v>
      </c>
      <c r="C2556" s="8">
        <v>1887</v>
      </c>
      <c r="D2556" s="9">
        <v>45425</v>
      </c>
      <c r="E2556" s="13" t="str">
        <f>+HYPERLINK("http://trademark.i-assist.jp/data/china/image_1887th/77193643.pdf","77193643")</f>
        <v>77193643</v>
      </c>
      <c r="F2556" s="7" t="s">
        <v>6957</v>
      </c>
      <c r="G2556" s="7" t="s">
        <v>6958</v>
      </c>
      <c r="H2556" s="7" t="s">
        <v>6959</v>
      </c>
      <c r="I2556" s="9">
        <v>45359</v>
      </c>
    </row>
    <row r="2557" spans="1:9" ht="27" x14ac:dyDescent="0.15">
      <c r="A2557" s="6">
        <v>2556</v>
      </c>
      <c r="B2557" s="7" t="s">
        <v>8</v>
      </c>
      <c r="C2557" s="8">
        <v>1887</v>
      </c>
      <c r="D2557" s="9">
        <v>45425</v>
      </c>
      <c r="E2557" s="13" t="str">
        <f>+HYPERLINK("http://trademark.i-assist.jp/data/china/image_1887th/77193932.pdf","77193932")</f>
        <v>77193932</v>
      </c>
      <c r="F2557" s="7" t="s">
        <v>6960</v>
      </c>
      <c r="G2557" s="7" t="s">
        <v>6961</v>
      </c>
      <c r="H2557" s="7" t="s">
        <v>6962</v>
      </c>
      <c r="I2557" s="9">
        <v>45359</v>
      </c>
    </row>
    <row r="2558" spans="1:9" ht="27" x14ac:dyDescent="0.15">
      <c r="A2558" s="6">
        <v>2557</v>
      </c>
      <c r="B2558" s="7" t="s">
        <v>8</v>
      </c>
      <c r="C2558" s="8">
        <v>1887</v>
      </c>
      <c r="D2558" s="9">
        <v>45425</v>
      </c>
      <c r="E2558" s="13" t="str">
        <f>+HYPERLINK("http://trademark.i-assist.jp/data/china/image_1887th/77194008.pdf","77194008")</f>
        <v>77194008</v>
      </c>
      <c r="F2558" s="7" t="s">
        <v>6963</v>
      </c>
      <c r="G2558" s="7" t="s">
        <v>6964</v>
      </c>
      <c r="H2558" s="7" t="s">
        <v>6965</v>
      </c>
      <c r="I2558" s="9">
        <v>45359</v>
      </c>
    </row>
    <row r="2559" spans="1:9" ht="27" x14ac:dyDescent="0.15">
      <c r="A2559" s="6">
        <v>2558</v>
      </c>
      <c r="B2559" s="7" t="s">
        <v>8</v>
      </c>
      <c r="C2559" s="8">
        <v>1887</v>
      </c>
      <c r="D2559" s="9">
        <v>45425</v>
      </c>
      <c r="E2559" s="13" t="str">
        <f>+HYPERLINK("http://trademark.i-assist.jp/data/china/image_1887th/77194149.pdf","77194149")</f>
        <v>77194149</v>
      </c>
      <c r="F2559" s="7" t="s">
        <v>6966</v>
      </c>
      <c r="G2559" s="7" t="s">
        <v>6860</v>
      </c>
      <c r="H2559" s="7" t="s">
        <v>6967</v>
      </c>
      <c r="I2559" s="9">
        <v>45359</v>
      </c>
    </row>
    <row r="2560" spans="1:9" x14ac:dyDescent="0.15">
      <c r="A2560" s="6">
        <v>2559</v>
      </c>
      <c r="B2560" s="7" t="s">
        <v>8</v>
      </c>
      <c r="C2560" s="8">
        <v>1887</v>
      </c>
      <c r="D2560" s="9">
        <v>45425</v>
      </c>
      <c r="E2560" s="13" t="str">
        <f>+HYPERLINK("http://trademark.i-assist.jp/data/china/image_1887th/77194584.pdf","77194584")</f>
        <v>77194584</v>
      </c>
      <c r="F2560" s="7" t="s">
        <v>6968</v>
      </c>
      <c r="G2560" s="7" t="s">
        <v>6969</v>
      </c>
      <c r="H2560" s="7" t="s">
        <v>6970</v>
      </c>
      <c r="I2560" s="9">
        <v>45359</v>
      </c>
    </row>
    <row r="2561" spans="1:9" x14ac:dyDescent="0.15">
      <c r="A2561" s="6">
        <v>2560</v>
      </c>
      <c r="B2561" s="7" t="s">
        <v>8</v>
      </c>
      <c r="C2561" s="8">
        <v>1887</v>
      </c>
      <c r="D2561" s="9">
        <v>45425</v>
      </c>
      <c r="E2561" s="13" t="str">
        <f>+HYPERLINK("http://trademark.i-assist.jp/data/china/image_1887th/77195766.pdf","77195766")</f>
        <v>77195766</v>
      </c>
      <c r="F2561" s="7" t="s">
        <v>6971</v>
      </c>
      <c r="G2561" s="7" t="s">
        <v>6972</v>
      </c>
      <c r="H2561" s="7" t="s">
        <v>6973</v>
      </c>
      <c r="I2561" s="9">
        <v>45359</v>
      </c>
    </row>
    <row r="2562" spans="1:9" x14ac:dyDescent="0.15">
      <c r="A2562" s="6">
        <v>2561</v>
      </c>
      <c r="B2562" s="7" t="s">
        <v>8</v>
      </c>
      <c r="C2562" s="8">
        <v>1887</v>
      </c>
      <c r="D2562" s="9">
        <v>45425</v>
      </c>
      <c r="E2562" s="13" t="str">
        <f>+HYPERLINK("http://trademark.i-assist.jp/data/china/image_1887th/77196667.pdf","77196667")</f>
        <v>77196667</v>
      </c>
      <c r="F2562" s="7" t="s">
        <v>6974</v>
      </c>
      <c r="G2562" s="7" t="s">
        <v>6975</v>
      </c>
      <c r="H2562" s="7" t="s">
        <v>6976</v>
      </c>
      <c r="I2562" s="9">
        <v>45359</v>
      </c>
    </row>
    <row r="2563" spans="1:9" ht="27" x14ac:dyDescent="0.15">
      <c r="A2563" s="6">
        <v>2562</v>
      </c>
      <c r="B2563" s="7" t="s">
        <v>8</v>
      </c>
      <c r="C2563" s="8">
        <v>1887</v>
      </c>
      <c r="D2563" s="9">
        <v>45425</v>
      </c>
      <c r="E2563" s="13" t="str">
        <f>+HYPERLINK("http://trademark.i-assist.jp/data/china/image_1887th/77197433.pdf","77197433")</f>
        <v>77197433</v>
      </c>
      <c r="F2563" s="7" t="s">
        <v>6977</v>
      </c>
      <c r="G2563" s="7" t="s">
        <v>6978</v>
      </c>
      <c r="H2563" s="7" t="s">
        <v>6979</v>
      </c>
      <c r="I2563" s="9">
        <v>45360</v>
      </c>
    </row>
    <row r="2564" spans="1:9" x14ac:dyDescent="0.15">
      <c r="A2564" s="6">
        <v>2563</v>
      </c>
      <c r="B2564" s="7" t="s">
        <v>8</v>
      </c>
      <c r="C2564" s="8">
        <v>1887</v>
      </c>
      <c r="D2564" s="9">
        <v>45425</v>
      </c>
      <c r="E2564" s="13" t="str">
        <f>+HYPERLINK("http://trademark.i-assist.jp/data/china/image_1887th/77197495.pdf","77197495")</f>
        <v>77197495</v>
      </c>
      <c r="F2564" s="7" t="s">
        <v>6980</v>
      </c>
      <c r="G2564" s="7" t="s">
        <v>6981</v>
      </c>
      <c r="H2564" s="7" t="s">
        <v>6982</v>
      </c>
      <c r="I2564" s="9">
        <v>45361</v>
      </c>
    </row>
    <row r="2565" spans="1:9" ht="27" x14ac:dyDescent="0.15">
      <c r="A2565" s="6">
        <v>2564</v>
      </c>
      <c r="B2565" s="7" t="s">
        <v>8</v>
      </c>
      <c r="C2565" s="8">
        <v>1887</v>
      </c>
      <c r="D2565" s="9">
        <v>45425</v>
      </c>
      <c r="E2565" s="13" t="str">
        <f>+HYPERLINK("http://trademark.i-assist.jp/data/china/image_1887th/77197795.pdf","77197795")</f>
        <v>77197795</v>
      </c>
      <c r="F2565" s="7" t="s">
        <v>6983</v>
      </c>
      <c r="G2565" s="7" t="s">
        <v>6984</v>
      </c>
      <c r="H2565" s="7" t="s">
        <v>6985</v>
      </c>
      <c r="I2565" s="9">
        <v>45360</v>
      </c>
    </row>
    <row r="2566" spans="1:9" x14ac:dyDescent="0.15">
      <c r="A2566" s="6">
        <v>2565</v>
      </c>
      <c r="B2566" s="7" t="s">
        <v>8</v>
      </c>
      <c r="C2566" s="8">
        <v>1887</v>
      </c>
      <c r="D2566" s="9">
        <v>45425</v>
      </c>
      <c r="E2566" s="13" t="str">
        <f>+HYPERLINK("http://trademark.i-assist.jp/data/china/image_1887th/77199062.pdf","77199062")</f>
        <v>77199062</v>
      </c>
      <c r="F2566" s="7" t="s">
        <v>6986</v>
      </c>
      <c r="G2566" s="7" t="s">
        <v>6987</v>
      </c>
      <c r="H2566" s="7" t="s">
        <v>6988</v>
      </c>
      <c r="I2566" s="9">
        <v>45360</v>
      </c>
    </row>
    <row r="2567" spans="1:9" x14ac:dyDescent="0.15">
      <c r="A2567" s="6">
        <v>2566</v>
      </c>
      <c r="B2567" s="7" t="s">
        <v>8</v>
      </c>
      <c r="C2567" s="8">
        <v>1887</v>
      </c>
      <c r="D2567" s="9">
        <v>45425</v>
      </c>
      <c r="E2567" s="13" t="str">
        <f>+HYPERLINK("http://trademark.i-assist.jp/data/china/image_1887th/77199771.pdf","77199771")</f>
        <v>77199771</v>
      </c>
      <c r="F2567" s="7" t="s">
        <v>6989</v>
      </c>
      <c r="G2567" s="7" t="s">
        <v>6990</v>
      </c>
      <c r="H2567" s="7" t="s">
        <v>6991</v>
      </c>
      <c r="I2567" s="9">
        <v>45360</v>
      </c>
    </row>
    <row r="2568" spans="1:9" x14ac:dyDescent="0.15">
      <c r="A2568" s="6">
        <v>2567</v>
      </c>
      <c r="B2568" s="7" t="s">
        <v>8</v>
      </c>
      <c r="C2568" s="8">
        <v>1887</v>
      </c>
      <c r="D2568" s="9">
        <v>45425</v>
      </c>
      <c r="E2568" s="13" t="str">
        <f>+HYPERLINK("http://trademark.i-assist.jp/data/china/image_1887th/77199776.pdf","77199776")</f>
        <v>77199776</v>
      </c>
      <c r="F2568" s="7" t="s">
        <v>6992</v>
      </c>
      <c r="G2568" s="7" t="s">
        <v>6993</v>
      </c>
      <c r="H2568" s="7" t="s">
        <v>6994</v>
      </c>
      <c r="I2568" s="9">
        <v>45360</v>
      </c>
    </row>
    <row r="2569" spans="1:9" x14ac:dyDescent="0.15">
      <c r="A2569" s="6">
        <v>2568</v>
      </c>
      <c r="B2569" s="7" t="s">
        <v>8</v>
      </c>
      <c r="C2569" s="8">
        <v>1887</v>
      </c>
      <c r="D2569" s="9">
        <v>45425</v>
      </c>
      <c r="E2569" s="13" t="str">
        <f>+HYPERLINK("http://trademark.i-assist.jp/data/china/image_1887th/77201747.pdf","77201747")</f>
        <v>77201747</v>
      </c>
      <c r="F2569" s="7" t="s">
        <v>6995</v>
      </c>
      <c r="G2569" s="7" t="s">
        <v>6996</v>
      </c>
      <c r="H2569" s="7" t="s">
        <v>6997</v>
      </c>
      <c r="I2569" s="9">
        <v>45360</v>
      </c>
    </row>
    <row r="2570" spans="1:9" x14ac:dyDescent="0.15">
      <c r="A2570" s="6">
        <v>2569</v>
      </c>
      <c r="B2570" s="7" t="s">
        <v>8</v>
      </c>
      <c r="C2570" s="8">
        <v>1887</v>
      </c>
      <c r="D2570" s="9">
        <v>45425</v>
      </c>
      <c r="E2570" s="13" t="str">
        <f>+HYPERLINK("http://trademark.i-assist.jp/data/china/image_1887th/77202401.pdf","77202401")</f>
        <v>77202401</v>
      </c>
      <c r="F2570" s="7" t="s">
        <v>6998</v>
      </c>
      <c r="G2570" s="7" t="s">
        <v>6999</v>
      </c>
      <c r="H2570" s="7" t="s">
        <v>7000</v>
      </c>
      <c r="I2570" s="9">
        <v>45360</v>
      </c>
    </row>
    <row r="2571" spans="1:9" x14ac:dyDescent="0.15">
      <c r="A2571" s="6">
        <v>2570</v>
      </c>
      <c r="B2571" s="7" t="s">
        <v>8</v>
      </c>
      <c r="C2571" s="8">
        <v>1887</v>
      </c>
      <c r="D2571" s="9">
        <v>45425</v>
      </c>
      <c r="E2571" s="13" t="str">
        <f>+HYPERLINK("http://trademark.i-assist.jp/data/china/image_1887th/77202627.pdf","77202627")</f>
        <v>77202627</v>
      </c>
      <c r="F2571" s="7" t="s">
        <v>7001</v>
      </c>
      <c r="G2571" s="7" t="s">
        <v>7002</v>
      </c>
      <c r="H2571" s="7" t="s">
        <v>7003</v>
      </c>
      <c r="I2571" s="9">
        <v>45360</v>
      </c>
    </row>
    <row r="2572" spans="1:9" x14ac:dyDescent="0.15">
      <c r="A2572" s="6">
        <v>2571</v>
      </c>
      <c r="B2572" s="7" t="s">
        <v>8</v>
      </c>
      <c r="C2572" s="8">
        <v>1887</v>
      </c>
      <c r="D2572" s="9">
        <v>45425</v>
      </c>
      <c r="E2572" s="13" t="str">
        <f>+HYPERLINK("http://trademark.i-assist.jp/data/china/image_1887th/77203488.pdf","77203488")</f>
        <v>77203488</v>
      </c>
      <c r="F2572" s="7" t="s">
        <v>7004</v>
      </c>
      <c r="G2572" s="7" t="s">
        <v>7005</v>
      </c>
      <c r="H2572" s="7" t="s">
        <v>7006</v>
      </c>
      <c r="I2572" s="9">
        <v>45360</v>
      </c>
    </row>
    <row r="2573" spans="1:9" x14ac:dyDescent="0.15">
      <c r="A2573" s="6">
        <v>2572</v>
      </c>
      <c r="B2573" s="7" t="s">
        <v>8</v>
      </c>
      <c r="C2573" s="8">
        <v>1887</v>
      </c>
      <c r="D2573" s="9">
        <v>45425</v>
      </c>
      <c r="E2573" s="13" t="str">
        <f>+HYPERLINK("http://trademark.i-assist.jp/data/china/image_1887th/77203490.pdf","77203490")</f>
        <v>77203490</v>
      </c>
      <c r="F2573" s="7" t="s">
        <v>7007</v>
      </c>
      <c r="G2573" s="7" t="s">
        <v>7008</v>
      </c>
      <c r="H2573" s="7" t="s">
        <v>7009</v>
      </c>
      <c r="I2573" s="9">
        <v>45360</v>
      </c>
    </row>
    <row r="2574" spans="1:9" ht="27" x14ac:dyDescent="0.15">
      <c r="A2574" s="6">
        <v>2573</v>
      </c>
      <c r="B2574" s="7" t="s">
        <v>8</v>
      </c>
      <c r="C2574" s="8">
        <v>1887</v>
      </c>
      <c r="D2574" s="9">
        <v>45425</v>
      </c>
      <c r="E2574" s="13" t="str">
        <f>+HYPERLINK("http://trademark.i-assist.jp/data/china/image_1887th/77203918.pdf","77203918")</f>
        <v>77203918</v>
      </c>
      <c r="F2574" s="7" t="s">
        <v>7010</v>
      </c>
      <c r="G2574" s="7" t="s">
        <v>7011</v>
      </c>
      <c r="H2574" s="7" t="s">
        <v>7012</v>
      </c>
      <c r="I2574" s="9">
        <v>45360</v>
      </c>
    </row>
    <row r="2575" spans="1:9" x14ac:dyDescent="0.15">
      <c r="A2575" s="6">
        <v>2574</v>
      </c>
      <c r="B2575" s="7" t="s">
        <v>8</v>
      </c>
      <c r="C2575" s="8">
        <v>1887</v>
      </c>
      <c r="D2575" s="9">
        <v>45425</v>
      </c>
      <c r="E2575" s="13" t="str">
        <f>+HYPERLINK("http://trademark.i-assist.jp/data/china/image_1887th/77204209.pdf","77204209")</f>
        <v>77204209</v>
      </c>
      <c r="F2575" s="7" t="s">
        <v>7013</v>
      </c>
      <c r="G2575" s="7" t="s">
        <v>7014</v>
      </c>
      <c r="H2575" s="7" t="s">
        <v>7015</v>
      </c>
      <c r="I2575" s="9">
        <v>45360</v>
      </c>
    </row>
    <row r="2576" spans="1:9" x14ac:dyDescent="0.15">
      <c r="A2576" s="6">
        <v>2575</v>
      </c>
      <c r="B2576" s="7" t="s">
        <v>8</v>
      </c>
      <c r="C2576" s="8">
        <v>1887</v>
      </c>
      <c r="D2576" s="9">
        <v>45425</v>
      </c>
      <c r="E2576" s="13" t="str">
        <f>+HYPERLINK("http://trademark.i-assist.jp/data/china/image_1887th/77204438.pdf","77204438")</f>
        <v>77204438</v>
      </c>
      <c r="F2576" s="7" t="s">
        <v>7016</v>
      </c>
      <c r="G2576" s="7" t="s">
        <v>7017</v>
      </c>
      <c r="H2576" s="7" t="s">
        <v>7018</v>
      </c>
      <c r="I2576" s="9">
        <v>45360</v>
      </c>
    </row>
    <row r="2577" spans="1:9" x14ac:dyDescent="0.15">
      <c r="A2577" s="6">
        <v>2576</v>
      </c>
      <c r="B2577" s="7" t="s">
        <v>8</v>
      </c>
      <c r="C2577" s="8">
        <v>1887</v>
      </c>
      <c r="D2577" s="9">
        <v>45425</v>
      </c>
      <c r="E2577" s="13" t="str">
        <f>+HYPERLINK("http://trademark.i-assist.jp/data/china/image_1887th/77204940.pdf","77204940")</f>
        <v>77204940</v>
      </c>
      <c r="F2577" s="7" t="s">
        <v>7019</v>
      </c>
      <c r="G2577" s="7" t="s">
        <v>6981</v>
      </c>
      <c r="H2577" s="7" t="s">
        <v>7020</v>
      </c>
      <c r="I2577" s="9">
        <v>45361</v>
      </c>
    </row>
    <row r="2578" spans="1:9" ht="27" x14ac:dyDescent="0.15">
      <c r="A2578" s="6">
        <v>2577</v>
      </c>
      <c r="B2578" s="7" t="s">
        <v>8</v>
      </c>
      <c r="C2578" s="8">
        <v>1887</v>
      </c>
      <c r="D2578" s="9">
        <v>45425</v>
      </c>
      <c r="E2578" s="13" t="str">
        <f>+HYPERLINK("http://trademark.i-assist.jp/data/china/image_1887th/77205857.pdf","77205857")</f>
        <v>77205857</v>
      </c>
      <c r="F2578" s="7" t="s">
        <v>7021</v>
      </c>
      <c r="G2578" s="7" t="s">
        <v>7022</v>
      </c>
      <c r="H2578" s="7" t="s">
        <v>7023</v>
      </c>
      <c r="I2578" s="9">
        <v>45361</v>
      </c>
    </row>
    <row r="2579" spans="1:9" x14ac:dyDescent="0.15">
      <c r="A2579" s="6">
        <v>2578</v>
      </c>
      <c r="B2579" s="7" t="s">
        <v>8</v>
      </c>
      <c r="C2579" s="8">
        <v>1887</v>
      </c>
      <c r="D2579" s="9">
        <v>45425</v>
      </c>
      <c r="E2579" s="13" t="str">
        <f>+HYPERLINK("http://trademark.i-assist.jp/data/china/image_1887th/77206929.pdf","77206929")</f>
        <v>77206929</v>
      </c>
      <c r="F2579" s="7" t="s">
        <v>7024</v>
      </c>
      <c r="G2579" s="7" t="s">
        <v>7025</v>
      </c>
      <c r="H2579" s="7" t="s">
        <v>7026</v>
      </c>
      <c r="I2579" s="9">
        <v>45361</v>
      </c>
    </row>
    <row r="2580" spans="1:9" x14ac:dyDescent="0.15">
      <c r="A2580" s="6">
        <v>2579</v>
      </c>
      <c r="B2580" s="7" t="s">
        <v>8</v>
      </c>
      <c r="C2580" s="8">
        <v>1887</v>
      </c>
      <c r="D2580" s="9">
        <v>45425</v>
      </c>
      <c r="E2580" s="13" t="str">
        <f>+HYPERLINK("http://trademark.i-assist.jp/data/china/image_1887th/77207153.pdf","77207153")</f>
        <v>77207153</v>
      </c>
      <c r="F2580" s="7" t="s">
        <v>7027</v>
      </c>
      <c r="G2580" s="7" t="s">
        <v>6981</v>
      </c>
      <c r="H2580" s="7" t="s">
        <v>7028</v>
      </c>
      <c r="I2580" s="9">
        <v>45361</v>
      </c>
    </row>
    <row r="2581" spans="1:9" x14ac:dyDescent="0.15">
      <c r="A2581" s="6">
        <v>2580</v>
      </c>
      <c r="B2581" s="7" t="s">
        <v>8</v>
      </c>
      <c r="C2581" s="8">
        <v>1887</v>
      </c>
      <c r="D2581" s="9">
        <v>45425</v>
      </c>
      <c r="E2581" s="13" t="str">
        <f>+HYPERLINK("http://trademark.i-assist.jp/data/china/image_1887th/77207843.pdf","77207843")</f>
        <v>77207843</v>
      </c>
      <c r="F2581" s="7" t="s">
        <v>7029</v>
      </c>
      <c r="G2581" s="7" t="s">
        <v>6877</v>
      </c>
      <c r="H2581" s="7" t="s">
        <v>7030</v>
      </c>
      <c r="I2581" s="9">
        <v>45359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1887th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2024-12-04T07:01:25Z</dcterms:modified>
</cp:coreProperties>
</file>