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ED3EB437-C0A1-4158-8C75-AF108A17D500}" xr6:coauthVersionLast="47" xr6:coauthVersionMax="47" xr10:uidLastSave="{00000000-0000-0000-0000-000000000000}"/>
  <bookViews>
    <workbookView xWindow="390" yWindow="390" windowWidth="24555" windowHeight="14250" xr2:uid="{00000000-000D-0000-FFFF-FFFF00000000}"/>
  </bookViews>
  <sheets>
    <sheet name="1886th" sheetId="2" r:id="rId1"/>
  </sheets>
  <calcPr calcId="191029"/>
</workbook>
</file>

<file path=xl/calcChain.xml><?xml version="1.0" encoding="utf-8"?>
<calcChain xmlns="http://schemas.openxmlformats.org/spreadsheetml/2006/main">
  <c r="E2" i="2" l="1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</calcChain>
</file>

<file path=xl/sharedStrings.xml><?xml version="1.0" encoding="utf-8"?>
<sst xmlns="http://schemas.openxmlformats.org/spreadsheetml/2006/main" count="6940" uniqueCount="4716">
  <si>
    <t>国名</t>
  </si>
  <si>
    <t>公告期</t>
  </si>
  <si>
    <t>発表日</t>
  </si>
  <si>
    <t>商標番号</t>
  </si>
  <si>
    <t>商標名称</t>
  </si>
  <si>
    <t>申請人</t>
  </si>
  <si>
    <t>商品</t>
  </si>
  <si>
    <t>申請日</t>
  </si>
  <si>
    <t>No.</t>
    <phoneticPr fontId="1"/>
  </si>
  <si>
    <t>中国</t>
  </si>
  <si>
    <t>葡萄酒</t>
  </si>
  <si>
    <t>关王故里</t>
  </si>
  <si>
    <r>
      <t>山西关帝酒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</si>
  <si>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</si>
  <si>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溢</t>
    </r>
  </si>
  <si>
    <r>
      <t>王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春</t>
    </r>
  </si>
  <si>
    <r>
      <t>果酒（含酒精）; 薄荷酒;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葡萄酒</t>
    </r>
  </si>
  <si>
    <t>荣力好</t>
  </si>
  <si>
    <r>
      <t>泸</t>
    </r>
    <r>
      <rPr>
        <sz val="11"/>
        <color theme="1"/>
        <rFont val="ＭＳ Ｐゴシック"/>
        <family val="3"/>
        <charset val="128"/>
        <scheme val="minor"/>
      </rPr>
      <t>州荣力投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</si>
  <si>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白干酒（中国白酒）; 威士忌;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</si>
  <si>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千如</t>
  </si>
  <si>
    <r>
      <t>深圳市千如酒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</si>
  <si>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利口酒;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黄酒;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米酒</t>
    </r>
  </si>
  <si>
    <t>七希</t>
  </si>
  <si>
    <r>
      <t>莫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德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酒股份公司</t>
    </r>
  </si>
  <si>
    <t>LONELY GOD 浪味仙</t>
  </si>
  <si>
    <r>
      <t>宜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食品工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</si>
  <si>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白酒; 黄酒;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</si>
  <si>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门临</t>
    </r>
    <r>
      <rPr>
        <sz val="11"/>
        <color theme="1"/>
        <rFont val="ＭＳ Ｐゴシック"/>
        <family val="3"/>
        <charset val="128"/>
        <scheme val="minor"/>
      </rPr>
      <t>福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</si>
  <si>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州晶照</t>
    </r>
    <r>
      <rPr>
        <sz val="11"/>
        <color theme="1"/>
        <rFont val="ＭＳ Ｐゴシック"/>
        <family val="3"/>
        <charset val="134"/>
        <scheme val="minor"/>
      </rPr>
      <t>实业发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</si>
  <si>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果酒（含酒精）; 白酒; 黄酒;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朗姆酒; 威士忌</t>
    </r>
  </si>
  <si>
    <r>
      <t>临门</t>
    </r>
    <r>
      <rPr>
        <sz val="11"/>
        <color theme="1"/>
        <rFont val="ＭＳ Ｐゴシック"/>
        <family val="3"/>
        <charset val="128"/>
        <scheme val="minor"/>
      </rPr>
      <t>福</t>
    </r>
  </si>
  <si>
    <t>無し</t>
  </si>
  <si>
    <r>
      <t>图</t>
    </r>
    <r>
      <rPr>
        <sz val="11"/>
        <color theme="1"/>
        <rFont val="ＭＳ Ｐゴシック"/>
        <family val="3"/>
        <charset val="128"/>
        <scheme val="minor"/>
      </rPr>
      <t>形</t>
    </r>
  </si>
  <si>
    <t>梁丹丹******************</t>
  </si>
  <si>
    <r>
      <t xml:space="preserve">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清酒; 果酒; 白酒</t>
    </r>
  </si>
  <si>
    <r>
      <t>深圳市芭黎之花投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</si>
  <si>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蒸煮提取物（利口酒和烈酒）; 清酒（日本米酒）;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</si>
  <si>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新</t>
    </r>
    <r>
      <rPr>
        <sz val="11"/>
        <color theme="1"/>
        <rFont val="ＭＳ Ｐゴシック"/>
        <family val="3"/>
        <charset val="134"/>
        <scheme val="minor"/>
      </rPr>
      <t>赏</t>
    </r>
  </si>
  <si>
    <r>
      <t>济</t>
    </r>
    <r>
      <rPr>
        <sz val="11"/>
        <color theme="1"/>
        <rFont val="ＭＳ Ｐゴシック"/>
        <family val="3"/>
        <charset val="128"/>
        <scheme val="minor"/>
      </rPr>
      <t>南天</t>
    </r>
    <r>
      <rPr>
        <sz val="11"/>
        <color theme="1"/>
        <rFont val="ＭＳ Ｐゴシック"/>
        <family val="3"/>
        <charset val="134"/>
        <scheme val="minor"/>
      </rPr>
      <t>桥</t>
    </r>
    <r>
      <rPr>
        <sz val="11"/>
        <color theme="1"/>
        <rFont val="ＭＳ Ｐゴシック"/>
        <family val="3"/>
        <charset val="128"/>
        <scheme val="minor"/>
      </rPr>
      <t>微运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副</t>
    </r>
    <r>
      <rPr>
        <sz val="11"/>
        <color theme="1"/>
        <rFont val="ＭＳ Ｐゴシック"/>
        <family val="3"/>
        <charset val="134"/>
        <scheme val="minor"/>
      </rPr>
      <t>产</t>
    </r>
    <r>
      <rPr>
        <sz val="11"/>
        <color theme="1"/>
        <rFont val="ＭＳ Ｐゴシック"/>
        <family val="3"/>
        <charset val="128"/>
        <scheme val="minor"/>
      </rPr>
      <t>品</t>
    </r>
    <r>
      <rPr>
        <sz val="11"/>
        <color theme="1"/>
        <rFont val="ＭＳ Ｐゴシック"/>
        <family val="3"/>
        <charset val="134"/>
        <scheme val="minor"/>
      </rPr>
      <t>经营</t>
    </r>
    <r>
      <rPr>
        <sz val="11"/>
        <color theme="1"/>
        <rFont val="ＭＳ Ｐゴシック"/>
        <family val="3"/>
        <charset val="128"/>
        <scheme val="minor"/>
      </rPr>
      <t>部</t>
    </r>
  </si>
  <si>
    <r>
      <t>白酒; 米酒; 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</si>
  <si>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气量</t>
  </si>
  <si>
    <r>
      <t>胡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婷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</si>
  <si>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青梅酒;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甜酒</t>
    </r>
  </si>
  <si>
    <t>天下一家</t>
  </si>
  <si>
    <r>
      <t>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市家天下酒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</si>
  <si>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清酒（日本米酒）</t>
    </r>
  </si>
  <si>
    <t>黔之梦</t>
  </si>
  <si>
    <r>
      <t>贵</t>
    </r>
    <r>
      <rPr>
        <sz val="11"/>
        <color theme="1"/>
        <rFont val="ＭＳ Ｐゴシック"/>
        <family val="3"/>
        <charset val="128"/>
        <scheme val="minor"/>
      </rPr>
      <t>酒集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</si>
  <si>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白酒; 青稞酒; 葡萄酒; 米酒; 果酒（含酒精）;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</si>
  <si>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舍粮大曲</t>
  </si>
  <si>
    <r>
      <t>河南德信</t>
    </r>
    <r>
      <rPr>
        <sz val="11"/>
        <color theme="1"/>
        <rFont val="ＭＳ Ｐゴシック"/>
        <family val="3"/>
        <charset val="134"/>
        <scheme val="minor"/>
      </rPr>
      <t>诚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</si>
  <si>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蒸煮提取物（利口酒和烈酒）; 葡萄酒; 米酒; 果酒;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</si>
  <si>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同</t>
    </r>
    <r>
      <rPr>
        <sz val="11"/>
        <color theme="1"/>
        <rFont val="ＭＳ Ｐゴシック"/>
        <family val="3"/>
        <charset val="134"/>
        <scheme val="minor"/>
      </rPr>
      <t>创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</si>
  <si>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州千园同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</si>
  <si>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黄酒; 白酒; 葡萄酒; 烈酒; 高粱酒;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露酒</t>
    </r>
  </si>
  <si>
    <t>CSB MUSIC 薄彩生</t>
  </si>
  <si>
    <t>北京彩生文化有限公司</t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</si>
  <si>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族米酒; 苹果酒; 食用酒精; 汽酒; 青稞酒</t>
    </r>
  </si>
  <si>
    <r>
      <t>中</t>
    </r>
    <r>
      <rPr>
        <sz val="11"/>
        <color theme="1"/>
        <rFont val="ＭＳ Ｐゴシック"/>
        <family val="3"/>
        <charset val="134"/>
        <scheme val="minor"/>
      </rPr>
      <t>记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</si>
  <si>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洵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</si>
  <si>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蜂蜜酒;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白酒; 果酒（含酒精）; 开胃酒; 葡萄酒</t>
    </r>
  </si>
  <si>
    <t>皇裔</t>
  </si>
  <si>
    <r>
      <t>张</t>
    </r>
    <r>
      <rPr>
        <sz val="11"/>
        <color theme="1"/>
        <rFont val="ＭＳ Ｐゴシック"/>
        <family val="3"/>
        <charset val="128"/>
        <scheme val="minor"/>
      </rPr>
      <t>壹彪</t>
    </r>
  </si>
  <si>
    <r>
      <t>葡萄酒; 黄酒; 白酒(清香型); 果酒; 白酒(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 xml:space="preserve">香型);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香型白酒; 清香型白酒; 白酒</t>
    </r>
  </si>
  <si>
    <r>
      <t>榕江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古州文化旅游投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</si>
  <si>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酒（烈酒）; 白酒; 葡萄酒; 米酒;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</t>
    </r>
  </si>
  <si>
    <t>沐元丹</t>
  </si>
  <si>
    <r>
      <t>武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祥盛健康管理咨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</si>
  <si>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朗姆酒</t>
    </r>
  </si>
  <si>
    <r>
      <t>西藏阿</t>
    </r>
    <r>
      <rPr>
        <sz val="11"/>
        <color theme="1"/>
        <rFont val="ＭＳ Ｐゴシック"/>
        <family val="3"/>
        <charset val="134"/>
        <scheme val="minor"/>
      </rPr>
      <t>妈</t>
    </r>
    <r>
      <rPr>
        <sz val="11"/>
        <color theme="1"/>
        <rFont val="ＭＳ Ｐゴシック"/>
        <family val="3"/>
        <charset val="128"/>
        <scheme val="minor"/>
      </rPr>
      <t>羌</t>
    </r>
    <r>
      <rPr>
        <sz val="11"/>
        <color theme="1"/>
        <rFont val="ＭＳ Ｐゴシック"/>
        <family val="3"/>
        <charset val="134"/>
        <scheme val="minor"/>
      </rPr>
      <t>玛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</si>
  <si>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果酒（含酒精）; 葡萄酒; 白酒;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米酒;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</si>
  <si>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COFFEE SHOP HORSE HOUSE</t>
  </si>
  <si>
    <r>
      <t>深圳逆影餐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</si>
  <si>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蜂蜜酒; 薄荷酒;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</si>
  <si>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玉交集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 xml:space="preserve"> YUJIAO GROUP</t>
    </r>
  </si>
  <si>
    <r>
      <t>云南玉溪交通运</t>
    </r>
    <r>
      <rPr>
        <sz val="11"/>
        <color theme="1"/>
        <rFont val="ＭＳ Ｐゴシック"/>
        <family val="3"/>
        <charset val="134"/>
        <scheme val="minor"/>
      </rPr>
      <t>输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</si>
  <si>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高粱酒; 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白酒</t>
    </r>
  </si>
  <si>
    <r>
      <t>诺</t>
    </r>
    <r>
      <rPr>
        <sz val="11"/>
        <color theme="1"/>
        <rFont val="ＭＳ Ｐゴシック"/>
        <family val="3"/>
        <charset val="128"/>
        <scheme val="minor"/>
      </rPr>
      <t>德酒庄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</si>
  <si>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东丽</t>
    </r>
    <r>
      <rPr>
        <sz val="11"/>
        <color theme="1"/>
        <rFont val="ＭＳ Ｐゴシック"/>
        <family val="3"/>
        <charset val="128"/>
        <scheme val="minor"/>
      </rPr>
      <t>达国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</si>
  <si>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果酒（含酒精）; 米酒</t>
    </r>
  </si>
  <si>
    <t>BABA HONEY</t>
  </si>
  <si>
    <r>
      <t>凯</t>
    </r>
    <r>
      <rPr>
        <sz val="11"/>
        <color theme="1"/>
        <rFont val="ＭＳ Ｐゴシック"/>
        <family val="3"/>
        <charset val="128"/>
        <scheme val="minor"/>
      </rPr>
      <t>迪日耶·艾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肯</t>
    </r>
  </si>
  <si>
    <r>
      <t>葡萄酒; 果酒（含酒精）; 蜂蜜酒;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水果汽酒;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咖啡利口酒;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</si>
  <si>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忆</t>
    </r>
    <r>
      <rPr>
        <sz val="11"/>
        <color theme="1"/>
        <rFont val="ＭＳ Ｐゴシック"/>
        <family val="3"/>
        <charset val="128"/>
        <scheme val="minor"/>
      </rPr>
      <t>年味</t>
    </r>
  </si>
  <si>
    <r>
      <t>永</t>
    </r>
    <r>
      <rPr>
        <sz val="11"/>
        <color theme="1"/>
        <rFont val="ＭＳ Ｐゴシック"/>
        <family val="3"/>
        <charset val="134"/>
        <scheme val="minor"/>
      </rPr>
      <t>济</t>
    </r>
    <r>
      <rPr>
        <sz val="11"/>
        <color theme="1"/>
        <rFont val="ＭＳ Ｐゴシック"/>
        <family val="3"/>
        <charset val="128"/>
        <scheme val="minor"/>
      </rPr>
      <t>市增</t>
    </r>
    <r>
      <rPr>
        <sz val="11"/>
        <color theme="1"/>
        <rFont val="ＭＳ Ｐゴシック"/>
        <family val="3"/>
        <charset val="134"/>
        <scheme val="minor"/>
      </rPr>
      <t>辉</t>
    </r>
    <r>
      <rPr>
        <sz val="11"/>
        <color theme="1"/>
        <rFont val="ＭＳ Ｐゴシック"/>
        <family val="3"/>
        <charset val="128"/>
        <scheme val="minor"/>
      </rPr>
      <t>食品有限公司</t>
    </r>
  </si>
  <si>
    <r>
      <t>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水果汽酒; 梨酒; 果酒; 甜果酒;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</si>
  <si>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塔斯汀 TASTIEN TASITING</t>
  </si>
  <si>
    <r>
      <t>福州塔斯汀餐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</si>
  <si>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茴香酒（利口酒）; 葡萄酒; 果酒（含酒精）; 茴芹酒（利口酒）;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朗姆酒</t>
    </r>
  </si>
  <si>
    <t>PUPPET PIUPIU</t>
  </si>
  <si>
    <t>王瀚德</t>
  </si>
  <si>
    <r>
      <t xml:space="preserve">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朗姆酒;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</t>
    </r>
  </si>
  <si>
    <r>
      <t>风</t>
    </r>
    <r>
      <rPr>
        <sz val="11"/>
        <color theme="1"/>
        <rFont val="ＭＳ Ｐゴシック"/>
        <family val="3"/>
        <charset val="128"/>
        <scheme val="minor"/>
      </rPr>
      <t>陵渡口</t>
    </r>
  </si>
  <si>
    <r>
      <t>王琮</t>
    </r>
    <r>
      <rPr>
        <sz val="11"/>
        <color theme="1"/>
        <rFont val="ＭＳ Ｐゴシック"/>
        <family val="3"/>
        <charset val="134"/>
        <scheme val="minor"/>
      </rPr>
      <t>凯</t>
    </r>
  </si>
  <si>
    <r>
      <t xml:space="preserve">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</t>
    </r>
  </si>
  <si>
    <t>花田雨心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</si>
  <si>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州花田雨心餐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</si>
  <si>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果酒（含酒精）; 葡萄酒; 白酒</t>
  </si>
  <si>
    <t>福来季</t>
  </si>
  <si>
    <r>
      <t>盈江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春</t>
    </r>
    <r>
      <rPr>
        <sz val="11"/>
        <color theme="1"/>
        <rFont val="ＭＳ Ｐゴシック"/>
        <family val="3"/>
        <charset val="134"/>
        <scheme val="minor"/>
      </rPr>
      <t>满</t>
    </r>
    <r>
      <rPr>
        <sz val="11"/>
        <color theme="1"/>
        <rFont val="ＭＳ Ｐゴシック"/>
        <family val="3"/>
        <charset val="128"/>
        <scheme val="minor"/>
      </rPr>
      <t>园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</si>
  <si>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食用酒精; 果酒（含酒精）;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</si>
  <si>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t>梦迷蝴蝶</t>
  </si>
  <si>
    <r>
      <t>山西屠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酒健康文化有限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</si>
  <si>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黄酒; 食用酒精; 白酒;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</t>
    </r>
  </si>
  <si>
    <r>
      <t>大</t>
    </r>
    <r>
      <rPr>
        <sz val="11"/>
        <color theme="1"/>
        <rFont val="ＭＳ Ｐゴシック"/>
        <family val="3"/>
        <charset val="134"/>
        <scheme val="minor"/>
      </rPr>
      <t>诚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铺</t>
    </r>
  </si>
  <si>
    <t>李永婷</t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</si>
  <si>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利口酒; 朗姆酒; 伏特加酒; 葡萄酒; 果酒（含酒精）</t>
    </r>
  </si>
  <si>
    <t>保秀黄酒</t>
  </si>
  <si>
    <r>
      <t>房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泉秀黄酒小作坊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</si>
  <si>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食用酒精; 黄酒; 果酒（含酒精）; 白酒</t>
    </r>
  </si>
  <si>
    <r>
      <t>观</t>
    </r>
    <r>
      <rPr>
        <sz val="11"/>
        <color theme="1"/>
        <rFont val="ＭＳ Ｐゴシック"/>
        <family val="3"/>
        <charset val="128"/>
        <scheme val="minor"/>
      </rPr>
      <t>水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</si>
  <si>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州黄金基酒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</si>
  <si>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汽酒; 威士忌; 白酒; 果酒;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</si>
  <si>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余</t>
    </r>
    <r>
      <rPr>
        <sz val="11"/>
        <color theme="1"/>
        <rFont val="ＭＳ Ｐゴシック"/>
        <family val="3"/>
        <charset val="134"/>
        <scheme val="minor"/>
      </rPr>
      <t>东艳</t>
    </r>
  </si>
  <si>
    <r>
      <t xml:space="preserve">果酒（含酒精）; 黄酒;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朗姆酒; 威士忌;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</si>
  <si>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保禄威士忌</t>
  </si>
  <si>
    <t>十一店有限公司</t>
  </si>
  <si>
    <r>
      <t>黄酒;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麦芽威士忌; 葡萄酒; 威士忌;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</si>
  <si>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四川</t>
    </r>
    <r>
      <rPr>
        <sz val="11"/>
        <color theme="1"/>
        <rFont val="ＭＳ Ｐゴシック"/>
        <family val="3"/>
        <charset val="134"/>
        <scheme val="minor"/>
      </rPr>
      <t>记</t>
    </r>
    <r>
      <rPr>
        <sz val="11"/>
        <color theme="1"/>
        <rFont val="ＭＳ Ｐゴシック"/>
        <family val="3"/>
        <charset val="128"/>
        <scheme val="minor"/>
      </rPr>
      <t>住我品牌管理有限公司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</si>
  <si>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薄荷酒;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苹果酒; 葡萄酒; 威士忌</t>
    </r>
  </si>
  <si>
    <t>籣花瓷</t>
  </si>
  <si>
    <r>
      <t>汾阳市酒月玖酒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</si>
  <si>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烈酒; 高粱酒; 烈酒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食用酒精;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</si>
  <si>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方演</t>
    </r>
    <r>
      <rPr>
        <sz val="11"/>
        <color theme="1"/>
        <rFont val="ＭＳ Ｐゴシック"/>
        <family val="3"/>
        <charset val="134"/>
        <scheme val="minor"/>
      </rPr>
      <t>义</t>
    </r>
  </si>
  <si>
    <r>
      <t>慈葫</t>
    </r>
    <r>
      <rPr>
        <sz val="11"/>
        <color theme="1"/>
        <rFont val="ＭＳ Ｐゴシック"/>
        <family val="3"/>
        <charset val="134"/>
        <scheme val="minor"/>
      </rPr>
      <t>药业</t>
    </r>
    <r>
      <rPr>
        <sz val="11"/>
        <color theme="1"/>
        <rFont val="ＭＳ Ｐゴシック"/>
        <family val="3"/>
        <charset val="128"/>
        <scheme val="minor"/>
      </rPr>
      <t>（广州）有限公司</t>
    </r>
  </si>
  <si>
    <r>
      <t xml:space="preserve">米酒; 青梅酒; 甜酒; 黄酒; 刺五加酒; 果酒; 白葡萄酒;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</si>
  <si>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会都</t>
    </r>
    <r>
      <rPr>
        <sz val="11"/>
        <color theme="1"/>
        <rFont val="ＭＳ Ｐゴシック"/>
        <family val="3"/>
        <charset val="134"/>
        <scheme val="minor"/>
      </rPr>
      <t>岛</t>
    </r>
  </si>
  <si>
    <r>
      <t>北京青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峡酒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</si>
  <si>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青稞酒; 葡萄酒;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汽酒</t>
    </r>
  </si>
  <si>
    <r>
      <t>辅</t>
    </r>
    <r>
      <rPr>
        <sz val="11"/>
        <color theme="1"/>
        <rFont val="ＭＳ Ｐゴシック"/>
        <family val="3"/>
        <charset val="128"/>
        <scheme val="minor"/>
      </rPr>
      <t>臣</t>
    </r>
  </si>
  <si>
    <t>戴林美</t>
  </si>
  <si>
    <r>
      <t xml:space="preserve">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青稞酒; 白酒; 黄酒</t>
    </r>
  </si>
  <si>
    <t>桐花万里</t>
  </si>
  <si>
    <r>
      <t>上海茅董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酒文化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</si>
  <si>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果酒（含酒精）;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清酒（日本米酒）</t>
    </r>
  </si>
  <si>
    <r>
      <t>思</t>
    </r>
    <r>
      <rPr>
        <sz val="11"/>
        <color theme="1"/>
        <rFont val="ＭＳ Ｐゴシック"/>
        <family val="3"/>
        <charset val="134"/>
        <scheme val="minor"/>
      </rPr>
      <t>卫</t>
    </r>
    <r>
      <rPr>
        <sz val="11"/>
        <color theme="1"/>
        <rFont val="ＭＳ Ｐゴシック"/>
        <family val="3"/>
        <charset val="128"/>
        <scheme val="minor"/>
      </rPr>
      <t>斯</t>
    </r>
  </si>
  <si>
    <t>合肥眠花糖科技股份有限公司</t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</si>
  <si>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米酒; 威士忌</t>
    </r>
  </si>
  <si>
    <t>LA BAO</t>
  </si>
  <si>
    <t>叶苗</t>
  </si>
  <si>
    <t>咖啡利口酒</t>
  </si>
  <si>
    <r>
      <t>壶间</t>
    </r>
    <r>
      <rPr>
        <sz val="11"/>
        <color theme="1"/>
        <rFont val="ＭＳ Ｐゴシック"/>
        <family val="3"/>
        <charset val="128"/>
        <scheme val="minor"/>
      </rPr>
      <t>道</t>
    </r>
  </si>
  <si>
    <t>徐福意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</si>
  <si>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</si>
  <si>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胡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赤疆</t>
    </r>
  </si>
  <si>
    <r>
      <t>胡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河市赤宏粮食加工有限公司</t>
    </r>
  </si>
  <si>
    <r>
      <t xml:space="preserve">葡萄酒;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</si>
  <si>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州太</t>
    </r>
    <r>
      <rPr>
        <sz val="11"/>
        <color theme="1"/>
        <rFont val="ＭＳ Ｐゴシック"/>
        <family val="3"/>
        <charset val="134"/>
        <scheme val="minor"/>
      </rPr>
      <t>仓临</t>
    </r>
    <r>
      <rPr>
        <sz val="11"/>
        <color theme="1"/>
        <rFont val="ＭＳ Ｐゴシック"/>
        <family val="3"/>
        <charset val="128"/>
        <scheme val="minor"/>
      </rPr>
      <t>港投</t>
    </r>
    <r>
      <rPr>
        <sz val="11"/>
        <color theme="1"/>
        <rFont val="ＭＳ Ｐゴシック"/>
        <family val="3"/>
        <charset val="134"/>
        <scheme val="minor"/>
      </rPr>
      <t>资发</t>
    </r>
    <r>
      <rPr>
        <sz val="11"/>
        <color theme="1"/>
        <rFont val="ＭＳ Ｐゴシック"/>
        <family val="3"/>
        <charset val="128"/>
        <scheme val="minor"/>
      </rPr>
      <t>展集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</si>
  <si>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</si>
  <si>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诗忆东</t>
    </r>
    <r>
      <rPr>
        <sz val="11"/>
        <color theme="1"/>
        <rFont val="ＭＳ Ｐゴシック"/>
        <family val="3"/>
        <charset val="128"/>
        <scheme val="minor"/>
      </rPr>
      <t>坡 DONGPO LIFE IN POEMS</t>
    </r>
  </si>
  <si>
    <r>
      <t>中国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方演</t>
    </r>
    <r>
      <rPr>
        <sz val="11"/>
        <color theme="1"/>
        <rFont val="ＭＳ Ｐゴシック"/>
        <family val="3"/>
        <charset val="134"/>
        <scheme val="minor"/>
      </rPr>
      <t>艺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</si>
  <si>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</si>
  <si>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仙品同源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之梦露酒</t>
    </r>
  </si>
  <si>
    <r>
      <t>卢</t>
    </r>
    <r>
      <rPr>
        <sz val="11"/>
        <color theme="1"/>
        <rFont val="ＭＳ Ｐゴシック"/>
        <family val="3"/>
        <charset val="128"/>
        <scheme val="minor"/>
      </rPr>
      <t>智深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</si>
  <si>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</t>
    </r>
  </si>
  <si>
    <t>丰谷酒王</t>
  </si>
  <si>
    <r>
      <t>四川省</t>
    </r>
    <r>
      <rPr>
        <sz val="11"/>
        <color theme="1"/>
        <rFont val="ＭＳ Ｐゴシック"/>
        <family val="3"/>
        <charset val="134"/>
        <scheme val="minor"/>
      </rPr>
      <t>绵</t>
    </r>
    <r>
      <rPr>
        <sz val="11"/>
        <color theme="1"/>
        <rFont val="ＭＳ Ｐゴシック"/>
        <family val="3"/>
        <charset val="128"/>
        <scheme val="minor"/>
      </rPr>
      <t>阳市丰谷酒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</si>
  <si>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果酒（含酒精）; 白酒; 食用酒精;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清酒（日本米酒）;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尼瓦（以甘蔗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黄酒</t>
    </r>
  </si>
  <si>
    <r>
      <t>永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</si>
  <si>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河南省安泰</t>
    </r>
    <r>
      <rPr>
        <sz val="11"/>
        <color theme="1"/>
        <rFont val="ＭＳ Ｐゴシック"/>
        <family val="3"/>
        <charset val="134"/>
        <scheme val="minor"/>
      </rPr>
      <t>检测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</si>
  <si>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t>白酒</t>
  </si>
  <si>
    <t>花天</t>
  </si>
  <si>
    <r>
      <t>东</t>
    </r>
    <r>
      <rPr>
        <sz val="11"/>
        <color theme="1"/>
        <rFont val="ＭＳ Ｐゴシック"/>
        <family val="3"/>
        <charset val="128"/>
        <scheme val="minor"/>
      </rPr>
      <t>莞市大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盟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的供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</si>
  <si>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酸酒（低等葡萄酒）;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蒸煮提取物（利口酒和烈酒）; 果酒; 黄酒;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</si>
  <si>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㐂邑木村康司</t>
  </si>
  <si>
    <t>株式会社㐂邑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</si>
  <si>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蒸煮提取物（利口酒和烈酒）; 葡萄酒;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柑香酒; 果酒</t>
    </r>
  </si>
  <si>
    <t>五斗米大河醇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</si>
  <si>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州大河酒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</si>
  <si>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烈酒;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果酒; 高粱酒; 白酒</t>
    </r>
  </si>
  <si>
    <r>
      <t>KHAWACHEN 喀瓦</t>
    </r>
    <r>
      <rPr>
        <sz val="11"/>
        <color theme="1"/>
        <rFont val="ＭＳ Ｐゴシック"/>
        <family val="3"/>
        <charset val="134"/>
        <scheme val="minor"/>
      </rPr>
      <t>坚</t>
    </r>
  </si>
  <si>
    <r>
      <t>吉林省</t>
    </r>
    <r>
      <rPr>
        <sz val="11"/>
        <color theme="1"/>
        <rFont val="ＭＳ Ｐゴシック"/>
        <family val="3"/>
        <charset val="134"/>
        <scheme val="minor"/>
      </rPr>
      <t>屿</t>
    </r>
    <r>
      <rPr>
        <sz val="11"/>
        <color theme="1"/>
        <rFont val="ＭＳ Ｐゴシック"/>
        <family val="3"/>
        <charset val="128"/>
        <scheme val="minor"/>
      </rPr>
      <t>山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</si>
  <si>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果酒; 烈酒; 青稞酒;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威士忌;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梅酒</t>
    </r>
  </si>
  <si>
    <t>INMARK INMARK MANOR M</t>
  </si>
  <si>
    <t>高瑞芳</t>
  </si>
  <si>
    <r>
      <t>餐后酒（利口酒和烈酒）; 杜松子酒; 伏特加酒;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朗姆酒</t>
    </r>
  </si>
  <si>
    <r>
      <t>林扒</t>
    </r>
    <r>
      <rPr>
        <sz val="11"/>
        <color theme="1"/>
        <rFont val="ＭＳ Ｐゴシック"/>
        <family val="3"/>
        <charset val="134"/>
        <scheme val="minor"/>
      </rPr>
      <t>张</t>
    </r>
    <r>
      <rPr>
        <sz val="11"/>
        <color theme="1"/>
        <rFont val="ＭＳ Ｐゴシック"/>
        <family val="3"/>
        <charset val="128"/>
        <scheme val="minor"/>
      </rPr>
      <t>氏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</si>
  <si>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玉柱</t>
    </r>
  </si>
  <si>
    <r>
      <t xml:space="preserve">高粱酒;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食用酒精; 白酒</t>
    </r>
  </si>
  <si>
    <t>金豆家</t>
  </si>
  <si>
    <t>河南金豆子食品有限公司</t>
  </si>
  <si>
    <r>
      <t xml:space="preserve">威士忌; 白酒; 果酒（含酒精）;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</si>
  <si>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大众台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</si>
  <si>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州艾来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</si>
  <si>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葡萄酒; 果酒; 白酒;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</si>
  <si>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r>
      <t>蒙高列</t>
    </r>
    <r>
      <rPr>
        <sz val="11"/>
        <color theme="1"/>
        <rFont val="ＭＳ Ｐゴシック"/>
        <family val="3"/>
        <charset val="134"/>
        <scheme val="minor"/>
      </rPr>
      <t>艳</t>
    </r>
  </si>
  <si>
    <r>
      <t>包</t>
    </r>
    <r>
      <rPr>
        <sz val="11"/>
        <color theme="1"/>
        <rFont val="ＭＳ Ｐゴシック"/>
        <family val="3"/>
        <charset val="134"/>
        <scheme val="minor"/>
      </rPr>
      <t>头</t>
    </r>
    <r>
      <rPr>
        <sz val="11"/>
        <color theme="1"/>
        <rFont val="ＭＳ Ｐゴシック"/>
        <family val="3"/>
        <charset val="128"/>
        <scheme val="minor"/>
      </rPr>
      <t>市多</t>
    </r>
    <r>
      <rPr>
        <sz val="11"/>
        <color theme="1"/>
        <rFont val="ＭＳ Ｐゴシック"/>
        <family val="3"/>
        <charset val="134"/>
        <scheme val="minor"/>
      </rPr>
      <t>维</t>
    </r>
    <r>
      <rPr>
        <sz val="11"/>
        <color theme="1"/>
        <rFont val="ＭＳ Ｐゴシック"/>
        <family val="3"/>
        <charset val="128"/>
        <scheme val="minor"/>
      </rPr>
      <t>旅游有限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</si>
  <si>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白酒; 开胃酒;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苹果酒</t>
    </r>
  </si>
  <si>
    <t>甘九藏</t>
  </si>
  <si>
    <r>
      <t>御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葡萄酒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（宁夏）有限公司</t>
    </r>
  </si>
  <si>
    <r>
      <t>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食用酒精; 威士忌</t>
    </r>
  </si>
  <si>
    <t>天下平商</t>
  </si>
  <si>
    <r>
      <t>岳阳楼区越</t>
    </r>
    <r>
      <rPr>
        <sz val="11"/>
        <color theme="1"/>
        <rFont val="ＭＳ Ｐゴシック"/>
        <family val="3"/>
        <charset val="134"/>
        <scheme val="minor"/>
      </rPr>
      <t>齐贸</t>
    </r>
    <r>
      <rPr>
        <sz val="11"/>
        <color theme="1"/>
        <rFont val="ＭＳ Ｐゴシック"/>
        <family val="3"/>
        <charset val="128"/>
        <scheme val="minor"/>
      </rPr>
      <t>易商行</t>
    </r>
  </si>
  <si>
    <t>乾隆璀璨</t>
  </si>
  <si>
    <t>黄阳洋</t>
  </si>
  <si>
    <r>
      <t xml:space="preserve">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</si>
  <si>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t>坛坛</t>
  </si>
  <si>
    <r>
      <t>宜</t>
    </r>
    <r>
      <rPr>
        <sz val="11"/>
        <color theme="1"/>
        <rFont val="ＭＳ Ｐゴシック"/>
        <family val="3"/>
        <charset val="134"/>
        <scheme val="minor"/>
      </rPr>
      <t>宾坛坛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类经营</t>
    </r>
    <r>
      <rPr>
        <sz val="11"/>
        <color theme="1"/>
        <rFont val="ＭＳ Ｐゴシック"/>
        <family val="3"/>
        <charset val="128"/>
        <scheme val="minor"/>
      </rPr>
      <t>部</t>
    </r>
  </si>
  <si>
    <r>
      <t>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甜酒;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果酒; 青梅酒</t>
    </r>
  </si>
  <si>
    <r>
      <t>南裕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二</t>
    </r>
    <r>
      <rPr>
        <sz val="11"/>
        <color theme="1"/>
        <rFont val="ＭＳ Ｐゴシック"/>
        <family val="3"/>
        <charset val="134"/>
        <scheme val="minor"/>
      </rPr>
      <t>锅头</t>
    </r>
  </si>
  <si>
    <r>
      <t>北京隆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号方庄酒厂有限公司</t>
    </r>
  </si>
  <si>
    <r>
      <t>肖蒙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卡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 xml:space="preserve"> CHAUMONTMACARON</t>
    </r>
  </si>
  <si>
    <t>邱国英</t>
  </si>
  <si>
    <r>
      <t>果酒（含酒精）; 葡萄酒; 威士忌; 清酒（日本米酒）; 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</si>
  <si>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温保沟</t>
  </si>
  <si>
    <r>
      <t>凯</t>
    </r>
    <r>
      <rPr>
        <sz val="11"/>
        <color theme="1"/>
        <rFont val="ＭＳ Ｐゴシック"/>
        <family val="3"/>
        <charset val="128"/>
        <scheme val="minor"/>
      </rPr>
      <t>里喜愙餐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中心（个体工商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</si>
  <si>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米酒; 餐后酒（利口酒和烈酒）;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青稞酒</t>
    </r>
  </si>
  <si>
    <r>
      <t>但逑 情</t>
    </r>
    <r>
      <rPr>
        <sz val="11"/>
        <color theme="1"/>
        <rFont val="ＭＳ Ｐゴシック"/>
        <family val="3"/>
        <charset val="134"/>
        <scheme val="minor"/>
      </rPr>
      <t>绪</t>
    </r>
    <r>
      <rPr>
        <sz val="11"/>
        <color theme="1"/>
        <rFont val="ＭＳ Ｐゴシック"/>
        <family val="3"/>
        <charset val="128"/>
        <scheme val="minor"/>
      </rPr>
      <t>收容所 EMOTION BAR</t>
    </r>
  </si>
  <si>
    <r>
      <t>但逑酒</t>
    </r>
    <r>
      <rPr>
        <sz val="11"/>
        <color theme="1"/>
        <rFont val="ＭＳ Ｐゴシック"/>
        <family val="3"/>
        <charset val="134"/>
        <scheme val="minor"/>
      </rPr>
      <t>馆</t>
    </r>
    <r>
      <rPr>
        <sz val="11"/>
        <color theme="1"/>
        <rFont val="ＭＳ Ｐゴシック"/>
        <family val="3"/>
        <charset val="128"/>
        <scheme val="minor"/>
      </rPr>
      <t>音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餐吧（广州）有限公司</t>
    </r>
  </si>
  <si>
    <r>
      <t xml:space="preserve">果酒（含酒精）; 伏特加酒;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青稞酒; 开胃酒; 葡萄酒;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朗姆酒; 黄酒</t>
    </r>
  </si>
  <si>
    <t>鑫金子</t>
  </si>
  <si>
    <t>烟台奥帆都葡萄酒有限公司</t>
  </si>
  <si>
    <r>
      <t>威士忌; 青稞酒;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清酒（日本米酒）</t>
    </r>
  </si>
  <si>
    <r>
      <t>镹·掌·</t>
    </r>
    <r>
      <rPr>
        <sz val="11"/>
        <color theme="1"/>
        <rFont val="ＭＳ Ｐゴシック"/>
        <family val="3"/>
        <charset val="134"/>
        <scheme val="minor"/>
      </rPr>
      <t>门</t>
    </r>
  </si>
  <si>
    <t>谢丽琼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</si>
  <si>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食用酒精; 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</si>
  <si>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科沃德杜恩私人有限公司</t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</si>
  <si>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</si>
  <si>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北京玉泉酒厂（个人独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</si>
  <si>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白酒; 白干酒（中国白酒）;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</si>
  <si>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t>MURRAY STREET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</si>
  <si>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</si>
  <si>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r>
      <t>农贡</t>
    </r>
    <r>
      <rPr>
        <sz val="11"/>
        <color theme="1"/>
        <rFont val="ＭＳ Ｐゴシック"/>
        <family val="3"/>
        <charset val="128"/>
        <scheme val="minor"/>
      </rPr>
      <t>多</t>
    </r>
  </si>
  <si>
    <r>
      <t>温州云</t>
    </r>
    <r>
      <rPr>
        <sz val="11"/>
        <color theme="1"/>
        <rFont val="ＭＳ Ｐゴシック"/>
        <family val="3"/>
        <charset val="134"/>
        <scheme val="minor"/>
      </rPr>
      <t>阔</t>
    </r>
    <r>
      <rPr>
        <sz val="11"/>
        <color theme="1"/>
        <rFont val="ＭＳ Ｐゴシック"/>
        <family val="3"/>
        <charset val="128"/>
        <scheme val="minor"/>
      </rPr>
      <t>食品有限公司</t>
    </r>
  </si>
  <si>
    <r>
      <t>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米酒; 含酒精的气泡水; 果酒; 葡萄酒; 食用酒精; 烈酒; 白酒; 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</si>
  <si>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滩</t>
    </r>
    <r>
      <rPr>
        <sz val="11"/>
        <color theme="1"/>
        <rFont val="ＭＳ Ｐゴシック"/>
        <family val="3"/>
        <charset val="128"/>
        <scheme val="minor"/>
      </rPr>
      <t>里王子</t>
    </r>
    <r>
      <rPr>
        <sz val="11"/>
        <color theme="1"/>
        <rFont val="ＭＳ Ｐゴシック"/>
        <family val="3"/>
        <charset val="134"/>
        <scheme val="minor"/>
      </rPr>
      <t>滩</t>
    </r>
    <r>
      <rPr>
        <sz val="11"/>
        <color theme="1"/>
        <rFont val="ＭＳ Ｐゴシック"/>
        <family val="3"/>
        <charset val="128"/>
        <scheme val="minor"/>
      </rPr>
      <t>里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</si>
  <si>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国粹匠心酒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</si>
  <si>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米酒;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</si>
  <si>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t>VICELLE</t>
  </si>
  <si>
    <r>
      <t>上海法堡国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</si>
  <si>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葡萄酒; 朗姆酒; 伏特加酒; 果酒（含酒精）; 苹果酒;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</si>
  <si>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兴</t>
    </r>
    <r>
      <rPr>
        <sz val="11"/>
        <color theme="1"/>
        <rFont val="ＭＳ Ｐゴシック"/>
        <family val="3"/>
        <charset val="128"/>
        <scheme val="minor"/>
      </rPr>
      <t>台鼎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</si>
  <si>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州匠明酒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</si>
  <si>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米酒; 葡萄酒; 梨酒; 露酒;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青稞酒;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黄酒</t>
    </r>
  </si>
  <si>
    <r>
      <t>玛</t>
    </r>
    <r>
      <rPr>
        <sz val="11"/>
        <color theme="1"/>
        <rFont val="ＭＳ Ｐゴシック"/>
        <family val="3"/>
        <charset val="128"/>
        <scheme val="minor"/>
      </rPr>
      <t>依金</t>
    </r>
    <r>
      <rPr>
        <sz val="11"/>
        <color theme="1"/>
        <rFont val="ＭＳ Ｐゴシック"/>
        <family val="3"/>
        <charset val="134"/>
        <scheme val="minor"/>
      </rPr>
      <t>丝</t>
    </r>
    <r>
      <rPr>
        <sz val="11"/>
        <color theme="1"/>
        <rFont val="ＭＳ Ｐゴシック"/>
        <family val="3"/>
        <charset val="128"/>
        <scheme val="minor"/>
      </rPr>
      <t>玉</t>
    </r>
  </si>
  <si>
    <t>滕明斌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</si>
  <si>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薄荷酒;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</si>
  <si>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r>
      <t>细</t>
    </r>
    <r>
      <rPr>
        <sz val="11"/>
        <color theme="1"/>
        <rFont val="ＭＳ Ｐゴシック"/>
        <family val="3"/>
        <charset val="128"/>
        <scheme val="minor"/>
      </rPr>
      <t>台山&amp;水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</si>
  <si>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安佳醇酒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</si>
  <si>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白干酒（中国白酒）; 葡萄酒; 黄酒;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烈酒;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</si>
  <si>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老君山金丹酒</t>
  </si>
  <si>
    <r>
      <t>洛阳君山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</si>
  <si>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食用酒精; 果酒; 露酒;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</si>
  <si>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咖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酒坊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</si>
  <si>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开明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</si>
  <si>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汽酒; 黄酒;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果酒（含酒精）</t>
    </r>
  </si>
  <si>
    <r>
      <t>山物甄</t>
    </r>
    <r>
      <rPr>
        <sz val="11"/>
        <color theme="1"/>
        <rFont val="ＭＳ Ｐゴシック"/>
        <family val="3"/>
        <charset val="134"/>
        <scheme val="minor"/>
      </rPr>
      <t>选</t>
    </r>
  </si>
  <si>
    <r>
      <t>鲸</t>
    </r>
    <r>
      <rPr>
        <sz val="11"/>
        <color theme="1"/>
        <rFont val="ＭＳ Ｐゴシック"/>
        <family val="3"/>
        <charset val="128"/>
        <scheme val="minor"/>
      </rPr>
      <t>喜到家(厦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)网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</si>
  <si>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青梅酒;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</si>
  <si>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t>汀楫台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</si>
  <si>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州京</t>
    </r>
    <r>
      <rPr>
        <sz val="11"/>
        <color theme="1"/>
        <rFont val="ＭＳ Ｐゴシック"/>
        <family val="3"/>
        <charset val="134"/>
        <scheme val="minor"/>
      </rPr>
      <t>谭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</si>
  <si>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白酒; 食用酒精;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</t>
    </r>
  </si>
  <si>
    <t>炎黄珍</t>
  </si>
  <si>
    <r>
      <t>平</t>
    </r>
    <r>
      <rPr>
        <sz val="11"/>
        <color theme="1"/>
        <rFont val="ＭＳ Ｐゴシック"/>
        <family val="3"/>
        <charset val="134"/>
        <scheme val="minor"/>
      </rPr>
      <t>顶</t>
    </r>
    <r>
      <rPr>
        <sz val="11"/>
        <color theme="1"/>
        <rFont val="ＭＳ Ｐゴシック"/>
        <family val="3"/>
        <charset val="128"/>
        <scheme val="minor"/>
      </rPr>
      <t>山市精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</si>
  <si>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</si>
  <si>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I.TODAY</t>
  </si>
  <si>
    <t>李彩虹</t>
  </si>
  <si>
    <r>
      <t>黄酒; 白酒; 伏特加酒;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食用酒精; 威士忌; 朗姆酒</t>
    </r>
  </si>
  <si>
    <t>象牙匠</t>
  </si>
  <si>
    <r>
      <t>王运</t>
    </r>
    <r>
      <rPr>
        <sz val="11"/>
        <color theme="1"/>
        <rFont val="ＭＳ Ｐゴシック"/>
        <family val="3"/>
        <charset val="134"/>
        <scheme val="minor"/>
      </rPr>
      <t>刚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</si>
  <si>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果酒（含酒精）; 白酒; 青稞酒; 苦味酒; 葡萄酒; 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</si>
  <si>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JOHNNIE WALKER BLACK RUBY</t>
  </si>
  <si>
    <r>
      <t>黛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吉奥品牌有限公司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</si>
  <si>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混合威士忌酒; 麦芽威士忌;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</t>
    </r>
  </si>
  <si>
    <r>
      <t>小</t>
    </r>
    <r>
      <rPr>
        <sz val="11"/>
        <color theme="1"/>
        <rFont val="ＭＳ Ｐゴシック"/>
        <family val="3"/>
        <charset val="134"/>
        <scheme val="minor"/>
      </rPr>
      <t>饮槟</t>
    </r>
  </si>
  <si>
    <r>
      <t>云南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佳商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</si>
  <si>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果酒（含酒精）;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</si>
  <si>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t>花城悦豪</t>
  </si>
  <si>
    <r>
      <t>攀枝花悦豪企</t>
    </r>
    <r>
      <rPr>
        <sz val="11"/>
        <color theme="1"/>
        <rFont val="ＭＳ Ｐゴシック"/>
        <family val="3"/>
        <charset val="134"/>
        <scheme val="minor"/>
      </rPr>
      <t>业经营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</si>
  <si>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黄酒; 开胃酒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</si>
  <si>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席金窖</t>
    </r>
  </si>
  <si>
    <r>
      <t>黄</t>
    </r>
    <r>
      <rPr>
        <sz val="11"/>
        <color theme="1"/>
        <rFont val="ＭＳ Ｐゴシック"/>
        <family val="3"/>
        <charset val="134"/>
        <scheme val="minor"/>
      </rPr>
      <t>爱东</t>
    </r>
  </si>
  <si>
    <r>
      <t xml:space="preserve">果酒（含酒精）; 米酒; 烈酒; 白干酒（中国白酒）;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</t>
    </r>
  </si>
  <si>
    <t>宏周</t>
  </si>
  <si>
    <t>胡昌盛</t>
  </si>
  <si>
    <r>
      <t>薄荷酒; 果酒（含酒精）; 杜松子酒; 黄酒; 白酒; 茴芹酒（利口酒）;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茴香酒（利口酒）; 葡萄酒; 开胃酒</t>
    </r>
  </si>
  <si>
    <t>撒哈达姆</t>
  </si>
  <si>
    <t>王楠</t>
  </si>
  <si>
    <r>
      <t xml:space="preserve">食用酒精;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黄酒; 烈酒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</si>
  <si>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老七冰曲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</si>
  <si>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俊</t>
    </r>
  </si>
  <si>
    <r>
      <t>果酒（含酒精）; 餐后酒（利口酒和烈酒）; 食用酒精; 青稞酒; 清酒（日本米酒）; 葡萄酒;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薄荷酒</t>
    </r>
  </si>
  <si>
    <t>FEITIANMAOJIANG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</si>
  <si>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飞</t>
    </r>
    <r>
      <rPr>
        <sz val="11"/>
        <color theme="1"/>
        <rFont val="ＭＳ Ｐゴシック"/>
        <family val="3"/>
        <charset val="128"/>
        <scheme val="minor"/>
      </rPr>
      <t>天茅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</si>
  <si>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>威士忌;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</si>
  <si>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SH KE</t>
  </si>
  <si>
    <r>
      <t>陈</t>
    </r>
    <r>
      <rPr>
        <sz val="11"/>
        <color theme="1"/>
        <rFont val="ＭＳ Ｐゴシック"/>
        <family val="3"/>
        <charset val="128"/>
        <scheme val="minor"/>
      </rPr>
      <t>昱之</t>
    </r>
  </si>
  <si>
    <r>
      <t>白酒; 果酒; 米酒; 烈酒;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</si>
  <si>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吖吖</t>
    </r>
    <r>
      <rPr>
        <sz val="11"/>
        <color theme="1"/>
        <rFont val="ＭＳ Ｐゴシック"/>
        <family val="3"/>
        <charset val="128"/>
        <scheme val="minor"/>
      </rPr>
      <t>有米</t>
    </r>
  </si>
  <si>
    <r>
      <t>滋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（福州）生</t>
    </r>
    <r>
      <rPr>
        <sz val="11"/>
        <color theme="1"/>
        <rFont val="ＭＳ Ｐゴシック"/>
        <family val="3"/>
        <charset val="134"/>
        <scheme val="minor"/>
      </rPr>
      <t>态农业</t>
    </r>
    <r>
      <rPr>
        <sz val="11"/>
        <color theme="1"/>
        <rFont val="ＭＳ Ｐゴシック"/>
        <family val="3"/>
        <charset val="128"/>
        <scheme val="minor"/>
      </rPr>
      <t>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</si>
  <si>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t>米酒</t>
  </si>
  <si>
    <r>
      <t>渝</t>
    </r>
    <r>
      <rPr>
        <sz val="11"/>
        <color theme="1"/>
        <rFont val="ＭＳ Ｐゴシック"/>
        <family val="3"/>
        <charset val="134"/>
        <scheme val="minor"/>
      </rPr>
      <t>财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</si>
  <si>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沙集美餐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</si>
  <si>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葡萄酒; 米酒</t>
    </r>
  </si>
  <si>
    <r>
      <t>秀山有</t>
    </r>
    <r>
      <rPr>
        <sz val="11"/>
        <color theme="1"/>
        <rFont val="ＭＳ Ｐゴシック"/>
        <family val="3"/>
        <charset val="134"/>
        <scheme val="minor"/>
      </rPr>
      <t>约</t>
    </r>
    <r>
      <rPr>
        <sz val="11"/>
        <color theme="1"/>
        <rFont val="ＭＳ Ｐゴシック"/>
        <family val="3"/>
        <charset val="128"/>
        <scheme val="minor"/>
      </rPr>
      <t>早酒</t>
    </r>
  </si>
  <si>
    <r>
      <t>秀山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佳沃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</si>
  <si>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果酒; 白干酒（中国白酒）; 米酒; 白酒; 蒸煮提取物（利口酒和烈酒）; 高粱酒; 露酒</t>
    </r>
  </si>
  <si>
    <t>岔起逮</t>
  </si>
  <si>
    <r>
      <t>陈</t>
    </r>
    <r>
      <rPr>
        <sz val="11"/>
        <color theme="1"/>
        <rFont val="ＭＳ Ｐゴシック"/>
        <family val="3"/>
        <charset val="128"/>
        <scheme val="minor"/>
      </rPr>
      <t>国超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</si>
  <si>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果酒（含酒精）; 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</si>
  <si>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t>MMT</t>
  </si>
  <si>
    <r>
      <t>四川酒友名品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</si>
  <si>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开胃酒; 果酒（含酒精）; 白酒</t>
    </r>
  </si>
  <si>
    <t>泰福云</t>
  </si>
  <si>
    <r>
      <t>长</t>
    </r>
    <r>
      <rPr>
        <sz val="11"/>
        <color theme="1"/>
        <rFont val="ＭＳ Ｐゴシック"/>
        <family val="3"/>
        <charset val="128"/>
        <scheme val="minor"/>
      </rPr>
      <t>沙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德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子科技有限公司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</si>
  <si>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白葡萄酒;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米酒; 甜果酒;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</si>
  <si>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捌</t>
    </r>
    <r>
      <rPr>
        <sz val="11"/>
        <color theme="1"/>
        <rFont val="ＭＳ Ｐゴシック"/>
        <family val="3"/>
        <charset val="134"/>
        <scheme val="minor"/>
      </rPr>
      <t>峥</t>
    </r>
  </si>
  <si>
    <t>四川唯德鑫盛新型建材有限公司</t>
  </si>
  <si>
    <r>
      <t>果酒（含酒精）; 葡萄酒;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白干酒（中国白酒）;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</si>
  <si>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BING CHANG</t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</si>
  <si>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辛巴餐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</si>
  <si>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高粱酒; 果酒（含酒精）; 米酒; 葡萄酒; 清酒（日本米酒）</t>
    </r>
  </si>
  <si>
    <r>
      <t>总</t>
    </r>
    <r>
      <rPr>
        <sz val="11"/>
        <color theme="1"/>
        <rFont val="ＭＳ Ｐゴシック"/>
        <family val="3"/>
        <charset val="128"/>
        <scheme val="minor"/>
      </rPr>
      <t>裁学子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</si>
  <si>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</t>
    </r>
    <r>
      <rPr>
        <sz val="11"/>
        <color theme="1"/>
        <rFont val="ＭＳ Ｐゴシック"/>
        <family val="3"/>
        <charset val="134"/>
        <scheme val="minor"/>
      </rPr>
      <t>绿</t>
    </r>
    <r>
      <rPr>
        <sz val="11"/>
        <color theme="1"/>
        <rFont val="ＭＳ Ｐゴシック"/>
        <family val="3"/>
        <charset val="128"/>
        <scheme val="minor"/>
      </rPr>
      <t>色通达信息科技有限公司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</si>
  <si>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黄酒;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高粱酒; 烈酒; 清酒</t>
    </r>
  </si>
  <si>
    <r>
      <t>谧</t>
    </r>
    <r>
      <rPr>
        <sz val="11"/>
        <color theme="1"/>
        <rFont val="ＭＳ Ｐゴシック"/>
        <family val="3"/>
        <charset val="128"/>
        <scheme val="minor"/>
      </rPr>
      <t>台</t>
    </r>
  </si>
  <si>
    <t>刘玉霞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</si>
  <si>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高粱酒; 果酒; 清酒; 米酒;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食用酒精; 果酒（含酒精）</t>
    </r>
  </si>
  <si>
    <r>
      <t>玉小</t>
    </r>
    <r>
      <rPr>
        <sz val="11"/>
        <color theme="1"/>
        <rFont val="ＭＳ Ｐゴシック"/>
        <family val="3"/>
        <charset val="134"/>
        <scheme val="minor"/>
      </rPr>
      <t>浆</t>
    </r>
  </si>
  <si>
    <r>
      <t>惠</t>
    </r>
    <r>
      <rPr>
        <sz val="11"/>
        <color theme="1"/>
        <rFont val="ＭＳ Ｐゴシック"/>
        <family val="3"/>
        <charset val="134"/>
        <scheme val="minor"/>
      </rPr>
      <t>东县</t>
    </r>
    <r>
      <rPr>
        <sz val="11"/>
        <color theme="1"/>
        <rFont val="ＭＳ Ｐゴシック"/>
        <family val="3"/>
        <charset val="128"/>
        <scheme val="minor"/>
      </rPr>
      <t>平山</t>
    </r>
    <r>
      <rPr>
        <sz val="11"/>
        <color theme="1"/>
        <rFont val="ＭＳ Ｐゴシック"/>
        <family val="3"/>
        <charset val="134"/>
        <scheme val="minor"/>
      </rPr>
      <t>欢乐鱼贸</t>
    </r>
    <r>
      <rPr>
        <sz val="11"/>
        <color theme="1"/>
        <rFont val="ＭＳ Ｐゴシック"/>
        <family val="3"/>
        <charset val="128"/>
        <scheme val="minor"/>
      </rPr>
      <t>易商行</t>
    </r>
  </si>
  <si>
    <r>
      <t>葡萄酒; 高粱酒;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黄酒; 开胃酒;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混合威士忌酒;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</si>
  <si>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r>
      <t>绍</t>
    </r>
    <r>
      <rPr>
        <sz val="11"/>
        <color theme="1"/>
        <rFont val="ＭＳ Ｐゴシック"/>
        <family val="3"/>
        <charset val="128"/>
        <scheme val="minor"/>
      </rPr>
      <t>游台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</si>
  <si>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涛</t>
    </r>
  </si>
  <si>
    <r>
      <t>蒸煮提取物（利口酒和烈酒）;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</si>
  <si>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工匠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沙窖</t>
    </r>
  </si>
  <si>
    <r>
      <t>成都左</t>
    </r>
    <r>
      <rPr>
        <sz val="11"/>
        <color theme="1"/>
        <rFont val="ＭＳ Ｐゴシック"/>
        <family val="3"/>
        <charset val="134"/>
        <scheme val="minor"/>
      </rPr>
      <t>宽</t>
    </r>
    <r>
      <rPr>
        <sz val="11"/>
        <color theme="1"/>
        <rFont val="ＭＳ Ｐゴシック"/>
        <family val="3"/>
        <charset val="128"/>
        <scheme val="minor"/>
      </rPr>
      <t>右厚酒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</si>
  <si>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梨酒; 露酒;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青稞酒; 黄酒; 米酒; 白酒</t>
    </r>
  </si>
  <si>
    <r>
      <t>叁</t>
    </r>
    <r>
      <rPr>
        <sz val="11"/>
        <color theme="1"/>
        <rFont val="ＭＳ Ｐゴシック"/>
        <family val="3"/>
        <charset val="128"/>
        <scheme val="minor"/>
      </rPr>
      <t>平坊</t>
    </r>
  </si>
  <si>
    <t>王德友</t>
  </si>
  <si>
    <r>
      <t>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蜂蜜酒;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</si>
  <si>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索溪峪</t>
  </si>
  <si>
    <r>
      <t>张</t>
    </r>
    <r>
      <rPr>
        <sz val="11"/>
        <color theme="1"/>
        <rFont val="ＭＳ Ｐゴシック"/>
        <family val="3"/>
        <charset val="128"/>
        <scheme val="minor"/>
      </rPr>
      <t>家界</t>
    </r>
    <r>
      <rPr>
        <sz val="11"/>
        <color theme="1"/>
        <rFont val="ＭＳ Ｐゴシック"/>
        <family val="3"/>
        <charset val="134"/>
        <scheme val="minor"/>
      </rPr>
      <t>鲵</t>
    </r>
    <r>
      <rPr>
        <sz val="11"/>
        <color theme="1"/>
        <rFont val="ＭＳ Ｐゴシック"/>
        <family val="3"/>
        <charset val="128"/>
        <scheme val="minor"/>
      </rPr>
      <t>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</si>
  <si>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青稞酒;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黄酒; 薄荷酒</t>
    </r>
  </si>
  <si>
    <r>
      <t>鹞</t>
    </r>
    <r>
      <rPr>
        <sz val="11"/>
        <color theme="1"/>
        <rFont val="ＭＳ Ｐゴシック"/>
        <family val="3"/>
        <charset val="128"/>
        <scheme val="minor"/>
      </rPr>
      <t>子寨</t>
    </r>
  </si>
  <si>
    <r>
      <t>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青稞酒; 米酒;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薄荷酒</t>
    </r>
  </si>
  <si>
    <t>DOPOLAVORO</t>
  </si>
  <si>
    <r>
      <t>上海愚</t>
    </r>
    <r>
      <rPr>
        <sz val="11"/>
        <color theme="1"/>
        <rFont val="ＭＳ Ｐゴシック"/>
        <family val="3"/>
        <charset val="134"/>
        <scheme val="minor"/>
      </rPr>
      <t>见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意有限公司</t>
    </r>
  </si>
  <si>
    <r>
      <t>米酒; 酸酒（低等葡萄酒）; 食用酒精; 黄酒;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</si>
  <si>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杜三</t>
    </r>
    <r>
      <rPr>
        <sz val="11"/>
        <color theme="1"/>
        <rFont val="ＭＳ Ｐゴシック"/>
        <family val="3"/>
        <charset val="134"/>
        <scheme val="minor"/>
      </rPr>
      <t>岗</t>
    </r>
  </si>
  <si>
    <t>王立佳</t>
  </si>
  <si>
    <r>
      <t xml:space="preserve">食用酒精;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清酒（日本米酒）;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</si>
  <si>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r>
      <t>六渡</t>
    </r>
    <r>
      <rPr>
        <sz val="11"/>
        <color theme="1"/>
        <rFont val="ＭＳ Ｐゴシック"/>
        <family val="3"/>
        <charset val="134"/>
        <scheme val="minor"/>
      </rPr>
      <t>铭</t>
    </r>
    <r>
      <rPr>
        <sz val="11"/>
        <color theme="1"/>
        <rFont val="ＭＳ Ｐゴシック"/>
        <family val="3"/>
        <charset val="128"/>
        <scheme val="minor"/>
      </rPr>
      <t>德</t>
    </r>
  </si>
  <si>
    <r>
      <t>甘</t>
    </r>
    <r>
      <rPr>
        <sz val="11"/>
        <color theme="1"/>
        <rFont val="ＭＳ Ｐゴシック"/>
        <family val="3"/>
        <charset val="134"/>
        <scheme val="minor"/>
      </rPr>
      <t>肃</t>
    </r>
    <r>
      <rPr>
        <sz val="11"/>
        <color theme="1"/>
        <rFont val="ＭＳ Ｐゴシック"/>
        <family val="3"/>
        <charset val="128"/>
        <scheme val="minor"/>
      </rPr>
      <t>六渡</t>
    </r>
    <r>
      <rPr>
        <sz val="11"/>
        <color theme="1"/>
        <rFont val="ＭＳ Ｐゴシック"/>
        <family val="3"/>
        <charset val="134"/>
        <scheme val="minor"/>
      </rPr>
      <t>铭</t>
    </r>
    <r>
      <rPr>
        <sz val="11"/>
        <color theme="1"/>
        <rFont val="ＭＳ Ｐゴシック"/>
        <family val="3"/>
        <charset val="128"/>
        <scheme val="minor"/>
      </rPr>
      <t>德商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</si>
  <si>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米酒</t>
    </r>
  </si>
  <si>
    <r>
      <t>时</t>
    </r>
    <r>
      <rPr>
        <sz val="11"/>
        <color theme="1"/>
        <rFont val="ＭＳ Ｐゴシック"/>
        <family val="3"/>
        <charset val="128"/>
        <scheme val="minor"/>
      </rPr>
      <t>代玉成</t>
    </r>
  </si>
  <si>
    <r>
      <t>安徽人</t>
    </r>
    <r>
      <rPr>
        <sz val="11"/>
        <color theme="1"/>
        <rFont val="ＭＳ Ｐゴシック"/>
        <family val="3"/>
        <charset val="134"/>
        <scheme val="minor"/>
      </rPr>
      <t>为贵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</si>
  <si>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高粱酒; 果酒; 甜酒;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葡萄酒; 露酒</t>
    </r>
  </si>
  <si>
    <t>德克森</t>
  </si>
  <si>
    <r>
      <t>罗</t>
    </r>
    <r>
      <rPr>
        <sz val="11"/>
        <color theme="1"/>
        <rFont val="ＭＳ Ｐゴシック"/>
        <family val="3"/>
        <charset val="128"/>
        <scheme val="minor"/>
      </rPr>
      <t>学平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</si>
  <si>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米酒;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</si>
  <si>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CARL LCEWEN</t>
  </si>
  <si>
    <r>
      <t>卡</t>
    </r>
    <r>
      <rPr>
        <sz val="11"/>
        <color theme="1"/>
        <rFont val="ＭＳ Ｐゴシック"/>
        <family val="3"/>
        <charset val="134"/>
        <scheme val="minor"/>
      </rPr>
      <t>尔罗</t>
    </r>
    <r>
      <rPr>
        <sz val="11"/>
        <color theme="1"/>
        <rFont val="ＭＳ Ｐゴシック"/>
        <family val="3"/>
        <charset val="128"/>
        <scheme val="minor"/>
      </rPr>
      <t>文酒庄</t>
    </r>
  </si>
  <si>
    <r>
      <t>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葡萄酒; 苹果酒;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</si>
  <si>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六安霍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有名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副</t>
    </r>
    <r>
      <rPr>
        <sz val="11"/>
        <color theme="1"/>
        <rFont val="ＭＳ Ｐゴシック"/>
        <family val="3"/>
        <charset val="134"/>
        <scheme val="minor"/>
      </rPr>
      <t>产</t>
    </r>
    <r>
      <rPr>
        <sz val="11"/>
        <color theme="1"/>
        <rFont val="ＭＳ Ｐゴシック"/>
        <family val="3"/>
        <charset val="128"/>
        <scheme val="minor"/>
      </rPr>
      <t>品</t>
    </r>
    <r>
      <rPr>
        <sz val="11"/>
        <color theme="1"/>
        <rFont val="ＭＳ Ｐゴシック"/>
        <family val="3"/>
        <charset val="134"/>
        <scheme val="minor"/>
      </rPr>
      <t>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</si>
  <si>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餐后酒（利口酒和烈酒）;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黄酒; 伏特加酒</t>
    </r>
  </si>
  <si>
    <t>抖家人</t>
  </si>
  <si>
    <r>
      <t>盐</t>
    </r>
    <r>
      <rPr>
        <sz val="11"/>
        <color theme="1"/>
        <rFont val="ＭＳ Ｐゴシック"/>
        <family val="3"/>
        <charset val="128"/>
        <scheme val="minor"/>
      </rPr>
      <t>城市外婆家生</t>
    </r>
    <r>
      <rPr>
        <sz val="11"/>
        <color theme="1"/>
        <rFont val="ＭＳ Ｐゴシック"/>
        <family val="3"/>
        <charset val="134"/>
        <scheme val="minor"/>
      </rPr>
      <t>态农业发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</si>
  <si>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白酒; 黄酒; 梨酒;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葡萄酒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</si>
  <si>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聚天下</t>
    </r>
  </si>
  <si>
    <r>
      <t>黄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明</t>
    </r>
  </si>
  <si>
    <r>
      <t>黄酒; 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果酒;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白酒; 白干酒（中国白酒）</t>
    </r>
  </si>
  <si>
    <t>酉水兄弟</t>
  </si>
  <si>
    <r>
      <t>湘西</t>
    </r>
    <r>
      <rPr>
        <sz val="11"/>
        <color theme="1"/>
        <rFont val="ＭＳ Ｐゴシック"/>
        <family val="3"/>
        <charset val="134"/>
        <scheme val="minor"/>
      </rPr>
      <t>绿</t>
    </r>
    <r>
      <rPr>
        <sz val="11"/>
        <color theme="1"/>
        <rFont val="ＭＳ Ｐゴシック"/>
        <family val="3"/>
        <charset val="128"/>
        <scheme val="minor"/>
      </rPr>
      <t>菜园原生</t>
    </r>
    <r>
      <rPr>
        <sz val="11"/>
        <color theme="1"/>
        <rFont val="ＭＳ Ｐゴシック"/>
        <family val="3"/>
        <charset val="134"/>
        <scheme val="minor"/>
      </rPr>
      <t>态</t>
    </r>
    <r>
      <rPr>
        <sz val="11"/>
        <color theme="1"/>
        <rFont val="ＭＳ Ｐゴシック"/>
        <family val="3"/>
        <charset val="128"/>
        <scheme val="minor"/>
      </rPr>
      <t>种养有限公司</t>
    </r>
  </si>
  <si>
    <r>
      <t>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甜酒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</si>
  <si>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醉琅</t>
    </r>
  </si>
  <si>
    <r>
      <t>姚元</t>
    </r>
    <r>
      <rPr>
        <sz val="11"/>
        <color theme="1"/>
        <rFont val="ＭＳ Ｐゴシック"/>
        <family val="3"/>
        <charset val="134"/>
        <scheme val="minor"/>
      </rPr>
      <t>义</t>
    </r>
  </si>
  <si>
    <r>
      <t>米酒; 黄酒; 葡萄酒;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</si>
  <si>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兴</t>
    </r>
    <r>
      <rPr>
        <sz val="11"/>
        <color theme="1"/>
        <rFont val="ＭＳ Ｐゴシック"/>
        <family val="3"/>
        <charset val="128"/>
        <scheme val="minor"/>
      </rPr>
      <t>德澳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</si>
  <si>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州德澳医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保健有限公司</t>
    </r>
  </si>
  <si>
    <r>
      <t xml:space="preserve">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</si>
  <si>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鼓崖</t>
    </r>
    <r>
      <rPr>
        <sz val="11"/>
        <color theme="1"/>
        <rFont val="ＭＳ Ｐゴシック"/>
        <family val="3"/>
        <charset val="134"/>
        <scheme val="minor"/>
      </rPr>
      <t>阁</t>
    </r>
  </si>
  <si>
    <r>
      <t>廖光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</si>
  <si>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>果酒;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黄酒; 米酒; 烈酒; 威士忌; 葡萄酒; 白酒</t>
    </r>
  </si>
  <si>
    <r>
      <t>凌</t>
    </r>
    <r>
      <rPr>
        <sz val="11"/>
        <color theme="1"/>
        <rFont val="ＭＳ Ｐゴシック"/>
        <family val="3"/>
        <charset val="129"/>
        <scheme val="minor"/>
      </rPr>
      <t>龘龘</t>
    </r>
  </si>
  <si>
    <r>
      <t>凌氏透明</t>
    </r>
    <r>
      <rPr>
        <sz val="11"/>
        <color theme="1"/>
        <rFont val="ＭＳ Ｐゴシック"/>
        <family val="3"/>
        <charset val="134"/>
        <scheme val="minor"/>
      </rPr>
      <t>质</t>
    </r>
    <r>
      <rPr>
        <sz val="11"/>
        <color theme="1"/>
        <rFont val="ＭＳ Ｐゴシック"/>
        <family val="3"/>
        <charset val="128"/>
        <scheme val="minor"/>
      </rPr>
      <t>生物科技（山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</si>
  <si>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 xml:space="preserve">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清酒; 米酒; 黄酒</t>
    </r>
  </si>
  <si>
    <t>金喜大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</si>
  <si>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东马</t>
    </r>
    <r>
      <rPr>
        <sz val="11"/>
        <color theme="1"/>
        <rFont val="ＭＳ Ｐゴシック"/>
        <family val="3"/>
        <charset val="128"/>
        <scheme val="minor"/>
      </rPr>
      <t>牛餐</t>
    </r>
    <r>
      <rPr>
        <sz val="11"/>
        <color theme="1"/>
        <rFont val="ＭＳ Ｐゴシック"/>
        <family val="3"/>
        <charset val="134"/>
        <scheme val="minor"/>
      </rPr>
      <t>饮连锁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</si>
  <si>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葡萄酒; 黄酒; 清酒;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利口酒; 白酒</t>
    </r>
  </si>
  <si>
    <t>御筑天下</t>
  </si>
  <si>
    <t>王利平</t>
  </si>
  <si>
    <r>
      <t xml:space="preserve">黄酒; 汽酒; 威士忌; 果酒;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白酒</t>
    </r>
  </si>
  <si>
    <t>游小希番客</t>
  </si>
  <si>
    <r>
      <t>游小希酒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岩）有限公司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</si>
  <si>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蒸煮提取物（利口酒和烈酒）; 葡萄酒;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</t>
    </r>
  </si>
  <si>
    <t>乂稻香</t>
  </si>
  <si>
    <r>
      <t>北京尚品世</t>
    </r>
    <r>
      <rPr>
        <sz val="11"/>
        <color theme="1"/>
        <rFont val="ＭＳ Ｐゴシック"/>
        <family val="3"/>
        <charset val="134"/>
        <scheme val="minor"/>
      </rPr>
      <t>纪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</si>
  <si>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黄酒; 白酒; 白干酒（中国白酒）; 果酒（含酒精）; 高粱酒</t>
    </r>
  </si>
  <si>
    <t>高赤</t>
  </si>
  <si>
    <r>
      <t>陕</t>
    </r>
    <r>
      <rPr>
        <sz val="11"/>
        <color theme="1"/>
        <rFont val="ＭＳ Ｐゴシック"/>
        <family val="3"/>
        <charset val="128"/>
        <scheme val="minor"/>
      </rPr>
      <t>西王炸商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</si>
  <si>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白干酒（中国白酒）;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果酒（含酒精）; 高粱酒; 苹果酒</t>
    </r>
  </si>
  <si>
    <r>
      <t>福</t>
    </r>
    <r>
      <rPr>
        <sz val="11"/>
        <color theme="1"/>
        <rFont val="ＭＳ Ｐゴシック"/>
        <family val="3"/>
        <charset val="134"/>
        <scheme val="minor"/>
      </rPr>
      <t>见</t>
    </r>
    <r>
      <rPr>
        <sz val="11"/>
        <color theme="1"/>
        <rFont val="ＭＳ Ｐゴシック"/>
        <family val="3"/>
        <charset val="128"/>
        <scheme val="minor"/>
      </rPr>
      <t>礼遇</t>
    </r>
  </si>
  <si>
    <r>
      <t>福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（厦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</si>
  <si>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高粱酒; 白干酒（中国白酒）;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茴芹酒（利口酒）;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白酒; 青稞酒; 烈性干酒;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</t>
    </r>
  </si>
  <si>
    <t>DE DANANN</t>
  </si>
  <si>
    <r>
      <t>安珀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</si>
  <si>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</si>
  <si>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灯</t>
    </r>
    <r>
      <rPr>
        <sz val="11"/>
        <color theme="1"/>
        <rFont val="ＭＳ Ｐゴシック"/>
        <family val="3"/>
        <charset val="134"/>
        <scheme val="minor"/>
      </rPr>
      <t>爷</t>
    </r>
  </si>
  <si>
    <r>
      <t>谢</t>
    </r>
    <r>
      <rPr>
        <sz val="11"/>
        <color theme="1"/>
        <rFont val="ＭＳ Ｐゴシック"/>
        <family val="3"/>
        <charset val="128"/>
        <scheme val="minor"/>
      </rPr>
      <t>大城</t>
    </r>
  </si>
  <si>
    <r>
      <t>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苦味酒;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果酒（含酒精）; 汽酒; 苹果酒</t>
    </r>
  </si>
  <si>
    <t>醉苗娘</t>
  </si>
  <si>
    <t>李息全</t>
  </si>
  <si>
    <r>
      <t>米酒; 白干酒（中国白酒）;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高粱酒; 果酒;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</si>
  <si>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省中智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研究有限公司</t>
    </r>
  </si>
  <si>
    <r>
      <t>米酒; 果酒（含酒精）; 蒸煮提取物（利口酒和烈酒）; 威士忌; 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</si>
  <si>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糟花夕拾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</si>
  <si>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市七</t>
    </r>
    <r>
      <rPr>
        <sz val="11"/>
        <color theme="1"/>
        <rFont val="ＭＳ Ｐゴシック"/>
        <family val="3"/>
        <charset val="134"/>
        <scheme val="minor"/>
      </rPr>
      <t>贤</t>
    </r>
    <r>
      <rPr>
        <sz val="11"/>
        <color theme="1"/>
        <rFont val="ＭＳ Ｐゴシック"/>
        <family val="3"/>
        <charset val="128"/>
        <scheme val="minor"/>
      </rPr>
      <t>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</si>
  <si>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日式甜米酒; 白酒; 果酒;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利口酒;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</si>
  <si>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池</t>
    </r>
    <r>
      <rPr>
        <sz val="11"/>
        <color theme="1"/>
        <rFont val="ＭＳ Ｐゴシック"/>
        <family val="3"/>
        <charset val="129"/>
        <scheme val="minor"/>
      </rPr>
      <t>窨</t>
    </r>
    <r>
      <rPr>
        <sz val="11"/>
        <color theme="1"/>
        <rFont val="ＭＳ Ｐゴシック"/>
        <family val="3"/>
        <charset val="128"/>
        <scheme val="minor"/>
      </rPr>
      <t>台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</si>
  <si>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青稞酒; 黄酒; 食用酒精</t>
    </r>
  </si>
  <si>
    <r>
      <t>郑郑</t>
    </r>
    <r>
      <rPr>
        <sz val="11"/>
        <color theme="1"/>
        <rFont val="ＭＳ Ｐゴシック"/>
        <family val="3"/>
        <charset val="128"/>
        <scheme val="minor"/>
      </rPr>
      <t>曰盛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</si>
  <si>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东潍县</t>
    </r>
    <r>
      <rPr>
        <sz val="11"/>
        <color theme="1"/>
        <rFont val="ＭＳ Ｐゴシック"/>
        <family val="3"/>
        <charset val="128"/>
        <scheme val="minor"/>
      </rPr>
      <t>景</t>
    </r>
    <r>
      <rPr>
        <sz val="11"/>
        <color theme="1"/>
        <rFont val="ＭＳ Ｐゴシック"/>
        <family val="3"/>
        <charset val="134"/>
        <scheme val="minor"/>
      </rPr>
      <t>艺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</si>
  <si>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白酒; 朗姆酒; 伏特加酒; 黄酒;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</si>
  <si>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乾隆状元坊</t>
  </si>
  <si>
    <r>
      <t>成都特安特企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</si>
  <si>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黄酒;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</si>
  <si>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青谷佳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</si>
  <si>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>安徽青谷酒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</si>
  <si>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白酒; 高粱酒; 露酒;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</si>
  <si>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NEARTHELOVE</t>
  </si>
  <si>
    <r>
      <t>刘文</t>
    </r>
    <r>
      <rPr>
        <sz val="11"/>
        <color theme="1"/>
        <rFont val="ＭＳ Ｐゴシック"/>
        <family val="3"/>
        <charset val="134"/>
        <scheme val="minor"/>
      </rPr>
      <t>权</t>
    </r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</si>
  <si>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苹果酒;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蜂蜜酒; 烈酒</t>
    </r>
  </si>
  <si>
    <r>
      <t>方</t>
    </r>
    <r>
      <rPr>
        <sz val="11"/>
        <color theme="1"/>
        <rFont val="ＭＳ Ｐゴシック"/>
        <family val="3"/>
        <charset val="134"/>
        <scheme val="minor"/>
      </rPr>
      <t>伟</t>
    </r>
    <r>
      <rPr>
        <sz val="11"/>
        <color theme="1"/>
        <rFont val="ＭＳ Ｐゴシック"/>
        <family val="3"/>
        <charset val="128"/>
        <scheme val="minor"/>
      </rPr>
      <t>海源</t>
    </r>
  </si>
  <si>
    <r>
      <t>吉林鼎晟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源</t>
    </r>
    <r>
      <rPr>
        <sz val="11"/>
        <color theme="1"/>
        <rFont val="ＭＳ Ｐゴシック"/>
        <family val="3"/>
        <charset val="134"/>
        <scheme val="minor"/>
      </rPr>
      <t>综</t>
    </r>
    <r>
      <rPr>
        <sz val="11"/>
        <color theme="1"/>
        <rFont val="ＭＳ Ｐゴシック"/>
        <family val="3"/>
        <charset val="128"/>
        <scheme val="minor"/>
      </rPr>
      <t>合利用有限公司</t>
    </r>
  </si>
  <si>
    <r>
      <t xml:space="preserve">苹果酒;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白酒;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米酒; 葡萄酒; 梨酒;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</si>
  <si>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朗溪</t>
    </r>
    <r>
      <rPr>
        <sz val="11"/>
        <color theme="1"/>
        <rFont val="ＭＳ Ｐゴシック"/>
        <family val="3"/>
        <charset val="134"/>
        <scheme val="minor"/>
      </rPr>
      <t>贵</t>
    </r>
  </si>
  <si>
    <r>
      <t>江西大公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</si>
  <si>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白酒; 葡萄酒; 薄荷酒; 朗姆酒;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威士忌; 伏特加酒</t>
    </r>
  </si>
  <si>
    <t>青谷坊</t>
  </si>
  <si>
    <r>
      <t>秒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香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</si>
  <si>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渝</t>
    </r>
    <r>
      <rPr>
        <sz val="11"/>
        <color theme="1"/>
        <rFont val="ＭＳ Ｐゴシック"/>
        <family val="3"/>
        <charset val="134"/>
        <scheme val="minor"/>
      </rPr>
      <t>识</t>
    </r>
    <r>
      <rPr>
        <sz val="11"/>
        <color theme="1"/>
        <rFont val="ＭＳ Ｐゴシック"/>
        <family val="3"/>
        <charset val="128"/>
        <scheme val="minor"/>
      </rPr>
      <t>香食品有限公司</t>
    </r>
  </si>
  <si>
    <r>
      <t>果酒（含酒精）; 葡萄酒; 杜松子酒;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汽酒; 露酒; 黄酒; 米酒</t>
    </r>
  </si>
  <si>
    <r>
      <t>动</t>
    </r>
    <r>
      <rPr>
        <sz val="11"/>
        <color theme="1"/>
        <rFont val="ＭＳ Ｐゴシック"/>
        <family val="3"/>
        <charset val="128"/>
        <scheme val="minor"/>
      </rPr>
      <t>力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运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</si>
  <si>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山水清源啤酒有限公司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</si>
  <si>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蒸煮提取物（利口酒和烈酒）;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</t>
    </r>
  </si>
  <si>
    <r>
      <t>艳</t>
    </r>
    <r>
      <rPr>
        <sz val="11"/>
        <color theme="1"/>
        <rFont val="ＭＳ Ｐゴシック"/>
        <family val="3"/>
        <charset val="128"/>
        <scheme val="minor"/>
      </rPr>
      <t>香吉</t>
    </r>
    <r>
      <rPr>
        <sz val="11"/>
        <color theme="1"/>
        <rFont val="ＭＳ Ｐゴシック"/>
        <family val="3"/>
        <charset val="134"/>
        <scheme val="minor"/>
      </rPr>
      <t>红</t>
    </r>
  </si>
  <si>
    <t>邢瑞雪</t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</si>
  <si>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</si>
  <si>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动</t>
    </r>
    <r>
      <rPr>
        <sz val="11"/>
        <color theme="1"/>
        <rFont val="ＭＳ Ｐゴシック"/>
        <family val="3"/>
        <charset val="128"/>
        <scheme val="minor"/>
      </rPr>
      <t>力今宵</t>
    </r>
  </si>
  <si>
    <r>
      <t>举</t>
    </r>
    <r>
      <rPr>
        <sz val="11"/>
        <color theme="1"/>
        <rFont val="ＭＳ Ｐゴシック"/>
        <family val="3"/>
        <charset val="128"/>
        <scheme val="minor"/>
      </rPr>
      <t>盛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</si>
  <si>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州故事与酒酒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</si>
  <si>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果酒; 葡萄酒; 黄酒; 威士忌; 青稞酒;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</si>
  <si>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t>游小希后生</t>
  </si>
  <si>
    <r>
      <t>吨</t>
    </r>
    <r>
      <rPr>
        <sz val="11"/>
        <color theme="1"/>
        <rFont val="ＭＳ Ｐゴシック"/>
        <family val="3"/>
        <charset val="134"/>
        <scheme val="minor"/>
      </rPr>
      <t>坛</t>
    </r>
    <r>
      <rPr>
        <sz val="11"/>
        <color theme="1"/>
        <rFont val="ＭＳ Ｐゴシック"/>
        <family val="3"/>
        <charset val="128"/>
        <scheme val="minor"/>
      </rPr>
      <t>老</t>
    </r>
  </si>
  <si>
    <t>蔡修</t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</si>
  <si>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白酒; 白干酒（中国白酒）; 米酒</t>
    </r>
  </si>
  <si>
    <t>FASHIONZOLA</t>
  </si>
  <si>
    <t>江璐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</si>
  <si>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</si>
  <si>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双南囍</t>
  </si>
  <si>
    <r>
      <t>西安美信信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品牌管理有限公司</t>
    </r>
  </si>
  <si>
    <r>
      <t>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葡萄酒; 果酒（含酒精）; 蜂蜜酒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</si>
  <si>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清皇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</si>
  <si>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佩卿</t>
    </r>
  </si>
  <si>
    <r>
      <t>果酒（含酒精）; 米酒; 威士忌;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蜂蜜酒;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黄酒</t>
    </r>
  </si>
  <si>
    <r>
      <t>淘水听</t>
    </r>
    <r>
      <rPr>
        <sz val="11"/>
        <color theme="1"/>
        <rFont val="ＭＳ Ｐゴシック"/>
        <family val="3"/>
        <charset val="134"/>
        <scheme val="minor"/>
      </rPr>
      <t>莺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</si>
  <si>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治市上党区葛覃文化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</si>
  <si>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黄酒;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苦味酒;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白干酒（中国白酒）; 高粱酒; 米酒</t>
    </r>
  </si>
  <si>
    <r>
      <t>恒</t>
    </r>
    <r>
      <rPr>
        <sz val="11"/>
        <color theme="1"/>
        <rFont val="ＭＳ Ｐゴシック"/>
        <family val="3"/>
        <charset val="134"/>
        <scheme val="minor"/>
      </rPr>
      <t>宫</t>
    </r>
    <r>
      <rPr>
        <sz val="11"/>
        <color theme="1"/>
        <rFont val="ＭＳ Ｐゴシック"/>
        <family val="3"/>
        <charset val="128"/>
        <scheme val="minor"/>
      </rPr>
      <t>酒坊</t>
    </r>
  </si>
  <si>
    <t>刘秀秀</t>
  </si>
  <si>
    <r>
      <t>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威士忌</t>
    </r>
  </si>
  <si>
    <t>仙儿胡同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</si>
  <si>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云岭九百米硒谷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</si>
  <si>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食用酒精; 梅酒;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米酒; 葡萄酒; 果酒</t>
    </r>
  </si>
  <si>
    <r>
      <t>深</t>
    </r>
    <r>
      <rPr>
        <sz val="11"/>
        <color theme="1"/>
        <rFont val="ＭＳ Ｐゴシック"/>
        <family val="3"/>
        <charset val="134"/>
        <scheme val="minor"/>
      </rPr>
      <t>铂</t>
    </r>
  </si>
  <si>
    <r>
      <t>深圳市深</t>
    </r>
    <r>
      <rPr>
        <sz val="11"/>
        <color theme="1"/>
        <rFont val="ＭＳ Ｐゴシック"/>
        <family val="3"/>
        <charset val="134"/>
        <scheme val="minor"/>
      </rPr>
      <t>铂</t>
    </r>
    <r>
      <rPr>
        <sz val="11"/>
        <color theme="1"/>
        <rFont val="ＭＳ Ｐゴシック"/>
        <family val="3"/>
        <charset val="128"/>
        <scheme val="minor"/>
      </rPr>
      <t>新材科技集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</si>
  <si>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食用酒精; 白干酒（中国白酒）; 含酒精的气泡水; 黄酒; 米酒</t>
    </r>
  </si>
  <si>
    <t>老官洲</t>
  </si>
  <si>
    <r>
      <t>玉山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蕉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店</t>
    </r>
  </si>
  <si>
    <r>
      <t>葡萄酒;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果酒（含酒精）; 黄酒; 白酒;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</t>
    </r>
  </si>
  <si>
    <t>夏国忠</t>
  </si>
  <si>
    <r>
      <t>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黄酒;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</si>
  <si>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老</t>
    </r>
    <r>
      <rPr>
        <sz val="11"/>
        <color theme="1"/>
        <rFont val="ＭＳ Ｐゴシック"/>
        <family val="3"/>
        <charset val="134"/>
        <scheme val="minor"/>
      </rPr>
      <t>实罗</t>
    </r>
  </si>
  <si>
    <r>
      <t>宜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报</t>
    </r>
    <r>
      <rPr>
        <sz val="11"/>
        <color theme="1"/>
        <rFont val="ＭＳ Ｐゴシック"/>
        <family val="3"/>
        <charset val="128"/>
        <scheme val="minor"/>
      </rPr>
      <t>网互</t>
    </r>
    <r>
      <rPr>
        <sz val="11"/>
        <color theme="1"/>
        <rFont val="ＭＳ Ｐゴシック"/>
        <family val="3"/>
        <charset val="134"/>
        <scheme val="minor"/>
      </rPr>
      <t>动</t>
    </r>
    <r>
      <rPr>
        <sz val="11"/>
        <color theme="1"/>
        <rFont val="ＭＳ Ｐゴシック"/>
        <family val="3"/>
        <charset val="128"/>
        <scheme val="minor"/>
      </rPr>
      <t>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</si>
  <si>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开胃酒; 果酒（含酒精）; 白酒; 米酒; 茴香酒</t>
    </r>
  </si>
  <si>
    <r>
      <t>缇</t>
    </r>
    <r>
      <rPr>
        <sz val="11"/>
        <color theme="1"/>
        <rFont val="ＭＳ Ｐゴシック"/>
        <family val="3"/>
        <charset val="128"/>
        <scheme val="minor"/>
      </rPr>
      <t>菲酒庄</t>
    </r>
  </si>
  <si>
    <r>
      <t>谷城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墨冬昕商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店(个体工商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)</t>
    </r>
  </si>
  <si>
    <r>
      <t>黄酒;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葡萄酒; 蒸煮提取物（利口酒和烈酒）;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</si>
  <si>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t>平旗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</si>
  <si>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州宏</t>
    </r>
    <r>
      <rPr>
        <sz val="11"/>
        <color theme="1"/>
        <rFont val="ＭＳ Ｐゴシック"/>
        <family val="3"/>
        <charset val="134"/>
        <scheme val="minor"/>
      </rPr>
      <t>亚润泽绿</t>
    </r>
    <r>
      <rPr>
        <sz val="11"/>
        <color theme="1"/>
        <rFont val="ＭＳ Ｐゴシック"/>
        <family val="3"/>
        <charset val="128"/>
        <scheme val="minor"/>
      </rPr>
      <t>色生</t>
    </r>
    <r>
      <rPr>
        <sz val="11"/>
        <color theme="1"/>
        <rFont val="ＭＳ Ｐゴシック"/>
        <family val="3"/>
        <charset val="134"/>
        <scheme val="minor"/>
      </rPr>
      <t>态发</t>
    </r>
    <r>
      <rPr>
        <sz val="11"/>
        <color theme="1"/>
        <rFont val="ＭＳ Ｐゴシック"/>
        <family val="3"/>
        <charset val="128"/>
        <scheme val="minor"/>
      </rPr>
      <t>展有限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</si>
  <si>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蒸煮提取物（利口酒和烈酒）; 葡萄酒; 利口酒; 果酒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</si>
  <si>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砖</t>
    </r>
  </si>
  <si>
    <r>
      <t xml:space="preserve">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朗姆酒;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米酒</t>
    </r>
  </si>
  <si>
    <r>
      <t xml:space="preserve">成裕福 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品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</si>
  <si>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市茅台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酒源酒厂</t>
    </r>
  </si>
  <si>
    <r>
      <t>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</si>
  <si>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车</t>
    </r>
    <r>
      <rPr>
        <sz val="11"/>
        <color theme="1"/>
        <rFont val="ＭＳ Ｐゴシック"/>
        <family val="3"/>
        <charset val="128"/>
        <scheme val="minor"/>
      </rPr>
      <t>菲酒庄</t>
    </r>
  </si>
  <si>
    <t>邱健文</t>
  </si>
  <si>
    <t>馝富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</si>
  <si>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丝</t>
    </r>
    <r>
      <rPr>
        <sz val="11"/>
        <color theme="1"/>
        <rFont val="ＭＳ Ｐゴシック"/>
        <family val="3"/>
        <charset val="128"/>
        <scheme val="minor"/>
      </rPr>
      <t>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</si>
  <si>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清酒（日本米酒）;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</si>
  <si>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城中行</t>
  </si>
  <si>
    <r>
      <t>华</t>
    </r>
    <r>
      <rPr>
        <sz val="11"/>
        <color theme="1"/>
        <rFont val="ＭＳ Ｐゴシック"/>
        <family val="3"/>
        <charset val="128"/>
        <scheme val="minor"/>
      </rPr>
      <t>海恒</t>
    </r>
    <r>
      <rPr>
        <sz val="11"/>
        <color theme="1"/>
        <rFont val="ＭＳ Ｐゴシック"/>
        <family val="3"/>
        <charset val="134"/>
        <scheme val="minor"/>
      </rPr>
      <t>辉</t>
    </r>
    <r>
      <rPr>
        <sz val="11"/>
        <color theme="1"/>
        <rFont val="ＭＳ Ｐゴシック"/>
        <family val="3"/>
        <charset val="128"/>
        <scheme val="minor"/>
      </rPr>
      <t>（深圳）商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</si>
  <si>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青稞酒; 黄酒; 开胃酒; 米酒; 葡萄酒</t>
    </r>
  </si>
  <si>
    <r>
      <t>成裕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 xml:space="preserve"> 臻品</t>
    </r>
  </si>
  <si>
    <r>
      <t>成裕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 xml:space="preserve"> 私人定制</t>
    </r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</si>
  <si>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</si>
  <si>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荞</t>
    </r>
    <r>
      <rPr>
        <sz val="11"/>
        <color theme="1"/>
        <rFont val="ＭＳ Ｐゴシック"/>
        <family val="3"/>
        <charset val="128"/>
        <scheme val="minor"/>
      </rPr>
      <t>莫庄园</t>
    </r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</si>
  <si>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葡萄酒; 米酒;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白酒</t>
    </r>
  </si>
  <si>
    <t>成裕福 臻品</t>
  </si>
  <si>
    <t>成裕福 珍品</t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</si>
  <si>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</si>
  <si>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唐国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</si>
  <si>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 xml:space="preserve">果酒（含酒精）;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利口酒; 威士忌;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</si>
  <si>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火神</t>
    </r>
    <r>
      <rPr>
        <sz val="11"/>
        <color theme="1"/>
        <rFont val="ＭＳ Ｐゴシック"/>
        <family val="3"/>
        <charset val="134"/>
        <scheme val="minor"/>
      </rPr>
      <t>鸟</t>
    </r>
    <r>
      <rPr>
        <sz val="11"/>
        <color theme="1"/>
        <rFont val="ＭＳ Ｐゴシック"/>
        <family val="3"/>
        <charset val="128"/>
        <scheme val="minor"/>
      </rPr>
      <t>城堡</t>
    </r>
  </si>
  <si>
    <r>
      <t>李</t>
    </r>
    <r>
      <rPr>
        <sz val="11"/>
        <color theme="1"/>
        <rFont val="ＭＳ Ｐゴシック"/>
        <family val="3"/>
        <charset val="134"/>
        <scheme val="minor"/>
      </rPr>
      <t>晖</t>
    </r>
  </si>
  <si>
    <r>
      <t>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威士忌;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</si>
  <si>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潜力牛</t>
  </si>
  <si>
    <r>
      <t>石</t>
    </r>
    <r>
      <rPr>
        <sz val="11"/>
        <color theme="1"/>
        <rFont val="ＭＳ Ｐゴシック"/>
        <family val="3"/>
        <charset val="134"/>
        <scheme val="minor"/>
      </rPr>
      <t>伟</t>
    </r>
    <r>
      <rPr>
        <sz val="11"/>
        <color theme="1"/>
        <rFont val="ＭＳ Ｐゴシック"/>
        <family val="3"/>
        <charset val="128"/>
        <scheme val="minor"/>
      </rPr>
      <t>江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</si>
  <si>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蜂蜜酒; 白酒; 清酒（日本米酒）;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</si>
  <si>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动</t>
    </r>
    <r>
      <rPr>
        <sz val="11"/>
        <color theme="1"/>
        <rFont val="ＭＳ Ｐゴシック"/>
        <family val="3"/>
        <charset val="128"/>
        <scheme val="minor"/>
      </rPr>
      <t>力火</t>
    </r>
    <r>
      <rPr>
        <sz val="11"/>
        <color theme="1"/>
        <rFont val="ＭＳ Ｐゴシック"/>
        <family val="3"/>
        <charset val="134"/>
        <scheme val="minor"/>
      </rPr>
      <t>车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</si>
  <si>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仙津保健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料食品有限公司</t>
    </r>
  </si>
  <si>
    <r>
      <t xml:space="preserve">果酒（含酒精）;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</si>
  <si>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足梦人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</si>
  <si>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州万泰</t>
    </r>
    <r>
      <rPr>
        <sz val="11"/>
        <color theme="1"/>
        <rFont val="ＭＳ Ｐゴシック"/>
        <family val="3"/>
        <charset val="134"/>
        <scheme val="minor"/>
      </rPr>
      <t>银</t>
    </r>
    <r>
      <rPr>
        <sz val="11"/>
        <color theme="1"/>
        <rFont val="ＭＳ Ｐゴシック"/>
        <family val="3"/>
        <charset val="128"/>
        <scheme val="minor"/>
      </rPr>
      <t>丰商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</si>
  <si>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汽酒; 米酒; 葡萄酒; 朗姆酒; 苹果酒; 果酒（含酒精）</t>
    </r>
  </si>
  <si>
    <t>食螺人</t>
  </si>
  <si>
    <r>
      <t>山西快谷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</si>
  <si>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果酒; 甜酒; 威士忌</t>
    </r>
  </si>
  <si>
    <r>
      <t>团结</t>
    </r>
    <r>
      <rPr>
        <sz val="11"/>
        <color theme="1"/>
        <rFont val="ＭＳ Ｐゴシック"/>
        <family val="3"/>
        <charset val="128"/>
        <scheme val="minor"/>
      </rPr>
      <t>井</t>
    </r>
  </si>
  <si>
    <r>
      <t>韩</t>
    </r>
    <r>
      <rPr>
        <sz val="11"/>
        <color theme="1"/>
        <rFont val="ＭＳ Ｐゴシック"/>
        <family val="3"/>
        <charset val="128"/>
        <scheme val="minor"/>
      </rPr>
      <t>学</t>
    </r>
    <r>
      <rPr>
        <sz val="11"/>
        <color theme="1"/>
        <rFont val="ＭＳ Ｐゴシック"/>
        <family val="3"/>
        <charset val="134"/>
        <scheme val="minor"/>
      </rPr>
      <t>记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</si>
  <si>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青稞酒; 葡萄酒</t>
    </r>
  </si>
  <si>
    <t>启承九鹿原</t>
  </si>
  <si>
    <r>
      <t>邬东</t>
    </r>
    <r>
      <rPr>
        <sz val="11"/>
        <color theme="1"/>
        <rFont val="ＭＳ Ｐゴシック"/>
        <family val="3"/>
        <charset val="128"/>
        <scheme val="minor"/>
      </rPr>
      <t>升******************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</si>
  <si>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果酒; 白酒; 梅酒;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黄酒; 果酒（含酒精）</t>
    </r>
  </si>
  <si>
    <r>
      <t>成裕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 xml:space="preserve"> 私人定制</t>
    </r>
  </si>
  <si>
    <r>
      <t>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果酒（含酒精）;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</si>
  <si>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r>
      <t>成裕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 xml:space="preserve"> 臻品</t>
    </r>
  </si>
  <si>
    <t>成裕福 尊品</t>
  </si>
  <si>
    <r>
      <t>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</si>
  <si>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成裕福 精品</t>
  </si>
  <si>
    <t>李白魁</t>
  </si>
  <si>
    <r>
      <t>骆</t>
    </r>
    <r>
      <rPr>
        <sz val="11"/>
        <color theme="1"/>
        <rFont val="ＭＳ Ｐゴシック"/>
        <family val="3"/>
        <charset val="128"/>
        <scheme val="minor"/>
      </rPr>
      <t>利琴</t>
    </r>
  </si>
  <si>
    <r>
      <t>果酒; 果酒（含酒精）;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白干酒（中国白酒）</t>
    </r>
  </si>
  <si>
    <t>民天琥珀光</t>
  </si>
  <si>
    <r>
      <t>福州民天集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</si>
  <si>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威士忌;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露酒;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黄酒</t>
    </r>
  </si>
  <si>
    <r>
      <t>鹿樽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</si>
  <si>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谷城</t>
    </r>
    <r>
      <rPr>
        <sz val="11"/>
        <color theme="1"/>
        <rFont val="ＭＳ Ｐゴシック"/>
        <family val="3"/>
        <charset val="134"/>
        <scheme val="minor"/>
      </rPr>
      <t>县缘</t>
    </r>
    <r>
      <rPr>
        <sz val="11"/>
        <color theme="1"/>
        <rFont val="ＭＳ Ｐゴシック"/>
        <family val="3"/>
        <charset val="128"/>
        <scheme val="minor"/>
      </rPr>
      <t>希君商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店(个体工商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)</t>
    </r>
  </si>
  <si>
    <r>
      <t>成裕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 xml:space="preserve"> 私人珍藏</t>
    </r>
  </si>
  <si>
    <r>
      <t>厨哥</t>
    </r>
    <r>
      <rPr>
        <sz val="11"/>
        <color theme="1"/>
        <rFont val="ＭＳ Ｐゴシック"/>
        <family val="3"/>
        <charset val="134"/>
        <scheme val="minor"/>
      </rPr>
      <t>艺</t>
    </r>
  </si>
  <si>
    <t>黄海波（******************）</t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</si>
  <si>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含酒精的气泡水;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高粱酒;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</si>
  <si>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贝</t>
    </r>
    <r>
      <rPr>
        <sz val="11"/>
        <color theme="1"/>
        <rFont val="ＭＳ Ｐゴシック"/>
        <family val="3"/>
        <charset val="128"/>
        <scheme val="minor"/>
      </rPr>
      <t>泓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</si>
  <si>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葡萄酒; 黄酒;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蒸煮提取物（利口酒和烈酒）;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</si>
  <si>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r>
      <t>南裕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青</t>
    </r>
    <r>
      <rPr>
        <sz val="11"/>
        <color theme="1"/>
        <rFont val="ＭＳ Ｐゴシック"/>
        <family val="3"/>
        <charset val="134"/>
        <scheme val="minor"/>
      </rPr>
      <t>砖</t>
    </r>
    <r>
      <rPr>
        <sz val="11"/>
        <color theme="1"/>
        <rFont val="ＭＳ Ｐゴシック"/>
        <family val="3"/>
        <charset val="128"/>
        <scheme val="minor"/>
      </rPr>
      <t>小窖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</si>
  <si>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米酒;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朗姆酒</t>
    </r>
  </si>
  <si>
    <t>唐百万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</si>
  <si>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市台海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酒作坊</t>
    </r>
  </si>
  <si>
    <r>
      <t>蒸煮提取物（利口酒和烈酒）;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</t>
    </r>
  </si>
  <si>
    <t>礼道名品</t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</si>
  <si>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黄酒</t>
    </r>
  </si>
  <si>
    <r>
      <t>桂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天下</t>
    </r>
  </si>
  <si>
    <r>
      <t>甄国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</si>
  <si>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高粱酒; 白酒; 白干酒（中国白酒）</t>
    </r>
  </si>
  <si>
    <r>
      <t>牛哥</t>
    </r>
    <r>
      <rPr>
        <sz val="11"/>
        <color theme="1"/>
        <rFont val="ＭＳ Ｐゴシック"/>
        <family val="3"/>
        <charset val="134"/>
        <scheme val="minor"/>
      </rPr>
      <t>传说</t>
    </r>
  </si>
  <si>
    <t>牛健</t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</si>
  <si>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蜂蜜酒;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米酒</t>
    </r>
  </si>
  <si>
    <r>
      <t>圣坎佩</t>
    </r>
    <r>
      <rPr>
        <sz val="11"/>
        <color theme="1"/>
        <rFont val="ＭＳ Ｐゴシック"/>
        <family val="3"/>
        <charset val="134"/>
        <scheme val="minor"/>
      </rPr>
      <t>图</t>
    </r>
    <r>
      <rPr>
        <sz val="11"/>
        <color theme="1"/>
        <rFont val="ＭＳ Ｐゴシック"/>
        <family val="3"/>
        <charset val="128"/>
        <scheme val="minor"/>
      </rPr>
      <t>堡 SANCAPITAL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</si>
  <si>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运河之都生</t>
    </r>
    <r>
      <rPr>
        <sz val="11"/>
        <color theme="1"/>
        <rFont val="ＭＳ Ｐゴシック"/>
        <family val="3"/>
        <charset val="134"/>
        <scheme val="minor"/>
      </rPr>
      <t>态</t>
    </r>
    <r>
      <rPr>
        <sz val="11"/>
        <color theme="1"/>
        <rFont val="ＭＳ Ｐゴシック"/>
        <family val="3"/>
        <charset val="128"/>
        <scheme val="minor"/>
      </rPr>
      <t>酒庄有限公司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</si>
  <si>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蜂蜜酒; 烈酒;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蒸煮提取物（利口酒和烈酒）;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</si>
  <si>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成裕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品</t>
    </r>
  </si>
  <si>
    <r>
      <t>葡萄酒; 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</si>
  <si>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克治</t>
  </si>
  <si>
    <r>
      <t>纳</t>
    </r>
    <r>
      <rPr>
        <sz val="11"/>
        <color theme="1"/>
        <rFont val="ＭＳ Ｐゴシック"/>
        <family val="3"/>
        <charset val="128"/>
        <scheme val="minor"/>
      </rPr>
      <t>雍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新房</t>
    </r>
    <r>
      <rPr>
        <sz val="11"/>
        <color theme="1"/>
        <rFont val="ＭＳ Ｐゴシック"/>
        <family val="3"/>
        <charset val="134"/>
        <scheme val="minor"/>
      </rPr>
      <t>乡华</t>
    </r>
    <r>
      <rPr>
        <sz val="11"/>
        <color theme="1"/>
        <rFont val="ＭＳ Ｐゴシック"/>
        <family val="3"/>
        <charset val="128"/>
        <scheme val="minor"/>
      </rPr>
      <t>冬酒厂</t>
    </r>
  </si>
  <si>
    <r>
      <t>苦味酒; 露酒;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果酒; 白干酒（中国白酒）</t>
    </r>
  </si>
  <si>
    <r>
      <t>匡</t>
    </r>
    <r>
      <rPr>
        <sz val="11"/>
        <color theme="1"/>
        <rFont val="ＭＳ Ｐゴシック"/>
        <family val="3"/>
        <charset val="134"/>
        <scheme val="minor"/>
      </rPr>
      <t>浔</t>
    </r>
    <r>
      <rPr>
        <sz val="11"/>
        <color theme="1"/>
        <rFont val="ＭＳ Ｐゴシック"/>
        <family val="3"/>
        <charset val="128"/>
        <scheme val="minor"/>
      </rPr>
      <t>天下悠</t>
    </r>
  </si>
  <si>
    <r>
      <t>九江</t>
    </r>
    <r>
      <rPr>
        <sz val="11"/>
        <color theme="1"/>
        <rFont val="ＭＳ Ｐゴシック"/>
        <family val="3"/>
        <charset val="134"/>
        <scheme val="minor"/>
      </rPr>
      <t>庐</t>
    </r>
    <r>
      <rPr>
        <sz val="11"/>
        <color theme="1"/>
        <rFont val="ＭＳ Ｐゴシック"/>
        <family val="3"/>
        <charset val="128"/>
        <scheme val="minor"/>
      </rPr>
      <t>山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景区</t>
    </r>
    <r>
      <rPr>
        <sz val="11"/>
        <color theme="1"/>
        <rFont val="ＭＳ Ｐゴシック"/>
        <family val="3"/>
        <charset val="134"/>
        <scheme val="minor"/>
      </rPr>
      <t>润庐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</si>
  <si>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葡萄酒; 白酒; 开胃酒; 高粱酒;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烈性干酒;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米酒; 白干酒（中国白酒）</t>
    </r>
  </si>
  <si>
    <t>阿才有品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</si>
  <si>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亿锦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</si>
  <si>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果酒（含酒精）;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青稞酒; 汽酒; 黄酒; 白酒; 米酒</t>
    </r>
  </si>
  <si>
    <t>THE SHAWSHANK REDEMPTION</t>
  </si>
  <si>
    <r>
      <t>红</t>
    </r>
    <r>
      <rPr>
        <sz val="11"/>
        <color theme="1"/>
        <rFont val="ＭＳ Ｐゴシック"/>
        <family val="3"/>
        <charset val="128"/>
        <scheme val="minor"/>
      </rPr>
      <t>星日用品有限公司</t>
    </r>
  </si>
  <si>
    <r>
      <t xml:space="preserve">威士忌; 果酒; 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</si>
  <si>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喜誉</t>
    </r>
  </si>
  <si>
    <r>
      <t>发</t>
    </r>
    <r>
      <rPr>
        <sz val="11"/>
        <color theme="1"/>
        <rFont val="ＭＳ Ｐゴシック"/>
        <family val="3"/>
        <charset val="128"/>
        <scheme val="minor"/>
      </rPr>
      <t>者</t>
    </r>
  </si>
  <si>
    <r>
      <t>寻</t>
    </r>
    <r>
      <rPr>
        <sz val="11"/>
        <color theme="1"/>
        <rFont val="ＭＳ Ｐゴシック"/>
        <family val="3"/>
        <charset val="129"/>
        <scheme val="minor"/>
      </rPr>
      <t>燊</t>
    </r>
  </si>
  <si>
    <r>
      <t>果酒（含酒精）;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食用酒精; 白酒; 烈酒; 清酒; 黄酒</t>
    </r>
  </si>
  <si>
    <r>
      <t>成裕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 xml:space="preserve"> 尊品</t>
    </r>
  </si>
  <si>
    <t>前程高峰</t>
  </si>
  <si>
    <t>王科</t>
  </si>
  <si>
    <r>
      <t xml:space="preserve">果酒（含酒精）; 威士忌; 白酒; 米酒;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白葡萄酒; 梅酒; 清酒; 伏特加酒</t>
    </r>
  </si>
  <si>
    <r>
      <t>仙</t>
    </r>
    <r>
      <rPr>
        <sz val="11"/>
        <color theme="1"/>
        <rFont val="ＭＳ Ｐゴシック"/>
        <family val="3"/>
        <charset val="134"/>
        <scheme val="minor"/>
      </rPr>
      <t>缘门</t>
    </r>
  </si>
  <si>
    <t>邱雪英</t>
  </si>
  <si>
    <r>
      <t xml:space="preserve">米酒; 果酒（含酒精）; 葡萄酒; 白酒;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黄酒;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</si>
  <si>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筑酒</t>
    </r>
    <r>
      <rPr>
        <sz val="11"/>
        <color theme="1"/>
        <rFont val="ＭＳ Ｐゴシック"/>
        <family val="3"/>
        <charset val="134"/>
        <scheme val="minor"/>
      </rPr>
      <t>鲁</t>
    </r>
    <r>
      <rPr>
        <sz val="11"/>
        <color theme="1"/>
        <rFont val="ＭＳ Ｐゴシック"/>
        <family val="3"/>
        <charset val="128"/>
        <scheme val="minor"/>
      </rPr>
      <t>班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</si>
  <si>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州筑酒酒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</si>
  <si>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黄酒; 米酒; 青稞酒;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高粱酒; 果酒;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</si>
  <si>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贵战</t>
  </si>
  <si>
    <t>李清波</t>
  </si>
  <si>
    <r>
      <t xml:space="preserve">果酒（含酒精）; 葡萄酒; 利口酒; 蜂蜜酒;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果酒; 威士忌</t>
    </r>
  </si>
  <si>
    <r>
      <t>成裕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 xml:space="preserve"> 私藏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</si>
  <si>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</si>
  <si>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成裕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 xml:space="preserve"> 私藏</t>
    </r>
  </si>
  <si>
    <r>
      <t>老</t>
    </r>
    <r>
      <rPr>
        <sz val="11"/>
        <color theme="1"/>
        <rFont val="ＭＳ Ｐゴシック"/>
        <family val="3"/>
        <charset val="134"/>
        <scheme val="minor"/>
      </rPr>
      <t>卫</t>
    </r>
    <r>
      <rPr>
        <sz val="11"/>
        <color theme="1"/>
        <rFont val="ＭＳ Ｐゴシック"/>
        <family val="3"/>
        <charset val="128"/>
        <scheme val="minor"/>
      </rPr>
      <t>津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酒</t>
    </r>
  </si>
  <si>
    <t>王德芳</t>
  </si>
  <si>
    <r>
      <t xml:space="preserve">白酒; 果酒（含酒精）; 清酒（日本米酒）; 黄酒; 蒸煮提取物（利口酒和烈酒）; 高粱酒;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日本梅子酒;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</si>
  <si>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企</t>
    </r>
    <r>
      <rPr>
        <sz val="11"/>
        <color theme="1"/>
        <rFont val="ＭＳ Ｐゴシック"/>
        <family val="3"/>
        <charset val="134"/>
        <scheme val="minor"/>
      </rPr>
      <t>联</t>
    </r>
  </si>
  <si>
    <r>
      <t>连</t>
    </r>
    <r>
      <rPr>
        <sz val="11"/>
        <color theme="1"/>
        <rFont val="ＭＳ Ｐゴシック"/>
        <family val="3"/>
        <charset val="128"/>
        <scheme val="minor"/>
      </rPr>
      <t>云港中</t>
    </r>
    <r>
      <rPr>
        <sz val="11"/>
        <color theme="1"/>
        <rFont val="ＭＳ Ｐゴシック"/>
        <family val="3"/>
        <charset val="134"/>
        <scheme val="minor"/>
      </rPr>
      <t>远</t>
    </r>
    <r>
      <rPr>
        <sz val="11"/>
        <color theme="1"/>
        <rFont val="ＭＳ Ｐゴシック"/>
        <family val="3"/>
        <charset val="128"/>
        <scheme val="minor"/>
      </rPr>
      <t>智能物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网科技有限公司</t>
    </r>
  </si>
  <si>
    <r>
      <t xml:space="preserve">黄酒;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果酒（含酒精）; 葡萄酒</t>
    </r>
  </si>
  <si>
    <r>
      <t>成裕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 xml:space="preserve"> 尊品</t>
    </r>
  </si>
  <si>
    <r>
      <t>彩上</t>
    </r>
    <r>
      <rPr>
        <sz val="11"/>
        <color theme="1"/>
        <rFont val="ＭＳ Ｐゴシック"/>
        <family val="3"/>
        <charset val="134"/>
        <scheme val="minor"/>
      </rPr>
      <t>丝</t>
    </r>
    <r>
      <rPr>
        <sz val="11"/>
        <color theme="1"/>
        <rFont val="ＭＳ Ｐゴシック"/>
        <family val="3"/>
        <charset val="128"/>
        <scheme val="minor"/>
      </rPr>
      <t>路</t>
    </r>
  </si>
  <si>
    <r>
      <t>新疆疆中御宝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</si>
  <si>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餐后酒（利口酒和烈酒）;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果酒; 汽酒</t>
    </r>
  </si>
  <si>
    <r>
      <t>成裕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 xml:space="preserve"> 私人珍藏</t>
    </r>
  </si>
  <si>
    <t>金穗山</t>
  </si>
  <si>
    <r>
      <t>许</t>
    </r>
    <r>
      <rPr>
        <sz val="11"/>
        <color theme="1"/>
        <rFont val="ＭＳ Ｐゴシック"/>
        <family val="3"/>
        <charset val="128"/>
        <scheme val="minor"/>
      </rPr>
      <t>作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</si>
  <si>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 xml:space="preserve">黄酒; 白酒; 烈酒; 甜酒; 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</si>
  <si>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众</t>
    </r>
    <r>
      <rPr>
        <sz val="11"/>
        <color theme="1"/>
        <rFont val="ＭＳ Ｐゴシック"/>
        <family val="3"/>
        <charset val="134"/>
        <scheme val="minor"/>
      </rPr>
      <t>寻</t>
    </r>
    <r>
      <rPr>
        <sz val="11"/>
        <color theme="1"/>
        <rFont val="ＭＳ Ｐゴシック"/>
        <family val="3"/>
        <charset val="128"/>
        <scheme val="minor"/>
      </rPr>
      <t>天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</si>
  <si>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市众</t>
    </r>
    <r>
      <rPr>
        <sz val="11"/>
        <color theme="1"/>
        <rFont val="ＭＳ Ｐゴシック"/>
        <family val="3"/>
        <charset val="134"/>
        <scheme val="minor"/>
      </rPr>
      <t>寻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</si>
  <si>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苹果酒; 酸酒（低等葡萄酒）; 清酒（日本米酒）; 米酒; 朗姆酒; 青稞酒;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甜果酒</t>
    </r>
  </si>
  <si>
    <t>鬲禾</t>
  </si>
  <si>
    <r>
      <t>联</t>
    </r>
    <r>
      <rPr>
        <sz val="11"/>
        <color theme="1"/>
        <rFont val="ＭＳ Ｐゴシック"/>
        <family val="3"/>
        <charset val="128"/>
        <scheme val="minor"/>
      </rPr>
      <t>合利康特殊用途食品研究股份有限公司</t>
    </r>
  </si>
  <si>
    <t>鬲禾醒</t>
  </si>
  <si>
    <t>MM</t>
  </si>
  <si>
    <t>郭保安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</si>
  <si>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开胃酒; 果酒; 梨酒; 黄酒; 葡萄酒;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高粱酒; 白酒</t>
    </r>
  </si>
  <si>
    <t>德弘天下</t>
  </si>
  <si>
    <r>
      <t>深圳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翔盛世投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</si>
  <si>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白酒; 青稞酒;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</si>
  <si>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赤情</t>
    </r>
    <r>
      <rPr>
        <sz val="11"/>
        <color theme="1"/>
        <rFont val="ＭＳ Ｐゴシック"/>
        <family val="3"/>
        <charset val="134"/>
        <scheme val="minor"/>
      </rPr>
      <t>飞扬</t>
    </r>
  </si>
  <si>
    <t>毛志学</t>
  </si>
  <si>
    <r>
      <t>薄荷酒; 果酒（含酒精）; 苦味酒; 茴芹酒（利口酒）; 米酒; 苹果酒; 葡萄酒; 蜂蜜酒;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</t>
    </r>
  </si>
  <si>
    <r>
      <t>ISSARA 逸</t>
    </r>
    <r>
      <rPr>
        <sz val="11"/>
        <color theme="1"/>
        <rFont val="ＭＳ Ｐゴシック"/>
        <family val="3"/>
        <charset val="134"/>
        <scheme val="minor"/>
      </rPr>
      <t>飒</t>
    </r>
  </si>
  <si>
    <r>
      <t>塞外七星葡萄酒技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（宁夏）有限公司</t>
    </r>
  </si>
  <si>
    <r>
      <t>白酒; 果酒（含酒精）;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葡萄酒; 清酒; 米酒</t>
    </r>
  </si>
  <si>
    <t>皮尚坊</t>
  </si>
  <si>
    <r>
      <t>四川聚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酒阳商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</si>
  <si>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果酒（含酒精）; 开胃酒;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</t>
    </r>
  </si>
  <si>
    <t>伊美旖</t>
  </si>
  <si>
    <t>杭州婺美医院管理有限公司</t>
  </si>
  <si>
    <r>
      <t>葡萄酒;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威士忌; 薄荷酒;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</si>
  <si>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川滇佰</t>
    </r>
    <r>
      <rPr>
        <sz val="11"/>
        <color theme="1"/>
        <rFont val="ＭＳ Ｐゴシック"/>
        <family val="3"/>
        <charset val="134"/>
        <scheme val="minor"/>
      </rPr>
      <t>创</t>
    </r>
  </si>
  <si>
    <r>
      <t>四川川滇佰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酒庄有限公司</t>
    </r>
  </si>
  <si>
    <r>
      <t>汽酒; 果酒（含酒精）; 葡萄酒;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</si>
  <si>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叶</t>
    </r>
    <r>
      <rPr>
        <sz val="11"/>
        <color theme="1"/>
        <rFont val="ＭＳ Ｐゴシック"/>
        <family val="3"/>
        <charset val="134"/>
        <scheme val="minor"/>
      </rPr>
      <t>隐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</si>
  <si>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江小白品牌管理有限公司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</si>
  <si>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威士忌</t>
    </r>
  </si>
  <si>
    <r>
      <t>永</t>
    </r>
    <r>
      <rPr>
        <sz val="11"/>
        <color theme="1"/>
        <rFont val="ＭＳ Ｐゴシック"/>
        <family val="3"/>
        <charset val="134"/>
        <scheme val="minor"/>
      </rPr>
      <t>谦</t>
    </r>
  </si>
  <si>
    <t>徐承波</t>
  </si>
  <si>
    <r>
      <t>果酒（含酒精）; 蒸煮提取物（利口酒和烈酒）; 白酒; 烈酒;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</si>
  <si>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每日初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</si>
  <si>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臻可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生物科技有限公司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</si>
  <si>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利口酒;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</si>
  <si>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再堂</t>
    </r>
  </si>
  <si>
    <r>
      <t>北京格子供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</si>
  <si>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果酒;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食用酒精;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</t>
    </r>
  </si>
  <si>
    <t>葵渡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</si>
  <si>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江楠生物科技有限公司</t>
    </r>
  </si>
  <si>
    <r>
      <t>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高粱酒; 烈酒; 清酒;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青梅酒;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露酒</t>
    </r>
  </si>
  <si>
    <t>海大自极天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</si>
  <si>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海大集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</si>
  <si>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白酒; 果酒;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汽酒; 水果汽酒; 白干酒（中国白酒）;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</si>
  <si>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金窖善</t>
  </si>
  <si>
    <r>
      <t>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钰</t>
    </r>
    <r>
      <rPr>
        <sz val="11"/>
        <color theme="1"/>
        <rFont val="ＭＳ Ｐゴシック"/>
        <family val="3"/>
        <charset val="128"/>
        <scheme val="minor"/>
      </rPr>
      <t>杰酒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</si>
  <si>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汽酒; 黄酒; 白酒; 伏特加酒; 开胃酒;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果酒（含酒精）</t>
    </r>
  </si>
  <si>
    <t>茗渊淳</t>
  </si>
  <si>
    <r>
      <t>云南粮博</t>
    </r>
    <r>
      <rPr>
        <sz val="11"/>
        <color theme="1"/>
        <rFont val="ＭＳ Ｐゴシック"/>
        <family val="3"/>
        <charset val="134"/>
        <scheme val="minor"/>
      </rPr>
      <t>汇农业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</si>
  <si>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</t>
    </r>
  </si>
  <si>
    <t>程治平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</si>
  <si>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州董程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</si>
  <si>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 xml:space="preserve">薄荷酒; 果酒（含酒精）; 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青稞酒; 食用酒精; 米酒</t>
    </r>
  </si>
  <si>
    <r>
      <t>理</t>
    </r>
    <r>
      <rPr>
        <sz val="11"/>
        <color theme="1"/>
        <rFont val="ＭＳ Ｐゴシック"/>
        <family val="3"/>
        <charset val="134"/>
        <scheme val="minor"/>
      </rPr>
      <t>视</t>
    </r>
    <r>
      <rPr>
        <sz val="11"/>
        <color theme="1"/>
        <rFont val="ＭＳ Ｐゴシック"/>
        <family val="3"/>
        <charset val="128"/>
        <scheme val="minor"/>
      </rPr>
      <t>明</t>
    </r>
  </si>
  <si>
    <r>
      <t>指南星</t>
    </r>
    <r>
      <rPr>
        <sz val="11"/>
        <color theme="1"/>
        <rFont val="ＭＳ Ｐゴシック"/>
        <family val="3"/>
        <charset val="134"/>
        <scheme val="minor"/>
      </rPr>
      <t>视</t>
    </r>
    <r>
      <rPr>
        <sz val="11"/>
        <color theme="1"/>
        <rFont val="ＭＳ Ｐゴシック"/>
        <family val="3"/>
        <charset val="128"/>
        <scheme val="minor"/>
      </rPr>
      <t>光（武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）科技有限公司</t>
    </r>
  </si>
  <si>
    <r>
      <t>葡萄酒; 利口酒; 清酒（日本米酒）;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黄酒;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</si>
  <si>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巡康</t>
  </si>
  <si>
    <t>姜北</t>
  </si>
  <si>
    <r>
      <t>威士忌;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</si>
  <si>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氏好</t>
    </r>
  </si>
  <si>
    <t>王小渠</t>
  </si>
  <si>
    <r>
      <t xml:space="preserve">白干酒（中国白酒）;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高粱酒;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</t>
    </r>
  </si>
  <si>
    <r>
      <t>汇</t>
    </r>
    <r>
      <rPr>
        <sz val="11"/>
        <color theme="1"/>
        <rFont val="ＭＳ Ｐゴシック"/>
        <family val="3"/>
        <charset val="128"/>
        <scheme val="minor"/>
      </rPr>
      <t>旻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</si>
  <si>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葡萄酒; 白酒; 白干酒（中国白酒）;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</t>
    </r>
  </si>
  <si>
    <r>
      <t>正和</t>
    </r>
    <r>
      <rPr>
        <sz val="11"/>
        <color theme="1"/>
        <rFont val="ＭＳ Ｐゴシック"/>
        <family val="3"/>
        <charset val="134"/>
        <scheme val="minor"/>
      </rPr>
      <t>润说</t>
    </r>
  </si>
  <si>
    <r>
      <t>广州正和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</si>
  <si>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葡萄酒; 果酒（含酒精）; 开胃酒;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</si>
  <si>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全窖河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</si>
  <si>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州全窖酒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</si>
  <si>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梅酒; 黄酒; 白酒; 米酒; 果酒;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朗姆酒</t>
    </r>
  </si>
  <si>
    <t>赫熏酒庄</t>
  </si>
  <si>
    <r>
      <t>鲁</t>
    </r>
    <r>
      <rPr>
        <sz val="11"/>
        <color theme="1"/>
        <rFont val="ＭＳ Ｐゴシック"/>
        <family val="3"/>
        <charset val="128"/>
        <scheme val="minor"/>
      </rPr>
      <t>广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</si>
  <si>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</si>
  <si>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班峰王</t>
  </si>
  <si>
    <r>
      <t>中山茶金柜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</si>
  <si>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利口酒;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威士忌; 白酒</t>
    </r>
  </si>
  <si>
    <r>
      <t>全窖</t>
    </r>
    <r>
      <rPr>
        <sz val="11"/>
        <color theme="1"/>
        <rFont val="ＭＳ Ｐゴシック"/>
        <family val="3"/>
        <charset val="134"/>
        <scheme val="minor"/>
      </rPr>
      <t>兰</t>
    </r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</si>
  <si>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黄酒;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朗姆酒;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</t>
    </r>
  </si>
  <si>
    <t>BOGLE ELEMENT AL</t>
  </si>
  <si>
    <r>
      <t>波格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酒庄公司</t>
    </r>
  </si>
  <si>
    <r>
      <t>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起泡白葡萄酒; 白葡萄酒; 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</si>
  <si>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t>永基源君寿</t>
  </si>
  <si>
    <r>
      <t>河南基源酒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</si>
  <si>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米酒;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清酒</t>
    </r>
  </si>
  <si>
    <t>吉柿行</t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</si>
  <si>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泰云文化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</si>
  <si>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 xml:space="preserve">果酒（含酒精）; 苹果酒; 餐后酒（利口酒和烈酒）; 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</si>
  <si>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安暖</t>
  </si>
  <si>
    <r>
      <t>亳州市九泰商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</si>
  <si>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果酒; 高粱酒;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露酒;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青梅酒; 梅酒</t>
    </r>
  </si>
  <si>
    <r>
      <t>吾</t>
    </r>
    <r>
      <rPr>
        <sz val="11"/>
        <color theme="1"/>
        <rFont val="ＭＳ Ｐゴシック"/>
        <family val="3"/>
        <charset val="134"/>
        <scheme val="minor"/>
      </rPr>
      <t>澊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</si>
  <si>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州盛源科技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</si>
  <si>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米酒; 苹果酒;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露酒; 餐后酒（利口酒和烈酒）;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</si>
  <si>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醉美福特佳</t>
  </si>
  <si>
    <r>
      <t>安徽开</t>
    </r>
    <r>
      <rPr>
        <sz val="11"/>
        <color theme="1"/>
        <rFont val="ＭＳ Ｐゴシック"/>
        <family val="3"/>
        <charset val="134"/>
        <scheme val="minor"/>
      </rPr>
      <t>坛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</si>
  <si>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白酒; 佐餐酒; 果酒; 含酒精蛋奶酒; 加烈葡萄酒;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白干酒（中国白酒）; 清酒; 烈酒; 高粱酒</t>
    </r>
  </si>
  <si>
    <t>本村黔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</si>
  <si>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市本村酒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</si>
  <si>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白干酒（中国白酒）;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食用酒精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</si>
  <si>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琲</t>
    </r>
  </si>
  <si>
    <r>
      <t>许凤</t>
    </r>
    <r>
      <rPr>
        <sz val="11"/>
        <color theme="1"/>
        <rFont val="ＭＳ Ｐゴシック"/>
        <family val="3"/>
        <charset val="128"/>
        <scheme val="minor"/>
      </rPr>
      <t>玲</t>
    </r>
  </si>
  <si>
    <r>
      <t>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</si>
  <si>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t>SUN WU MING YIN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</si>
  <si>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省信松商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</si>
  <si>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青稞酒; 食用酒精; 米酒</t>
    </r>
  </si>
  <si>
    <t>清稻醇</t>
  </si>
  <si>
    <r>
      <t>常熟市辛庄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欧亨百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商行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</si>
  <si>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黄酒; 白酒; 米酒</t>
    </r>
  </si>
  <si>
    <r>
      <t>龙鳯</t>
    </r>
    <r>
      <rPr>
        <sz val="11"/>
        <color theme="1"/>
        <rFont val="ＭＳ Ｐゴシック"/>
        <family val="3"/>
        <charset val="128"/>
        <scheme val="minor"/>
      </rPr>
      <t>全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</si>
  <si>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春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</si>
  <si>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白酒; 青梅酒; 甜果酒; 葡萄汽酒;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</si>
  <si>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善香来</t>
  </si>
  <si>
    <r>
      <t>四川</t>
    </r>
    <r>
      <rPr>
        <sz val="11"/>
        <color theme="1"/>
        <rFont val="ＭＳ Ｐゴシック"/>
        <family val="3"/>
        <charset val="134"/>
        <scheme val="minor"/>
      </rPr>
      <t>泸</t>
    </r>
    <r>
      <rPr>
        <sz val="11"/>
        <color theme="1"/>
        <rFont val="ＭＳ Ｐゴシック"/>
        <family val="3"/>
        <charset val="128"/>
        <scheme val="minor"/>
      </rPr>
      <t>州善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</si>
  <si>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青稞酒; 黄酒; 白干酒（中国白酒）</t>
    </r>
  </si>
  <si>
    <t>熙秀</t>
  </si>
  <si>
    <r>
      <t>上海熙秀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</si>
  <si>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甜酒; 食用酒精; 白酒; 甜果酒;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</si>
  <si>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r>
      <t>倾</t>
    </r>
    <r>
      <rPr>
        <sz val="11"/>
        <color theme="1"/>
        <rFont val="ＭＳ Ｐゴシック"/>
        <family val="3"/>
        <charset val="128"/>
        <scheme val="minor"/>
      </rPr>
      <t>悠谷香</t>
    </r>
  </si>
  <si>
    <r>
      <t>定州</t>
    </r>
    <r>
      <rPr>
        <sz val="11"/>
        <color theme="1"/>
        <rFont val="ＭＳ Ｐゴシック"/>
        <family val="3"/>
        <charset val="134"/>
        <scheme val="minor"/>
      </rPr>
      <t>润乐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</si>
  <si>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果酒（含酒精）; 白酒</t>
    </r>
  </si>
  <si>
    <t>蚕三</t>
  </si>
  <si>
    <r>
      <t>鞍山辰</t>
    </r>
    <r>
      <rPr>
        <sz val="11"/>
        <color theme="1"/>
        <rFont val="ＭＳ Ｐゴシック"/>
        <family val="3"/>
        <charset val="134"/>
        <scheme val="minor"/>
      </rPr>
      <t>玺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</si>
  <si>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食用酒精; 蜂蜜酒; 白酒; 米酒; 黄酒;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 xml:space="preserve">族米酒;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葡萄酒; 清酒（日本米酒）</t>
    </r>
  </si>
  <si>
    <r>
      <t>全窖</t>
    </r>
    <r>
      <rPr>
        <sz val="11"/>
        <color theme="1"/>
        <rFont val="ＭＳ Ｐゴシック"/>
        <family val="3"/>
        <charset val="134"/>
        <scheme val="minor"/>
      </rPr>
      <t>凤</t>
    </r>
  </si>
  <si>
    <t>会川</t>
  </si>
  <si>
    <r>
      <t>会理</t>
    </r>
    <r>
      <rPr>
        <sz val="11"/>
        <color theme="1"/>
        <rFont val="ＭＳ Ｐゴシック"/>
        <family val="3"/>
        <charset val="134"/>
        <scheme val="minor"/>
      </rPr>
      <t>绿</t>
    </r>
    <r>
      <rPr>
        <sz val="11"/>
        <color theme="1"/>
        <rFont val="ＭＳ Ｐゴシック"/>
        <family val="3"/>
        <charset val="128"/>
        <scheme val="minor"/>
      </rPr>
      <t>陶文化开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</si>
  <si>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梨酒; 露酒; 苹果酒;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高粱酒</t>
    </r>
  </si>
  <si>
    <r>
      <t>山海</t>
    </r>
    <r>
      <rPr>
        <sz val="11"/>
        <color theme="1"/>
        <rFont val="ＭＳ Ｐゴシック"/>
        <family val="3"/>
        <charset val="134"/>
        <scheme val="minor"/>
      </rPr>
      <t>绣丽</t>
    </r>
  </si>
  <si>
    <r>
      <t>杨镇</t>
    </r>
    <r>
      <rPr>
        <sz val="11"/>
        <color theme="1"/>
        <rFont val="ＭＳ Ｐゴシック"/>
        <family val="3"/>
        <charset val="128"/>
        <scheme val="minor"/>
      </rPr>
      <t>菡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</si>
  <si>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米酒; 餐后酒（利口酒和烈酒）;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露酒; 苹果酒</t>
    </r>
  </si>
  <si>
    <t>将湘涛涛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</si>
  <si>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美投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</si>
  <si>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清酒; 青稞酒; 果酒（含酒精）; 食用酒精; 米酒</t>
    </r>
  </si>
  <si>
    <r>
      <t>一</t>
    </r>
    <r>
      <rPr>
        <sz val="11"/>
        <color theme="1"/>
        <rFont val="ＭＳ Ｐゴシック"/>
        <family val="3"/>
        <charset val="134"/>
        <scheme val="minor"/>
      </rPr>
      <t>壶</t>
    </r>
    <r>
      <rPr>
        <sz val="11"/>
        <color theme="1"/>
        <rFont val="ＭＳ Ｐゴシック"/>
        <family val="3"/>
        <charset val="128"/>
        <scheme val="minor"/>
      </rPr>
      <t>先生</t>
    </r>
  </si>
  <si>
    <r>
      <t>遵</t>
    </r>
    <r>
      <rPr>
        <sz val="11"/>
        <color theme="1"/>
        <rFont val="ＭＳ Ｐゴシック"/>
        <family val="3"/>
        <charset val="134"/>
        <scheme val="minor"/>
      </rPr>
      <t>义</t>
    </r>
    <r>
      <rPr>
        <sz val="11"/>
        <color theme="1"/>
        <rFont val="ＭＳ Ｐゴシック"/>
        <family val="3"/>
        <charset val="128"/>
        <scheme val="minor"/>
      </rPr>
      <t>播州区珍盛园生</t>
    </r>
    <r>
      <rPr>
        <sz val="11"/>
        <color theme="1"/>
        <rFont val="ＭＳ Ｐゴシック"/>
        <family val="3"/>
        <charset val="134"/>
        <scheme val="minor"/>
      </rPr>
      <t>态农业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</si>
  <si>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果酒（含酒精）;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葡萄酒;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</t>
    </r>
  </si>
  <si>
    <t>醉花潭</t>
  </si>
  <si>
    <r>
      <t>吴</t>
    </r>
    <r>
      <rPr>
        <sz val="11"/>
        <color theme="1"/>
        <rFont val="ＭＳ Ｐゴシック"/>
        <family val="3"/>
        <charset val="134"/>
        <scheme val="minor"/>
      </rPr>
      <t>晓</t>
    </r>
    <r>
      <rPr>
        <sz val="11"/>
        <color theme="1"/>
        <rFont val="ＭＳ Ｐゴシック"/>
        <family val="3"/>
        <charset val="128"/>
        <scheme val="minor"/>
      </rPr>
      <t>林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</si>
  <si>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白酒; 清酒（日本米酒）;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</si>
  <si>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CHATEAU LATASTE</t>
  </si>
  <si>
    <r>
      <t>里永酒庄有限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</si>
  <si>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利口酒; 开胃酒;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苹果酒;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酸酒（低等葡萄酒）;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</si>
  <si>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关刀魂</t>
  </si>
  <si>
    <t>曾岑</t>
  </si>
  <si>
    <r>
      <t>黄酒; 白酒; 开胃酒; 清酒（日本米酒）; 果酒（含酒精）;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</t>
    </r>
  </si>
  <si>
    <t>PAKONTONG</t>
  </si>
  <si>
    <r>
      <t>香港百安堂集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（中国）有限公司</t>
    </r>
  </si>
  <si>
    <r>
      <t>果酒（含酒精）; 葡萄酒; 威士忌; 米酒; 白酒; 白葡萄酒;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清酒; 黄酒; 高粱酒</t>
    </r>
  </si>
  <si>
    <t>DROPTHEBEAT</t>
  </si>
  <si>
    <r>
      <t>马</t>
    </r>
    <r>
      <rPr>
        <sz val="11"/>
        <color theme="1"/>
        <rFont val="ＭＳ Ｐゴシック"/>
        <family val="3"/>
        <charset val="128"/>
        <scheme val="minor"/>
      </rPr>
      <t>超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</si>
  <si>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米酒; 果酒（含酒精）; 开胃酒; 威士忌</t>
    </r>
  </si>
  <si>
    <r>
      <t></t>
    </r>
    <r>
      <rPr>
        <sz val="11"/>
        <color theme="1"/>
        <rFont val="ＭＳ Ｐゴシック"/>
        <family val="3"/>
        <charset val="134"/>
        <scheme val="minor"/>
      </rPr>
      <t>嗬橴</t>
    </r>
    <r>
      <rPr>
        <sz val="11"/>
        <color theme="1"/>
        <rFont val="ＭＳ Ｐゴシック"/>
        <family val="3"/>
        <charset val="128"/>
        <scheme val="minor"/>
      </rPr>
      <t>陞</t>
    </r>
  </si>
  <si>
    <r>
      <t>香河</t>
    </r>
    <r>
      <rPr>
        <sz val="11"/>
        <color theme="1"/>
        <rFont val="ＭＳ Ｐゴシック"/>
        <family val="3"/>
        <charset val="134"/>
        <scheme val="minor"/>
      </rPr>
      <t>锦阔软</t>
    </r>
    <r>
      <rPr>
        <sz val="11"/>
        <color theme="1"/>
        <rFont val="ＭＳ Ｐゴシック"/>
        <family val="3"/>
        <charset val="128"/>
        <scheme val="minor"/>
      </rPr>
      <t>件开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工作室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</si>
  <si>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蒸煮提取物（利口酒和烈酒）; 食用酒精;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果酒; 米酒</t>
    </r>
  </si>
  <si>
    <t>会川·淸郡</t>
  </si>
  <si>
    <r>
      <t>苹果酒;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白干酒（中国白酒）; 梨酒;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高粱酒; 露酒;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</si>
  <si>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汇</t>
    </r>
    <r>
      <rPr>
        <sz val="11"/>
        <color theme="1"/>
        <rFont val="ＭＳ Ｐゴシック"/>
        <family val="3"/>
        <charset val="128"/>
        <scheme val="minor"/>
      </rPr>
      <t>三杯</t>
    </r>
  </si>
  <si>
    <r>
      <t>遵</t>
    </r>
    <r>
      <rPr>
        <sz val="11"/>
        <color theme="1"/>
        <rFont val="ＭＳ Ｐゴシック"/>
        <family val="3"/>
        <charset val="134"/>
        <scheme val="minor"/>
      </rPr>
      <t>义</t>
    </r>
    <r>
      <rPr>
        <sz val="11"/>
        <color theme="1"/>
        <rFont val="ＭＳ Ｐゴシック"/>
        <family val="3"/>
        <charset val="128"/>
        <scheme val="minor"/>
      </rPr>
      <t>上上</t>
    </r>
    <r>
      <rPr>
        <sz val="11"/>
        <color theme="1"/>
        <rFont val="ＭＳ Ｐゴシック"/>
        <family val="3"/>
        <charset val="134"/>
        <scheme val="minor"/>
      </rPr>
      <t>农业产业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</si>
  <si>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白酒; 葡萄酒; 果酒（含酒精）; 米酒; 黄酒;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</si>
  <si>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葫中宝</t>
  </si>
  <si>
    <t>周廷池</t>
  </si>
  <si>
    <r>
      <t xml:space="preserve">薄荷酒;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青稞酒;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</si>
  <si>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r>
      <t>镇</t>
    </r>
    <r>
      <rPr>
        <sz val="11"/>
        <color theme="1"/>
        <rFont val="ＭＳ Ｐゴシック"/>
        <family val="3"/>
        <charset val="128"/>
        <scheme val="minor"/>
      </rPr>
      <t>古今</t>
    </r>
  </si>
  <si>
    <t>胡林</t>
  </si>
  <si>
    <r>
      <t>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开胃酒</t>
    </r>
  </si>
  <si>
    <r>
      <t>醁</t>
    </r>
    <r>
      <rPr>
        <sz val="11"/>
        <color theme="1"/>
        <rFont val="ＭＳ Ｐゴシック"/>
        <family val="3"/>
        <charset val="134"/>
        <scheme val="minor"/>
      </rPr>
      <t>缘</t>
    </r>
  </si>
  <si>
    <r>
      <t>盐</t>
    </r>
    <r>
      <rPr>
        <sz val="11"/>
        <color theme="1"/>
        <rFont val="ＭＳ Ｐゴシック"/>
        <family val="3"/>
        <charset val="128"/>
        <scheme val="minor"/>
      </rPr>
      <t>城市佗蔓喏商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</si>
  <si>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白干酒（中国白酒）;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烈性干酒; 白酒</t>
    </r>
  </si>
  <si>
    <t>瑶池千丈岩</t>
  </si>
  <si>
    <r>
      <t>浙江千丈岩</t>
    </r>
    <r>
      <rPr>
        <sz val="11"/>
        <color theme="1"/>
        <rFont val="ＭＳ Ｐゴシック"/>
        <family val="3"/>
        <charset val="134"/>
        <scheme val="minor"/>
      </rPr>
      <t>农产</t>
    </r>
    <r>
      <rPr>
        <sz val="11"/>
        <color theme="1"/>
        <rFont val="ＭＳ Ｐゴシック"/>
        <family val="3"/>
        <charset val="128"/>
        <scheme val="minor"/>
      </rPr>
      <t>品开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</si>
  <si>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威士忌</t>
    </r>
  </si>
  <si>
    <t>宝池坊·彩陶宝池坊</t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</si>
  <si>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大曲酒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</si>
  <si>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清酒（日本米酒）</t>
    </r>
  </si>
  <si>
    <r>
      <t>陆</t>
    </r>
    <r>
      <rPr>
        <sz val="11"/>
        <color theme="1"/>
        <rFont val="ＭＳ Ｐゴシック"/>
        <family val="3"/>
        <charset val="128"/>
        <scheme val="minor"/>
      </rPr>
      <t>品香</t>
    </r>
  </si>
  <si>
    <r>
      <t>桐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得隆餐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</si>
  <si>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开胃酒; 果酒（含酒精）; 柑香酒;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梨酒</t>
    </r>
  </si>
  <si>
    <r>
      <t>上官天</t>
    </r>
    <r>
      <rPr>
        <sz val="11"/>
        <color theme="1"/>
        <rFont val="ＭＳ Ｐゴシック"/>
        <family val="3"/>
        <charset val="134"/>
        <scheme val="minor"/>
      </rPr>
      <t>贵</t>
    </r>
  </si>
  <si>
    <r>
      <t>泉州市福春园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</si>
  <si>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食用酒精; 汽酒;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</si>
  <si>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礼二三</t>
  </si>
  <si>
    <r>
      <t>余</t>
    </r>
    <r>
      <rPr>
        <sz val="11"/>
        <color theme="1"/>
        <rFont val="ＭＳ Ｐゴシック"/>
        <family val="3"/>
        <charset val="134"/>
        <scheme val="minor"/>
      </rPr>
      <t>颖华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</si>
  <si>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</si>
  <si>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夏儒光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</si>
  <si>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苏红</t>
    </r>
  </si>
  <si>
    <r>
      <t>开胃酒; 葡萄酒; 汽酒;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果酒; 烈酒; 米酒</t>
    </r>
  </si>
  <si>
    <r>
      <t>酒之</t>
    </r>
    <r>
      <rPr>
        <sz val="11"/>
        <color theme="1"/>
        <rFont val="ＭＳ Ｐゴシック"/>
        <family val="3"/>
        <charset val="134"/>
        <scheme val="minor"/>
      </rPr>
      <t>桥</t>
    </r>
  </si>
  <si>
    <r>
      <t>梁金</t>
    </r>
    <r>
      <rPr>
        <sz val="11"/>
        <color theme="1"/>
        <rFont val="ＭＳ Ｐゴシック"/>
        <family val="3"/>
        <charset val="134"/>
        <scheme val="minor"/>
      </rPr>
      <t>琼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</si>
  <si>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威士忌</t>
    </r>
  </si>
  <si>
    <t>清溪千丈岩</t>
  </si>
  <si>
    <r>
      <t>锦绣</t>
    </r>
    <r>
      <rPr>
        <sz val="11"/>
        <color theme="1"/>
        <rFont val="ＭＳ Ｐゴシック"/>
        <family val="3"/>
        <charset val="128"/>
        <scheme val="minor"/>
      </rPr>
      <t>金陵</t>
    </r>
  </si>
  <si>
    <r>
      <t>南京美</t>
    </r>
    <r>
      <rPr>
        <sz val="11"/>
        <color theme="1"/>
        <rFont val="ＭＳ Ｐゴシック"/>
        <family val="3"/>
        <charset val="134"/>
        <scheme val="minor"/>
      </rPr>
      <t>枫</t>
    </r>
    <r>
      <rPr>
        <sz val="11"/>
        <color theme="1"/>
        <rFont val="ＭＳ Ｐゴシック"/>
        <family val="3"/>
        <charset val="128"/>
        <scheme val="minor"/>
      </rPr>
      <t>生物科技有限公司</t>
    </r>
  </si>
  <si>
    <r>
      <t xml:space="preserve">汽酒; 黄酒; 白酒;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葡萄酒; 米酒; 蜂蜜酒</t>
    </r>
  </si>
  <si>
    <r>
      <t>皇小九 七百年的</t>
    </r>
    <r>
      <rPr>
        <sz val="11"/>
        <color theme="1"/>
        <rFont val="ＭＳ Ｐゴシック"/>
        <family val="3"/>
        <charset val="134"/>
        <scheme val="minor"/>
      </rPr>
      <t>记忆</t>
    </r>
  </si>
  <si>
    <r>
      <t>天津天宝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类销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</si>
  <si>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白酒; 果酒（含酒精）; 开胃酒;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</si>
  <si>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运道台</t>
  </si>
  <si>
    <r>
      <t>聂</t>
    </r>
    <r>
      <rPr>
        <sz val="11"/>
        <color theme="1"/>
        <rFont val="ＭＳ Ｐゴシック"/>
        <family val="3"/>
        <charset val="128"/>
        <scheme val="minor"/>
      </rPr>
      <t>金珠</t>
    </r>
  </si>
  <si>
    <r>
      <t>白酒;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清酒; 青稞酒; 烈酒; 黄酒</t>
    </r>
  </si>
  <si>
    <t>LLA</t>
  </si>
  <si>
    <t>田若玲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</si>
  <si>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果酒（含酒精）;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</si>
  <si>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镶马</t>
    </r>
  </si>
  <si>
    <t>黄勇新******************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</si>
  <si>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刺五加酒; 麦芽威士忌;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黑覆盆子酒</t>
    </r>
  </si>
  <si>
    <t>THIRTEEN YUE</t>
  </si>
  <si>
    <r>
      <t>贵</t>
    </r>
    <r>
      <rPr>
        <sz val="11"/>
        <color theme="1"/>
        <rFont val="ＭＳ Ｐゴシック"/>
        <family val="3"/>
        <charset val="128"/>
        <scheme val="minor"/>
      </rPr>
      <t>阳八匹</t>
    </r>
    <r>
      <rPr>
        <sz val="11"/>
        <color theme="1"/>
        <rFont val="ＭＳ Ｐゴシック"/>
        <family val="3"/>
        <charset val="134"/>
        <scheme val="minor"/>
      </rPr>
      <t>马电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</si>
  <si>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梅酒; 白酒;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汽酒; 清酒（日本米酒）; 米酒; 果酒（含酒精）; 烈酒; 葡萄酒</t>
    </r>
  </si>
  <si>
    <t>DIFFLE</t>
  </si>
  <si>
    <r>
      <t>厦</t>
    </r>
    <r>
      <rPr>
        <sz val="11"/>
        <color theme="1"/>
        <rFont val="ＭＳ Ｐゴシック"/>
        <family val="3"/>
        <charset val="134"/>
        <scheme val="minor"/>
      </rPr>
      <t>门亿</t>
    </r>
    <r>
      <rPr>
        <sz val="11"/>
        <color theme="1"/>
        <rFont val="ＭＳ Ｐゴシック"/>
        <family val="3"/>
        <charset val="128"/>
        <scheme val="minor"/>
      </rPr>
      <t>衍盛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出口有限公司</t>
    </r>
  </si>
  <si>
    <r>
      <t>葡萄酒; 酸酒（低等葡萄酒）;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苹果酒; 青稞酒; 威士忌; 果酒; 朗姆酒; 利口酒; 清酒</t>
    </r>
  </si>
  <si>
    <r>
      <t>轻满</t>
    </r>
    <r>
      <rPr>
        <sz val="11"/>
        <color theme="1"/>
        <rFont val="ＭＳ Ｐゴシック"/>
        <family val="3"/>
        <charset val="128"/>
        <scheme val="minor"/>
      </rPr>
      <t>分</t>
    </r>
  </si>
  <si>
    <t>王子梁</t>
  </si>
  <si>
    <r>
      <t>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含酒精的气泡水; 薄荷酒;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蜂蜜酒; 威士忌; 果酒（含酒精）</t>
    </r>
  </si>
  <si>
    <t>御金陵状元楼</t>
  </si>
  <si>
    <r>
      <t xml:space="preserve">葡萄酒; 蜂蜜酒;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黄酒; 白酒; 烈酒; 威士忌; 汽酒</t>
    </r>
  </si>
  <si>
    <t>御金陵王</t>
  </si>
  <si>
    <r>
      <t xml:space="preserve">果酒（含酒精）; 葡萄酒; 蜂蜜酒; 米酒; 威士忌; 汽酒; 黄酒; 白酒;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</si>
  <si>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淏馨情</t>
  </si>
  <si>
    <r>
      <t>什邡市新</t>
    </r>
    <r>
      <rPr>
        <sz val="11"/>
        <color theme="1"/>
        <rFont val="ＭＳ Ｐゴシック"/>
        <family val="3"/>
        <charset val="134"/>
        <scheme val="minor"/>
      </rPr>
      <t>绿</t>
    </r>
    <r>
      <rPr>
        <sz val="11"/>
        <color theme="1"/>
        <rFont val="ＭＳ Ｐゴシック"/>
        <family val="3"/>
        <charset val="128"/>
        <scheme val="minor"/>
      </rPr>
      <t>邡酒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</si>
  <si>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青稞酒;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</si>
  <si>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追匠台</t>
  </si>
  <si>
    <t>母小雨</t>
  </si>
  <si>
    <r>
      <t xml:space="preserve">白葡萄酒; 烈酒; 白酒; 高粱酒; 葡萄酒; 白干酒（中国白酒）; 五加皮酒（中国混合烈酒）; 威末酒;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</t>
    </r>
  </si>
  <si>
    <r>
      <t>御金陵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我中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</si>
  <si>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米酒; 蜂蜜酒; 汽酒; 黄酒; 白酒;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</si>
  <si>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CHEESE UNCLE</t>
  </si>
  <si>
    <r>
      <t>芙芙（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州）品牌管理有限公司</t>
    </r>
  </si>
  <si>
    <t>御金陵</t>
  </si>
  <si>
    <r>
      <t>烈酒; 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黄酒; 蜂蜜酒;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葡萄酒</t>
    </r>
  </si>
  <si>
    <r>
      <t>金陵</t>
    </r>
    <r>
      <rPr>
        <sz val="11"/>
        <color theme="1"/>
        <rFont val="ＭＳ Ｐゴシック"/>
        <family val="3"/>
        <charset val="134"/>
        <scheme val="minor"/>
      </rPr>
      <t>飘</t>
    </r>
    <r>
      <rPr>
        <sz val="11"/>
        <color theme="1"/>
        <rFont val="ＭＳ Ｐゴシック"/>
        <family val="3"/>
        <charset val="128"/>
        <scheme val="minor"/>
      </rPr>
      <t>雪</t>
    </r>
  </si>
  <si>
    <r>
      <t xml:space="preserve">葡萄酒; 蜂蜜酒;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黄酒; 白酒; 烈酒; 果酒（含酒精）; 汽酒</t>
    </r>
  </si>
  <si>
    <r>
      <t>皇小九 二百年的</t>
    </r>
    <r>
      <rPr>
        <sz val="11"/>
        <color theme="1"/>
        <rFont val="ＭＳ Ｐゴシック"/>
        <family val="3"/>
        <charset val="134"/>
        <scheme val="minor"/>
      </rPr>
      <t>记忆</t>
    </r>
  </si>
  <si>
    <r>
      <t xml:space="preserve">白酒; 果酒（含酒精）; 开胃酒;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</si>
  <si>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皇小九 五百年的</t>
    </r>
    <r>
      <rPr>
        <sz val="11"/>
        <color theme="1"/>
        <rFont val="ＭＳ Ｐゴシック"/>
        <family val="3"/>
        <charset val="134"/>
        <scheme val="minor"/>
      </rPr>
      <t>记忆</t>
    </r>
  </si>
  <si>
    <r>
      <t>御金陵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窖</t>
    </r>
  </si>
  <si>
    <r>
      <t>皇小九 九百年的</t>
    </r>
    <r>
      <rPr>
        <sz val="11"/>
        <color theme="1"/>
        <rFont val="ＭＳ Ｐゴシック"/>
        <family val="3"/>
        <charset val="134"/>
        <scheme val="minor"/>
      </rPr>
      <t>记忆</t>
    </r>
  </si>
  <si>
    <r>
      <t>新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市旺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生物科技有限公司</t>
    </r>
  </si>
  <si>
    <r>
      <t>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米酒</t>
    </r>
  </si>
  <si>
    <t>古瑶山</t>
  </si>
  <si>
    <r>
      <t>深圳市</t>
    </r>
    <r>
      <rPr>
        <sz val="11"/>
        <color theme="1"/>
        <rFont val="ＭＳ Ｐゴシック"/>
        <family val="3"/>
        <charset val="134"/>
        <scheme val="minor"/>
      </rPr>
      <t>联购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</si>
  <si>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柑香酒; 白酒; 苦艾酒;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青梅酒; 青稞酒</t>
    </r>
  </si>
  <si>
    <r>
      <t>金枝</t>
    </r>
    <r>
      <rPr>
        <sz val="11"/>
        <color theme="1"/>
        <rFont val="ＭＳ Ｐゴシック"/>
        <family val="3"/>
        <charset val="134"/>
        <scheme val="minor"/>
      </rPr>
      <t>圆</t>
    </r>
  </si>
  <si>
    <r>
      <t>汪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</si>
  <si>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 xml:space="preserve">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米酒;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</si>
  <si>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颂</t>
    </r>
    <r>
      <rPr>
        <sz val="11"/>
        <color theme="1"/>
        <rFont val="ＭＳ Ｐゴシック"/>
        <family val="3"/>
        <charset val="128"/>
        <scheme val="minor"/>
      </rPr>
      <t>房陵</t>
    </r>
  </si>
  <si>
    <t>袁佩明******************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</si>
  <si>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米酒; 果酒（含酒精）; 青稞酒;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开胃酒;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</si>
  <si>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卫</t>
    </r>
    <r>
      <rPr>
        <sz val="11"/>
        <color theme="1"/>
        <rFont val="ＭＳ Ｐゴシック"/>
        <family val="3"/>
        <charset val="128"/>
        <scheme val="minor"/>
      </rPr>
      <t>王子酒</t>
    </r>
  </si>
  <si>
    <r>
      <t>天津市大</t>
    </r>
    <r>
      <rPr>
        <sz val="11"/>
        <color theme="1"/>
        <rFont val="ＭＳ Ｐゴシック"/>
        <family val="3"/>
        <charset val="129"/>
        <scheme val="minor"/>
      </rPr>
      <t>强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</si>
  <si>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酒（烈酒）; 日本梅子酒; 蒸煮提取物（利口酒和烈酒）; 白酒; 白干酒（中国白酒）; 清酒（日本米酒）; 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果酒（含酒精）</t>
    </r>
  </si>
  <si>
    <r>
      <t>领</t>
    </r>
    <r>
      <rPr>
        <sz val="11"/>
        <color theme="1"/>
        <rFont val="ＭＳ Ｐゴシック"/>
        <family val="3"/>
        <charset val="128"/>
        <scheme val="minor"/>
      </rPr>
      <t>梅香园</t>
    </r>
  </si>
  <si>
    <t>林致科</t>
  </si>
  <si>
    <r>
      <t xml:space="preserve">果酒（含酒精）; 米酒; 苹果酒; 清酒（日本米酒）; 食用酒精; 白酒; 含酒精的气泡水;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</t>
    </r>
  </si>
  <si>
    <r>
      <t>皇小九 三百年的</t>
    </r>
    <r>
      <rPr>
        <sz val="11"/>
        <color theme="1"/>
        <rFont val="ＭＳ Ｐゴシック"/>
        <family val="3"/>
        <charset val="134"/>
        <scheme val="minor"/>
      </rPr>
      <t>记忆</t>
    </r>
  </si>
  <si>
    <r>
      <t>果酒（含酒精）; 开胃酒;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</si>
  <si>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皇小九 八百年的</t>
    </r>
    <r>
      <rPr>
        <sz val="11"/>
        <color theme="1"/>
        <rFont val="ＭＳ Ｐゴシック"/>
        <family val="3"/>
        <charset val="134"/>
        <scheme val="minor"/>
      </rPr>
      <t>记忆</t>
    </r>
  </si>
  <si>
    <r>
      <t>贝</t>
    </r>
    <r>
      <rPr>
        <sz val="11"/>
        <color theme="1"/>
        <rFont val="ＭＳ Ｐゴシック"/>
        <family val="3"/>
        <charset val="128"/>
        <scheme val="minor"/>
      </rPr>
      <t>林</t>
    </r>
    <r>
      <rPr>
        <sz val="11"/>
        <color theme="1"/>
        <rFont val="ＭＳ Ｐゴシック"/>
        <family val="3"/>
        <charset val="134"/>
        <scheme val="minor"/>
      </rPr>
      <t>卢</t>
    </r>
    <r>
      <rPr>
        <sz val="11"/>
        <color theme="1"/>
        <rFont val="ＭＳ Ｐゴシック"/>
        <family val="3"/>
        <charset val="128"/>
        <scheme val="minor"/>
      </rPr>
      <t>福</t>
    </r>
  </si>
  <si>
    <r>
      <t>柏林</t>
    </r>
    <r>
      <rPr>
        <sz val="11"/>
        <color theme="1"/>
        <rFont val="ＭＳ Ｐゴシック"/>
        <family val="3"/>
        <charset val="129"/>
        <scheme val="minor"/>
      </rPr>
      <t>胜</t>
    </r>
    <r>
      <rPr>
        <sz val="11"/>
        <color theme="1"/>
        <rFont val="ＭＳ Ｐゴシック"/>
        <family val="3"/>
        <charset val="128"/>
        <scheme val="minor"/>
      </rPr>
      <t>客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酒有限两合公司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</si>
  <si>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</si>
  <si>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洁</t>
    </r>
    <r>
      <rPr>
        <sz val="11"/>
        <color theme="1"/>
        <rFont val="ＭＳ Ｐゴシック"/>
        <family val="3"/>
        <charset val="128"/>
        <scheme val="minor"/>
      </rPr>
      <t>柔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家</t>
    </r>
  </si>
  <si>
    <r>
      <t>中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9"/>
        <scheme val="minor"/>
      </rPr>
      <t>洁</t>
    </r>
    <r>
      <rPr>
        <sz val="11"/>
        <color theme="1"/>
        <rFont val="ＭＳ Ｐゴシック"/>
        <family val="3"/>
        <charset val="128"/>
        <scheme val="minor"/>
      </rPr>
      <t>柔</t>
    </r>
    <r>
      <rPr>
        <sz val="11"/>
        <color theme="1"/>
        <rFont val="ＭＳ Ｐゴシック"/>
        <family val="3"/>
        <charset val="134"/>
        <scheme val="minor"/>
      </rPr>
      <t>纸业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</si>
  <si>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白酒; 蜂蜜酒;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开胃酒; 葡萄酒; 清酒（日本米酒）;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</si>
  <si>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荣耀</t>
    </r>
    <r>
      <rPr>
        <sz val="11"/>
        <color theme="1"/>
        <rFont val="ＭＳ Ｐゴシック"/>
        <family val="3"/>
        <charset val="134"/>
        <scheme val="minor"/>
      </rPr>
      <t>辉</t>
    </r>
    <r>
      <rPr>
        <sz val="11"/>
        <color theme="1"/>
        <rFont val="ＭＳ Ｐゴシック"/>
        <family val="3"/>
        <charset val="128"/>
        <scheme val="minor"/>
      </rPr>
      <t>煌尊耀</t>
    </r>
  </si>
  <si>
    <r>
      <t>北京中合聚源投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</si>
  <si>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开胃酒; 葡萄酒; 米酒; 白酒; 果酒; 青稞酒;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汽酒</t>
    </r>
  </si>
  <si>
    <r>
      <t>皇小九 一百年的</t>
    </r>
    <r>
      <rPr>
        <sz val="11"/>
        <color theme="1"/>
        <rFont val="ＭＳ Ｐゴシック"/>
        <family val="3"/>
        <charset val="134"/>
        <scheme val="minor"/>
      </rPr>
      <t>记忆</t>
    </r>
  </si>
  <si>
    <t>余崎</t>
  </si>
  <si>
    <r>
      <t>赵丽</t>
    </r>
    <r>
      <rPr>
        <sz val="11"/>
        <color theme="1"/>
        <rFont val="ＭＳ Ｐゴシック"/>
        <family val="3"/>
        <charset val="128"/>
        <scheme val="minor"/>
      </rPr>
      <t>娜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</si>
  <si>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利口酒;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</si>
  <si>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古将凰</t>
  </si>
  <si>
    <r>
      <t>曾昭</t>
    </r>
    <r>
      <rPr>
        <sz val="11"/>
        <color theme="1"/>
        <rFont val="ＭＳ Ｐゴシック"/>
        <family val="3"/>
        <charset val="134"/>
        <scheme val="minor"/>
      </rPr>
      <t>骏</t>
    </r>
  </si>
  <si>
    <r>
      <t>烈酒; 白酒; 葡萄酒; 开胃酒; 清酒（日本米酒）; 黄酒;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果酒（含酒精）</t>
    </r>
  </si>
  <si>
    <r>
      <t>潇</t>
    </r>
    <r>
      <rPr>
        <sz val="11"/>
        <color theme="1"/>
        <rFont val="ＭＳ Ｐゴシック"/>
        <family val="3"/>
        <charset val="128"/>
        <scheme val="minor"/>
      </rPr>
      <t>湘博</t>
    </r>
    <r>
      <rPr>
        <sz val="11"/>
        <color theme="1"/>
        <rFont val="ＭＳ Ｐゴシック"/>
        <family val="3"/>
        <charset val="134"/>
        <scheme val="minor"/>
      </rPr>
      <t>爱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</si>
  <si>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晨瑶</t>
    </r>
  </si>
  <si>
    <r>
      <t xml:space="preserve">果酒;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蜂蜜酒; 白酒; 米酒; 食用酒精; 烈酒</t>
    </r>
  </si>
  <si>
    <r>
      <t>轻</t>
    </r>
    <r>
      <rPr>
        <sz val="11"/>
        <color theme="1"/>
        <rFont val="ＭＳ Ｐゴシック"/>
        <family val="3"/>
        <charset val="128"/>
        <scheme val="minor"/>
      </rPr>
      <t>百分</t>
    </r>
  </si>
  <si>
    <r>
      <t>皇避</t>
    </r>
    <r>
      <rPr>
        <sz val="11"/>
        <color theme="1"/>
        <rFont val="ＭＳ Ｐゴシック"/>
        <family val="3"/>
        <charset val="134"/>
        <scheme val="minor"/>
      </rPr>
      <t>岙</t>
    </r>
  </si>
  <si>
    <r>
      <t>宁波市奉化区溪口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五林村股份</t>
    </r>
    <r>
      <rPr>
        <sz val="11"/>
        <color theme="1"/>
        <rFont val="ＭＳ Ｐゴシック"/>
        <family val="3"/>
        <charset val="134"/>
        <scheme val="minor"/>
      </rPr>
      <t>经济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</si>
  <si>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烈酒; 甜酒; 高粱酒; 黄酒; 白酒</t>
    </r>
  </si>
  <si>
    <t>DUKO BAR</t>
  </si>
  <si>
    <r>
      <t>河南渡口商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</si>
  <si>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餐后酒（利口酒和烈酒）</t>
    </r>
  </si>
  <si>
    <r>
      <t>南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名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</si>
  <si>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英人教管理有限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</si>
  <si>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餐后酒（利口酒和烈酒）; 蜂蜜酒;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酸酒（低等葡萄酒）;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</si>
  <si>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DLRO</t>
  </si>
  <si>
    <r>
      <t>石生</t>
    </r>
    <r>
      <rPr>
        <sz val="11"/>
        <color theme="1"/>
        <rFont val="ＭＳ Ｐゴシック"/>
        <family val="3"/>
        <charset val="134"/>
        <scheme val="minor"/>
      </rPr>
      <t>鹏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</si>
  <si>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利口酒; 蜂蜜酒;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</si>
  <si>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BAINIANHAOHE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</si>
  <si>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青稞酒; 黄酒; 开胃酒</t>
    </r>
  </si>
  <si>
    <t>依依得一</t>
  </si>
  <si>
    <t>安佳佳</t>
  </si>
  <si>
    <r>
      <t xml:space="preserve">汽酒;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黄酒;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烈酒; 利口酒</t>
    </r>
  </si>
  <si>
    <t>嗒</t>
  </si>
  <si>
    <r>
      <t>萤</t>
    </r>
    <r>
      <rPr>
        <sz val="11"/>
        <color theme="1"/>
        <rFont val="ＭＳ Ｐゴシック"/>
        <family val="3"/>
        <charset val="128"/>
        <scheme val="minor"/>
      </rPr>
      <t>吧(广州)科技有限公司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</si>
  <si>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露酒; 威士忌;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</t>
    </r>
  </si>
  <si>
    <t>正彪</t>
  </si>
  <si>
    <t>余正彪</t>
  </si>
  <si>
    <r>
      <t>白酒; 果酒（含酒精）; 开胃酒; 葡萄酒;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米酒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</si>
  <si>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商抱福</t>
    </r>
  </si>
  <si>
    <r>
      <t>华贡</t>
    </r>
    <r>
      <rPr>
        <sz val="11"/>
        <color theme="1"/>
        <rFont val="ＭＳ Ｐゴシック"/>
        <family val="3"/>
        <charset val="128"/>
        <scheme val="minor"/>
      </rPr>
      <t>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易（哈</t>
    </r>
    <r>
      <rPr>
        <sz val="11"/>
        <color theme="1"/>
        <rFont val="ＭＳ Ｐゴシック"/>
        <family val="3"/>
        <charset val="134"/>
        <scheme val="minor"/>
      </rPr>
      <t>尔滨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</si>
  <si>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餐后酒（利口酒和烈酒）; 威士忌; 汽酒</t>
    </r>
  </si>
  <si>
    <t>FLYING MONKEYS</t>
  </si>
  <si>
    <r>
      <t>上海湖</t>
    </r>
    <r>
      <rPr>
        <sz val="11"/>
        <color theme="1"/>
        <rFont val="ＭＳ Ｐゴシック"/>
        <family val="3"/>
        <charset val="134"/>
        <scheme val="minor"/>
      </rPr>
      <t>涞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</si>
  <si>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威士忌;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汽酒; 白酒;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</si>
  <si>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MDENG 197</t>
  </si>
  <si>
    <r>
      <t>周</t>
    </r>
    <r>
      <rPr>
        <sz val="11"/>
        <color theme="1"/>
        <rFont val="ＭＳ Ｐゴシック"/>
        <family val="3"/>
        <charset val="134"/>
        <scheme val="minor"/>
      </rPr>
      <t>项</t>
    </r>
    <r>
      <rPr>
        <sz val="11"/>
        <color theme="1"/>
        <rFont val="ＭＳ Ｐゴシック"/>
        <family val="3"/>
        <charset val="128"/>
        <scheme val="minor"/>
      </rPr>
      <t>娜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</si>
  <si>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天然汽酒;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清酒; 米酒</t>
    </r>
  </si>
  <si>
    <t>墉潭</t>
  </si>
  <si>
    <r>
      <t>荆</t>
    </r>
    <r>
      <rPr>
        <sz val="11"/>
        <color theme="1"/>
        <rFont val="ＭＳ Ｐゴシック"/>
        <family val="3"/>
        <charset val="128"/>
        <scheme val="minor"/>
      </rPr>
      <t>汝清</t>
    </r>
  </si>
  <si>
    <r>
      <t>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朗姆酒; 果酒（含酒精）; 食用酒精</t>
    </r>
  </si>
  <si>
    <t>芭莎九</t>
  </si>
  <si>
    <t>族佬</t>
  </si>
  <si>
    <t>张维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</si>
  <si>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利口酒; 葡萄酒; 苹果酒;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餐后酒（利口酒和烈酒）;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</si>
  <si>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九井十八街</t>
  </si>
  <si>
    <r>
      <t>巴中市巴山夜</t>
    </r>
    <r>
      <rPr>
        <sz val="11"/>
        <color theme="1"/>
        <rFont val="ＭＳ Ｐゴシック"/>
        <family val="3"/>
        <charset val="134"/>
        <scheme val="minor"/>
      </rPr>
      <t>语</t>
    </r>
    <r>
      <rPr>
        <sz val="11"/>
        <color theme="1"/>
        <rFont val="ＭＳ Ｐゴシック"/>
        <family val="3"/>
        <charset val="128"/>
        <scheme val="minor"/>
      </rPr>
      <t>文旅科技有限公司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</si>
  <si>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威士忌;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</si>
  <si>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外</t>
    </r>
    <r>
      <rPr>
        <sz val="11"/>
        <color theme="1"/>
        <rFont val="ＭＳ Ｐゴシック"/>
        <family val="3"/>
        <charset val="134"/>
        <scheme val="minor"/>
      </rPr>
      <t>滩</t>
    </r>
    <r>
      <rPr>
        <sz val="11"/>
        <color theme="1"/>
        <rFont val="ＭＳ Ｐゴシック"/>
        <family val="3"/>
        <charset val="128"/>
        <scheme val="minor"/>
      </rPr>
      <t>江湖</t>
    </r>
  </si>
  <si>
    <t>上海全唐广告有限公司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</si>
  <si>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品;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</si>
  <si>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真思惠</t>
  </si>
  <si>
    <r>
      <t>泸</t>
    </r>
    <r>
      <rPr>
        <sz val="11"/>
        <color theme="1"/>
        <rFont val="ＭＳ Ｐゴシック"/>
        <family val="3"/>
        <charset val="128"/>
        <scheme val="minor"/>
      </rPr>
      <t>州市菩仙酒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</si>
  <si>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白干酒（中国白酒）; 白酒;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</si>
  <si>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栀</t>
    </r>
    <r>
      <rPr>
        <sz val="11"/>
        <color theme="1"/>
        <rFont val="ＭＳ Ｐゴシック"/>
        <family val="3"/>
        <charset val="128"/>
        <scheme val="minor"/>
      </rPr>
      <t>个方子</t>
    </r>
  </si>
  <si>
    <r>
      <t>湖南海泰博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生物科技有限公司</t>
    </r>
  </si>
  <si>
    <r>
      <t xml:space="preserve">蜂蜜酒; 餐后酒（利口酒和烈酒）;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米酒; 苦味酒; 果酒（含酒精）;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</si>
  <si>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取豕</t>
  </si>
  <si>
    <r>
      <t>绍兴</t>
    </r>
    <r>
      <rPr>
        <sz val="11"/>
        <color theme="1"/>
        <rFont val="ＭＳ Ｐゴシック"/>
        <family val="3"/>
        <charset val="128"/>
        <scheme val="minor"/>
      </rPr>
      <t>酒城文化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</si>
  <si>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葡萄酒; 果酒（含酒精）; 米酒; 白酒; 甘蔗制烈酒;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</si>
  <si>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杯里山河</t>
  </si>
  <si>
    <r>
      <t>泸</t>
    </r>
    <r>
      <rPr>
        <sz val="11"/>
        <color theme="1"/>
        <rFont val="ＭＳ Ｐゴシック"/>
        <family val="3"/>
        <charset val="128"/>
        <scheme val="minor"/>
      </rPr>
      <t>州众点云供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</si>
  <si>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白酒; 甜果酒;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威士忌; 果酒（含酒精）; 葡萄酒;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</si>
  <si>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大方</t>
    </r>
  </si>
  <si>
    <r>
      <t>起云</t>
    </r>
    <r>
      <rPr>
        <sz val="11"/>
        <color theme="1"/>
        <rFont val="ＭＳ Ｐゴシック"/>
        <family val="3"/>
        <charset val="129"/>
        <scheme val="minor"/>
      </rPr>
      <t>洁</t>
    </r>
  </si>
  <si>
    <r>
      <t>威士忌;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葡萄酒; 果酒（含酒精）; 白酒; 黄酒; 米酒</t>
    </r>
  </si>
  <si>
    <t>柑浦堂</t>
  </si>
  <si>
    <r>
      <t>广西浦北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柑浦堂健康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</si>
  <si>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威士忌; 黄酒;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</t>
    </r>
  </si>
  <si>
    <t>立占</t>
  </si>
  <si>
    <r>
      <t>谭</t>
    </r>
    <r>
      <rPr>
        <sz val="11"/>
        <color theme="1"/>
        <rFont val="ＭＳ Ｐゴシック"/>
        <family val="3"/>
        <charset val="128"/>
        <scheme val="minor"/>
      </rPr>
      <t>立占</t>
    </r>
  </si>
  <si>
    <r>
      <t>果酒;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青稞酒; 黄酒; 食用酒精;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</si>
  <si>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雷</t>
    </r>
    <r>
      <rPr>
        <sz val="11"/>
        <color theme="1"/>
        <rFont val="ＭＳ Ｐゴシック"/>
        <family val="3"/>
        <charset val="129"/>
        <scheme val="minor"/>
      </rPr>
      <t>胜</t>
    </r>
    <r>
      <rPr>
        <sz val="11"/>
        <color theme="1"/>
        <rFont val="ＭＳ Ｐゴシック"/>
        <family val="3"/>
        <charset val="128"/>
        <scheme val="minor"/>
      </rPr>
      <t>和天下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</si>
  <si>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州云</t>
    </r>
    <r>
      <rPr>
        <sz val="11"/>
        <color theme="1"/>
        <rFont val="ＭＳ Ｐゴシック"/>
        <family val="3"/>
        <charset val="134"/>
        <scheme val="minor"/>
      </rPr>
      <t>仓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</si>
  <si>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葡萄酒; 黄酒; 白酒;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</si>
  <si>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新疆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宇尚格商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</si>
  <si>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食用酒精;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烈酒; 蜂蜜酒;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</si>
  <si>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黔中金口福</t>
  </si>
  <si>
    <r>
      <t>瓮安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茶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</si>
  <si>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梨酒; 威士忌; 白酒;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</si>
  <si>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共序金樽</t>
  </si>
  <si>
    <t>盛登才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</si>
  <si>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威士忌; 米酒; 清酒（日本米酒）; 果酒（含酒精）; 开胃酒;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</si>
  <si>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t>芸游火焰山</t>
  </si>
  <si>
    <r>
      <t>鄯善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黑土地种植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民</t>
    </r>
    <r>
      <rPr>
        <sz val="11"/>
        <color theme="1"/>
        <rFont val="ＭＳ Ｐゴシック"/>
        <family val="3"/>
        <charset val="134"/>
        <scheme val="minor"/>
      </rPr>
      <t>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</si>
  <si>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开胃酒;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</si>
  <si>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偈</t>
    </r>
    <r>
      <rPr>
        <sz val="11"/>
        <color theme="1"/>
        <rFont val="ＭＳ Ｐゴシック"/>
        <family val="3"/>
        <charset val="134"/>
        <scheme val="minor"/>
      </rPr>
      <t>义烧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</si>
  <si>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果酒（含酒精）; 开胃酒;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清酒（日本米酒）</t>
    </r>
  </si>
  <si>
    <t>老家梦酒</t>
  </si>
  <si>
    <r>
      <t>江</t>
    </r>
    <r>
      <rPr>
        <sz val="11"/>
        <color theme="1"/>
        <rFont val="ＭＳ Ｐゴシック"/>
        <family val="3"/>
        <charset val="134"/>
        <scheme val="minor"/>
      </rPr>
      <t>苏韩</t>
    </r>
    <r>
      <rPr>
        <sz val="11"/>
        <color theme="1"/>
        <rFont val="ＭＳ Ｐゴシック"/>
        <family val="3"/>
        <charset val="128"/>
        <scheme val="minor"/>
      </rPr>
      <t>侯酒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</si>
  <si>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葡萄酒;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伏特加酒; 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</si>
  <si>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九峰山养心谷森林</t>
  </si>
  <si>
    <r>
      <t>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江九峰山养心谷游</t>
    </r>
    <r>
      <rPr>
        <sz val="11"/>
        <color theme="1"/>
        <rFont val="ＭＳ Ｐゴシック"/>
        <family val="3"/>
        <charset val="134"/>
        <scheme val="minor"/>
      </rPr>
      <t>览</t>
    </r>
    <r>
      <rPr>
        <sz val="11"/>
        <color theme="1"/>
        <rFont val="ＭＳ Ｐゴシック"/>
        <family val="3"/>
        <charset val="128"/>
        <scheme val="minor"/>
      </rPr>
      <t>景区管理有限公司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</si>
  <si>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开胃酒; 白酒; 葡萄酒; 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</si>
  <si>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小匕摩</t>
  </si>
  <si>
    <r>
      <t>西昌市山青小草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副</t>
    </r>
    <r>
      <rPr>
        <sz val="11"/>
        <color theme="1"/>
        <rFont val="ＭＳ Ｐゴシック"/>
        <family val="3"/>
        <charset val="134"/>
        <scheme val="minor"/>
      </rPr>
      <t>产</t>
    </r>
    <r>
      <rPr>
        <sz val="11"/>
        <color theme="1"/>
        <rFont val="ＭＳ Ｐゴシック"/>
        <family val="3"/>
        <charset val="128"/>
        <scheme val="minor"/>
      </rPr>
      <t>品</t>
    </r>
    <r>
      <rPr>
        <sz val="11"/>
        <color theme="1"/>
        <rFont val="ＭＳ Ｐゴシック"/>
        <family val="3"/>
        <charset val="134"/>
        <scheme val="minor"/>
      </rPr>
      <t>经营</t>
    </r>
    <r>
      <rPr>
        <sz val="11"/>
        <color theme="1"/>
        <rFont val="ＭＳ Ｐゴシック"/>
        <family val="3"/>
        <charset val="128"/>
        <scheme val="minor"/>
      </rPr>
      <t>部</t>
    </r>
  </si>
  <si>
    <r>
      <t xml:space="preserve">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甜酒</t>
    </r>
  </si>
  <si>
    <t>养年春</t>
  </si>
  <si>
    <r>
      <t>范体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</si>
  <si>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五加皮酒（中国混合烈酒）;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清酒;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</si>
  <si>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私享</t>
    </r>
    <r>
      <rPr>
        <sz val="11"/>
        <color theme="1"/>
        <rFont val="ＭＳ Ｐゴシック"/>
        <family val="3"/>
        <charset val="134"/>
        <scheme val="minor"/>
      </rPr>
      <t>晓</t>
    </r>
    <r>
      <rPr>
        <sz val="11"/>
        <color theme="1"/>
        <rFont val="ＭＳ Ｐゴシック"/>
        <family val="3"/>
        <charset val="128"/>
        <scheme val="minor"/>
      </rPr>
      <t>熏</t>
    </r>
  </si>
  <si>
    <r>
      <t>奢香派酒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（广州）有限公司</t>
    </r>
  </si>
  <si>
    <r>
      <t>威士忌;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</si>
  <si>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晏湘坊</t>
  </si>
  <si>
    <r>
      <t>蒲</t>
    </r>
    <r>
      <rPr>
        <sz val="11"/>
        <color theme="1"/>
        <rFont val="ＭＳ Ｐゴシック"/>
        <family val="3"/>
        <charset val="134"/>
        <scheme val="minor"/>
      </rPr>
      <t>师</t>
    </r>
    <r>
      <rPr>
        <sz val="11"/>
        <color theme="1"/>
        <rFont val="ＭＳ Ｐゴシック"/>
        <family val="3"/>
        <charset val="128"/>
        <scheme val="minor"/>
      </rPr>
      <t>梅</t>
    </r>
  </si>
  <si>
    <r>
      <t xml:space="preserve">果酒; 清酒;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米酒; 葡萄酒; 高粱酒; 甜酒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</si>
  <si>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方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>·民</t>
    </r>
    <r>
      <rPr>
        <sz val="11"/>
        <color theme="1"/>
        <rFont val="ＭＳ Ｐゴシック"/>
        <family val="3"/>
        <charset val="134"/>
        <scheme val="minor"/>
      </rPr>
      <t>间</t>
    </r>
    <r>
      <rPr>
        <sz val="11"/>
        <color theme="1"/>
        <rFont val="ＭＳ Ｐゴシック"/>
        <family val="3"/>
        <charset val="128"/>
        <scheme val="minor"/>
      </rPr>
      <t>春皖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</si>
  <si>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方</t>
    </r>
    <r>
      <rPr>
        <sz val="11"/>
        <color theme="1"/>
        <rFont val="ＭＳ Ｐゴシック"/>
        <family val="3"/>
        <charset val="134"/>
        <scheme val="minor"/>
      </rPr>
      <t>缘酿</t>
    </r>
    <r>
      <rPr>
        <sz val="11"/>
        <color theme="1"/>
        <rFont val="ＭＳ Ｐゴシック"/>
        <family val="3"/>
        <charset val="128"/>
        <scheme val="minor"/>
      </rPr>
      <t>酒股份有限公司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</si>
  <si>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开胃酒; 食用酒精; 清酒（日本米酒）;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</t>
    </r>
  </si>
  <si>
    <t>疆魁春</t>
  </si>
  <si>
    <r>
      <t>党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敏</t>
    </r>
  </si>
  <si>
    <r>
      <t>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威士忌; 米酒; 白酒; 葡萄酒</t>
    </r>
  </si>
  <si>
    <t>KUOLAB</t>
  </si>
  <si>
    <t>湖南建星国喜食品有限公司</t>
  </si>
  <si>
    <r>
      <t>白酒; 苦艾酒;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烈酒; 白干酒（中国白酒）;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高粱酒;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</t>
    </r>
  </si>
  <si>
    <r>
      <t>韩</t>
    </r>
    <r>
      <rPr>
        <sz val="11"/>
        <color theme="1"/>
        <rFont val="ＭＳ Ｐゴシック"/>
        <family val="3"/>
        <charset val="128"/>
        <scheme val="minor"/>
      </rPr>
      <t>侯</t>
    </r>
    <r>
      <rPr>
        <sz val="11"/>
        <color theme="1"/>
        <rFont val="ＭＳ Ｐゴシック"/>
        <family val="3"/>
        <charset val="134"/>
        <scheme val="minor"/>
      </rPr>
      <t>贡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</si>
  <si>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老家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</si>
  <si>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蜂蜜酒; 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伏特加酒</t>
    </r>
  </si>
  <si>
    <r>
      <t>宏</t>
    </r>
    <r>
      <rPr>
        <sz val="11"/>
        <color theme="1"/>
        <rFont val="ＭＳ Ｐゴシック"/>
        <family val="3"/>
        <charset val="134"/>
        <scheme val="minor"/>
      </rPr>
      <t>扬辉</t>
    </r>
  </si>
  <si>
    <r>
      <t>许</t>
    </r>
    <r>
      <rPr>
        <sz val="11"/>
        <color theme="1"/>
        <rFont val="ＭＳ Ｐゴシック"/>
        <family val="3"/>
        <charset val="128"/>
        <scheme val="minor"/>
      </rPr>
      <t>昌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运商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</si>
  <si>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汽酒;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利口酒;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</si>
  <si>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r>
      <t>澳朗</t>
    </r>
    <r>
      <rPr>
        <sz val="11"/>
        <color theme="1"/>
        <rFont val="ＭＳ Ｐゴシック"/>
        <family val="3"/>
        <charset val="134"/>
        <scheme val="minor"/>
      </rPr>
      <t>铂</t>
    </r>
  </si>
  <si>
    <t>董清志</t>
  </si>
  <si>
    <r>
      <t xml:space="preserve">葡萄酒; 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白酒; 果酒; 利口酒; 汽酒</t>
    </r>
  </si>
  <si>
    <t>斯浮</t>
  </si>
  <si>
    <r>
      <t>大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市斯浮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滑油有限公司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</si>
  <si>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伏特加酒; 白酒; 白葡萄酒;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烈酒;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</t>
    </r>
  </si>
  <si>
    <r>
      <t>鼎偈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</si>
  <si>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果酒（含酒精）; 开胃酒;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清酒（日本米酒）</t>
    </r>
  </si>
  <si>
    <r>
      <t>越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青年</t>
    </r>
  </si>
  <si>
    <r>
      <t xml:space="preserve">白酒; 葡萄酒; 果酒（含酒精）; 米酒; 甘蔗制烈酒;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</si>
  <si>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九香人</t>
    </r>
    <r>
      <rPr>
        <sz val="11"/>
        <color theme="1"/>
        <rFont val="ＭＳ Ｐゴシック"/>
        <family val="3"/>
        <charset val="134"/>
        <scheme val="minor"/>
      </rPr>
      <t>间</t>
    </r>
  </si>
  <si>
    <r>
      <t>四川省今大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工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</si>
  <si>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开胃酒;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露酒;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</si>
  <si>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t>淄小妹</t>
  </si>
  <si>
    <t>淄博昂晨广告有限公司</t>
  </si>
  <si>
    <r>
      <t>米酒; 露酒;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白酒;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</si>
  <si>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方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>·春皖大</t>
    </r>
  </si>
  <si>
    <r>
      <t>栀</t>
    </r>
    <r>
      <rPr>
        <sz val="11"/>
        <color theme="1"/>
        <rFont val="ＭＳ Ｐゴシック"/>
        <family val="3"/>
        <charset val="128"/>
        <scheme val="minor"/>
      </rPr>
      <t>子姐姐</t>
    </r>
  </si>
  <si>
    <r>
      <t>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苦味酒; 餐后酒（利口酒和烈酒）; 米酒;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黄酒; 蜂蜜酒</t>
    </r>
  </si>
  <si>
    <r>
      <t>记补</t>
    </r>
    <r>
      <rPr>
        <sz val="11"/>
        <color theme="1"/>
        <rFont val="ＭＳ Ｐゴシック"/>
        <family val="3"/>
        <charset val="128"/>
        <scheme val="minor"/>
      </rPr>
      <t>季</t>
    </r>
  </si>
  <si>
    <r>
      <t>颗</t>
    </r>
    <r>
      <rPr>
        <sz val="11"/>
        <color theme="1"/>
        <rFont val="ＭＳ Ｐゴシック"/>
        <family val="3"/>
        <charset val="128"/>
        <scheme val="minor"/>
      </rPr>
      <t>田供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管理（大</t>
    </r>
    <r>
      <rPr>
        <sz val="11"/>
        <color theme="1"/>
        <rFont val="ＭＳ Ｐゴシック"/>
        <family val="3"/>
        <charset val="134"/>
        <scheme val="minor"/>
      </rPr>
      <t>连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</si>
  <si>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谷酷（北京）文化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</si>
  <si>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食用酒精; 利口酒;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</si>
  <si>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遵</t>
    </r>
    <r>
      <rPr>
        <sz val="11"/>
        <color theme="1"/>
        <rFont val="ＭＳ Ｐゴシック"/>
        <family val="3"/>
        <charset val="134"/>
        <scheme val="minor"/>
      </rPr>
      <t>义</t>
    </r>
    <r>
      <rPr>
        <sz val="11"/>
        <color theme="1"/>
        <rFont val="ＭＳ Ｐゴシック"/>
        <family val="3"/>
        <charset val="128"/>
        <scheme val="minor"/>
      </rPr>
      <t>荣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百</t>
    </r>
    <r>
      <rPr>
        <sz val="11"/>
        <color theme="1"/>
        <rFont val="ＭＳ Ｐゴシック"/>
        <family val="3"/>
        <charset val="134"/>
        <scheme val="minor"/>
      </rPr>
      <t>亿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</si>
  <si>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开胃酒;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清酒（日本米酒）</t>
    </r>
  </si>
  <si>
    <r>
      <t>韩</t>
    </r>
    <r>
      <rPr>
        <sz val="11"/>
        <color theme="1"/>
        <rFont val="ＭＳ Ｐゴシック"/>
        <family val="3"/>
        <charset val="128"/>
        <scheme val="minor"/>
      </rPr>
      <t>侯坊酒</t>
    </r>
  </si>
  <si>
    <r>
      <t>继</t>
    </r>
    <r>
      <rPr>
        <sz val="11"/>
        <color theme="1"/>
        <rFont val="ＭＳ Ｐゴシック"/>
        <family val="3"/>
        <charset val="128"/>
        <scheme val="minor"/>
      </rPr>
      <t>能</t>
    </r>
  </si>
  <si>
    <t>宁波每日体育有限公司</t>
  </si>
  <si>
    <r>
      <t xml:space="preserve">果酒（含酒精）;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清酒（日本米酒）; 白酒;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</si>
  <si>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r>
      <t>寻</t>
    </r>
    <r>
      <rPr>
        <sz val="11"/>
        <color theme="1"/>
        <rFont val="ＭＳ Ｐゴシック"/>
        <family val="3"/>
        <charset val="128"/>
        <scheme val="minor"/>
      </rPr>
      <t>味坐</t>
    </r>
    <r>
      <rPr>
        <sz val="11"/>
        <color theme="1"/>
        <rFont val="ＭＳ Ｐゴシック"/>
        <family val="3"/>
        <charset val="134"/>
        <scheme val="minor"/>
      </rPr>
      <t>标</t>
    </r>
  </si>
  <si>
    <r>
      <t>白小</t>
    </r>
    <r>
      <rPr>
        <sz val="11"/>
        <color theme="1"/>
        <rFont val="ＭＳ Ｐゴシック"/>
        <family val="3"/>
        <charset val="134"/>
        <scheme val="minor"/>
      </rPr>
      <t>维</t>
    </r>
  </si>
  <si>
    <t>开胃酒; 果酒; 汽酒; 清酒; 黄酒; 白酒; 米酒; 葡萄酒; 食用酒精; 甜酒</t>
  </si>
  <si>
    <t>今海岸</t>
  </si>
  <si>
    <r>
      <t>韩</t>
    </r>
    <r>
      <rPr>
        <sz val="11"/>
        <color theme="1"/>
        <rFont val="ＭＳ Ｐゴシック"/>
        <family val="3"/>
        <charset val="128"/>
        <scheme val="minor"/>
      </rPr>
      <t>蕊冰</t>
    </r>
  </si>
  <si>
    <t>米酒; 葡萄酒; 食用酒精; 甜酒; 开胃酒; 果酒; 汽酒; 清酒; 黄酒; 白酒</t>
  </si>
  <si>
    <t>梵高星月夜</t>
  </si>
  <si>
    <r>
      <t>省利哆（厦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）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出口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</si>
  <si>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果酒（含酒精）; 开胃酒; 餐后酒（利口酒和烈酒）;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</si>
  <si>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高宁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</si>
  <si>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州向日魁酒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</si>
  <si>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烈酒; 高粱酒; 米酒; 葡萄酒; 青稞酒; 食用酒精; 白酒</t>
    </r>
  </si>
  <si>
    <r>
      <t>传</t>
    </r>
    <r>
      <rPr>
        <sz val="11"/>
        <color theme="1"/>
        <rFont val="ＭＳ Ｐゴシック"/>
        <family val="3"/>
        <charset val="128"/>
        <scheme val="minor"/>
      </rPr>
      <t>霖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</si>
  <si>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刚</t>
    </r>
    <r>
      <rPr>
        <sz val="11"/>
        <color theme="1"/>
        <rFont val="ＭＳ Ｐゴシック"/>
        <family val="3"/>
        <charset val="128"/>
        <scheme val="minor"/>
      </rPr>
      <t>堂（海南）投</t>
    </r>
    <r>
      <rPr>
        <sz val="11"/>
        <color theme="1"/>
        <rFont val="ＭＳ Ｐゴシック"/>
        <family val="3"/>
        <charset val="134"/>
        <scheme val="minor"/>
      </rPr>
      <t>资发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</si>
  <si>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白酒;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高粱酒;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白干酒（中国白酒）</t>
    </r>
  </si>
  <si>
    <t>金雁 橙意</t>
  </si>
  <si>
    <r>
      <t>四川广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金雁酒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</si>
  <si>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开胃酒; 白酒;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利口酒; 蒸煮提取物（利口酒和烈酒）;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</si>
  <si>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仓</t>
    </r>
    <r>
      <rPr>
        <sz val="11"/>
        <color theme="1"/>
        <rFont val="ＭＳ Ｐゴシック"/>
        <family val="3"/>
        <charset val="128"/>
        <scheme val="minor"/>
      </rPr>
      <t>野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夫</t>
    </r>
  </si>
  <si>
    <t>郎国亭</t>
  </si>
  <si>
    <r>
      <t>米酒; 果酒（含酒精）; 薄荷酒; 开胃酒; 白酒; 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</si>
  <si>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九邸</t>
  </si>
  <si>
    <r>
      <t xml:space="preserve">黄酒; 白酒; 果酒（含酒精）;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威士忌; 米酒; 葡萄酒</t>
    </r>
  </si>
  <si>
    <t>与听同行</t>
  </si>
  <si>
    <r>
      <t>杭州彦少企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</si>
  <si>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果酒（含酒精）;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黄酒; 白酒; 米酒; 伏特加酒; 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</si>
  <si>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澳富斯公爵庄园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</si>
  <si>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州八</t>
    </r>
    <r>
      <rPr>
        <sz val="11"/>
        <color theme="1"/>
        <rFont val="ＭＳ Ｐゴシック"/>
        <family val="3"/>
        <charset val="134"/>
        <scheme val="minor"/>
      </rPr>
      <t>陆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</si>
  <si>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</t>
    </r>
  </si>
  <si>
    <t>爻坤</t>
  </si>
  <si>
    <r>
      <t>陕</t>
    </r>
    <r>
      <rPr>
        <sz val="11"/>
        <color theme="1"/>
        <rFont val="ＭＳ Ｐゴシック"/>
        <family val="3"/>
        <charset val="128"/>
        <scheme val="minor"/>
      </rPr>
      <t>西潘可金包装有限公司</t>
    </r>
  </si>
  <si>
    <r>
      <t xml:space="preserve">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米酒;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</si>
  <si>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澳朗伯</t>
  </si>
  <si>
    <r>
      <t xml:space="preserve">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白酒; 果酒; 利口酒; 汽酒; 葡萄酒</t>
    </r>
  </si>
  <si>
    <t>英琪璐</t>
  </si>
  <si>
    <r>
      <t>郑</t>
    </r>
    <r>
      <rPr>
        <sz val="11"/>
        <color theme="1"/>
        <rFont val="ＭＳ Ｐゴシック"/>
        <family val="3"/>
        <charset val="128"/>
        <scheme val="minor"/>
      </rPr>
      <t>学</t>
    </r>
    <r>
      <rPr>
        <sz val="11"/>
        <color theme="1"/>
        <rFont val="ＭＳ Ｐゴシック"/>
        <family val="3"/>
        <charset val="134"/>
        <scheme val="minor"/>
      </rPr>
      <t>泽</t>
    </r>
  </si>
  <si>
    <r>
      <t>餐后酒（利口酒和烈酒）;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果酒（含酒精）; 汽酒; 黄酒; 白酒;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</si>
  <si>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怀</t>
    </r>
    <r>
      <rPr>
        <sz val="11"/>
        <color theme="1"/>
        <rFont val="ＭＳ Ｐゴシック"/>
        <family val="3"/>
        <charset val="128"/>
        <scheme val="minor"/>
      </rPr>
      <t>宗武将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</si>
  <si>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市茅台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聚宝酒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</si>
  <si>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露酒; 食用酒精; 高粱酒; 果酒; 烈酒; 黄酒</t>
    </r>
  </si>
  <si>
    <r>
      <t>嗡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佳园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</si>
  <si>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州存元堂科技有限公司</t>
    </r>
  </si>
  <si>
    <r>
      <t xml:space="preserve">清酒;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利口酒;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威士忌; 葡萄酒</t>
    </r>
  </si>
  <si>
    <t>清沙大</t>
  </si>
  <si>
    <r>
      <t>湖南湘陶坊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</si>
  <si>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清酒（日本米酒）</t>
    </r>
  </si>
  <si>
    <r>
      <t>酩</t>
    </r>
    <r>
      <rPr>
        <sz val="11"/>
        <color theme="1"/>
        <rFont val="ＭＳ Ｐゴシック"/>
        <family val="3"/>
        <charset val="134"/>
        <scheme val="minor"/>
      </rPr>
      <t>为贵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</si>
  <si>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州香江广告有限公司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</si>
  <si>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高粱酒;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白干酒（中国白酒）; 黄酒</t>
    </r>
  </si>
  <si>
    <t>BELLAWELL</t>
  </si>
  <si>
    <r>
      <t>高拓澳大利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</si>
  <si>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果酒; 高粱酒;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黄酒; 白葡萄酒;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</si>
  <si>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本草邦</t>
  </si>
  <si>
    <r>
      <t>高</t>
    </r>
    <r>
      <rPr>
        <sz val="11"/>
        <color theme="1"/>
        <rFont val="ＭＳ Ｐゴシック"/>
        <family val="3"/>
        <charset val="134"/>
        <scheme val="minor"/>
      </rPr>
      <t>垒</t>
    </r>
  </si>
  <si>
    <r>
      <t>宜小</t>
    </r>
    <r>
      <rPr>
        <sz val="11"/>
        <color theme="1"/>
        <rFont val="ＭＳ Ｐゴシック"/>
        <family val="3"/>
        <charset val="134"/>
        <scheme val="minor"/>
      </rPr>
      <t>满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</si>
  <si>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州慕荣酒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</si>
  <si>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 xml:space="preserve">汽酒; 青稞酒;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薄荷酒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</si>
  <si>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方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>·春皖特</t>
    </r>
  </si>
  <si>
    <t>坛缃记</t>
  </si>
  <si>
    <r>
      <t>明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>鑫</t>
    </r>
  </si>
  <si>
    <r>
      <t>西安明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</si>
  <si>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果酒（含酒精）;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黄酒; 高粱酒; 甜酒;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</si>
  <si>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共醴</t>
  </si>
  <si>
    <r>
      <t>汇</t>
    </r>
    <r>
      <rPr>
        <sz val="11"/>
        <color theme="1"/>
        <rFont val="ＭＳ Ｐゴシック"/>
        <family val="3"/>
        <charset val="128"/>
        <scheme val="minor"/>
      </rPr>
      <t>聚德</t>
    </r>
  </si>
  <si>
    <t>陈艳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</si>
  <si>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青稞酒; 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苦味酒; 蜂蜜酒; 食用酒精; 白酒; 杜松子酒</t>
    </r>
  </si>
  <si>
    <r>
      <t>老久根酒道</t>
    </r>
    <r>
      <rPr>
        <sz val="11"/>
        <color theme="1"/>
        <rFont val="ＭＳ Ｐゴシック"/>
        <family val="3"/>
        <charset val="134"/>
        <scheme val="minor"/>
      </rPr>
      <t>馆</t>
    </r>
  </si>
  <si>
    <r>
      <t>四川省邛</t>
    </r>
    <r>
      <rPr>
        <sz val="11"/>
        <color theme="1"/>
        <rFont val="ＭＳ Ｐゴシック"/>
        <family val="3"/>
        <charset val="134"/>
        <scheme val="minor"/>
      </rPr>
      <t>崃</t>
    </r>
    <r>
      <rPr>
        <sz val="11"/>
        <color theme="1"/>
        <rFont val="ＭＳ Ｐゴシック"/>
        <family val="3"/>
        <charset val="128"/>
        <scheme val="minor"/>
      </rPr>
      <t>市金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酒厂</t>
    </r>
  </si>
  <si>
    <r>
      <t xml:space="preserve">果酒（含酒精）; 葡萄酒; 利口酒; 米酒; 清酒; 青稞酒; 白酒; 高粱酒;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</si>
  <si>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随</t>
    </r>
    <r>
      <rPr>
        <sz val="11"/>
        <color theme="1"/>
        <rFont val="ＭＳ Ｐゴシック"/>
        <family val="3"/>
        <charset val="134"/>
        <scheme val="minor"/>
      </rPr>
      <t>乐</t>
    </r>
  </si>
  <si>
    <r>
      <t>大韶国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播（深圳）有限公司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</si>
  <si>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青稞酒; 黄酒; 白酒; 高粱酒; 汽酒</t>
    </r>
  </si>
  <si>
    <t>LYNNE’SWILL</t>
  </si>
  <si>
    <r>
      <t>唯</t>
    </r>
    <r>
      <rPr>
        <sz val="11"/>
        <color theme="1"/>
        <rFont val="ＭＳ Ｐゴシック"/>
        <family val="3"/>
        <charset val="134"/>
        <scheme val="minor"/>
      </rPr>
      <t>实</t>
    </r>
    <r>
      <rPr>
        <sz val="11"/>
        <color theme="1"/>
        <rFont val="ＭＳ Ｐゴシック"/>
        <family val="3"/>
        <charset val="128"/>
        <scheme val="minor"/>
      </rPr>
      <t>（新</t>
    </r>
    <r>
      <rPr>
        <sz val="11"/>
        <color theme="1"/>
        <rFont val="ＭＳ Ｐゴシック"/>
        <family val="3"/>
        <charset val="134"/>
        <scheme val="minor"/>
      </rPr>
      <t>宾满</t>
    </r>
    <r>
      <rPr>
        <sz val="11"/>
        <color theme="1"/>
        <rFont val="ＭＳ Ｐゴシック"/>
        <family val="3"/>
        <charset val="128"/>
        <scheme val="minor"/>
      </rPr>
      <t>族自治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）食品科技有限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</si>
  <si>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利口酒; 蜂蜜酒; 葡萄酒; 含酒精的气泡水;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朗姆酒;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</si>
  <si>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蔡厂</t>
    </r>
    <r>
      <rPr>
        <sz val="11"/>
        <color theme="1"/>
        <rFont val="ＭＳ Ｐゴシック"/>
        <family val="3"/>
        <charset val="134"/>
        <scheme val="minor"/>
      </rPr>
      <t>长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</si>
  <si>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粮谷酒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</si>
  <si>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高粱酒; 果酒; 烈酒; 白酒; 伏特加酒; 米酒; 薄荷酒; 葡萄酒; 黄酒; 利口酒</t>
  </si>
  <si>
    <t>曦来</t>
  </si>
  <si>
    <r>
      <t>杨</t>
    </r>
    <r>
      <rPr>
        <sz val="11"/>
        <color theme="1"/>
        <rFont val="ＭＳ Ｐゴシック"/>
        <family val="3"/>
        <charset val="128"/>
        <scheme val="minor"/>
      </rPr>
      <t>珍珠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</si>
  <si>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清酒（日本米酒）</t>
    </r>
  </si>
  <si>
    <r>
      <t>玄黄</t>
    </r>
    <r>
      <rPr>
        <sz val="11"/>
        <color theme="1"/>
        <rFont val="ＭＳ Ｐゴシック"/>
        <family val="3"/>
        <charset val="134"/>
        <scheme val="minor"/>
      </rPr>
      <t>纪</t>
    </r>
  </si>
  <si>
    <r>
      <t>洪荒</t>
    </r>
    <r>
      <rPr>
        <sz val="11"/>
        <color theme="1"/>
        <rFont val="ＭＳ Ｐゴシック"/>
        <family val="3"/>
        <charset val="134"/>
        <scheme val="minor"/>
      </rPr>
      <t>纪</t>
    </r>
  </si>
  <si>
    <t>滇众</t>
  </si>
  <si>
    <r>
      <t>刘金</t>
    </r>
    <r>
      <rPr>
        <sz val="11"/>
        <color theme="1"/>
        <rFont val="ＭＳ Ｐゴシック"/>
        <family val="3"/>
        <charset val="134"/>
        <scheme val="minor"/>
      </rPr>
      <t>维</t>
    </r>
  </si>
  <si>
    <r>
      <t xml:space="preserve">开胃酒; 葡萄酒; 蜂蜜酒;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梨酒</t>
    </r>
  </si>
  <si>
    <t>秦·和氏堂</t>
  </si>
  <si>
    <r>
      <t>内蒙古蒙元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膳医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生物有限公司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</si>
  <si>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果酒（含酒精）;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</si>
  <si>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SHELA VILLAGE 熹村</t>
  </si>
  <si>
    <r>
      <t>广州市勤天地</t>
    </r>
    <r>
      <rPr>
        <sz val="11"/>
        <color theme="1"/>
        <rFont val="ＭＳ Ｐゴシック"/>
        <family val="3"/>
        <charset val="134"/>
        <scheme val="minor"/>
      </rPr>
      <t>产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</si>
  <si>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</si>
  <si>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CHIBIZUI</t>
  </si>
  <si>
    <r>
      <t>YYR 雍·</t>
    </r>
    <r>
      <rPr>
        <sz val="11"/>
        <color theme="1"/>
        <rFont val="ＭＳ Ｐゴシック"/>
        <family val="3"/>
        <charset val="134"/>
        <scheme val="minor"/>
      </rPr>
      <t>渔</t>
    </r>
    <r>
      <rPr>
        <sz val="11"/>
        <color theme="1"/>
        <rFont val="ＭＳ Ｐゴシック"/>
        <family val="3"/>
        <charset val="128"/>
        <scheme val="minor"/>
      </rPr>
      <t>人</t>
    </r>
  </si>
  <si>
    <r>
      <t>柳州市科同休</t>
    </r>
    <r>
      <rPr>
        <sz val="11"/>
        <color theme="1"/>
        <rFont val="ＭＳ Ｐゴシック"/>
        <family val="3"/>
        <charset val="134"/>
        <scheme val="minor"/>
      </rPr>
      <t>闲农业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</si>
  <si>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日式甜米酒;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白干酒（中国白酒）;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</si>
  <si>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JINGUOZUI</t>
  </si>
  <si>
    <r>
      <t>四川省</t>
    </r>
    <r>
      <rPr>
        <sz val="11"/>
        <color theme="1"/>
        <rFont val="ＭＳ Ｐゴシック"/>
        <family val="3"/>
        <charset val="134"/>
        <scheme val="minor"/>
      </rPr>
      <t>泸</t>
    </r>
    <r>
      <rPr>
        <sz val="11"/>
        <color theme="1"/>
        <rFont val="ＭＳ Ｐゴシック"/>
        <family val="3"/>
        <charset val="128"/>
        <scheme val="minor"/>
      </rPr>
      <t>州市巾</t>
    </r>
    <r>
      <rPr>
        <sz val="11"/>
        <color theme="1"/>
        <rFont val="ＭＳ Ｐゴシック"/>
        <family val="3"/>
        <charset val="134"/>
        <scheme val="minor"/>
      </rPr>
      <t>帼</t>
    </r>
    <r>
      <rPr>
        <sz val="11"/>
        <color theme="1"/>
        <rFont val="ＭＳ Ｐゴシック"/>
        <family val="3"/>
        <charset val="128"/>
        <scheme val="minor"/>
      </rPr>
      <t>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</si>
  <si>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白酒; 清酒; 葡萄酒; 开胃酒; 果酒（含酒精）; 蜂蜜酒;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</si>
  <si>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我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柒玖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</si>
  <si>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州我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柒玖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</si>
  <si>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果酒（含酒精）; 苦味酒;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果酒; 甜酒; 清酒; 食用酒精</t>
    </r>
  </si>
  <si>
    <r>
      <t>沐</t>
    </r>
    <r>
      <rPr>
        <sz val="11"/>
        <color theme="1"/>
        <rFont val="ＭＳ Ｐゴシック"/>
        <family val="3"/>
        <charset val="134"/>
        <scheme val="minor"/>
      </rPr>
      <t>壶</t>
    </r>
    <r>
      <rPr>
        <sz val="11"/>
        <color theme="1"/>
        <rFont val="ＭＳ Ｐゴシック"/>
        <family val="3"/>
        <charset val="128"/>
        <scheme val="minor"/>
      </rPr>
      <t>春</t>
    </r>
  </si>
  <si>
    <r>
      <t>李春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</si>
  <si>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>开胃酒;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食用酒精; 威士忌; 黄酒</t>
    </r>
  </si>
  <si>
    <t>誉王子</t>
  </si>
  <si>
    <r>
      <t>蒋</t>
    </r>
    <r>
      <rPr>
        <sz val="11"/>
        <color theme="1"/>
        <rFont val="ＭＳ Ｐゴシック"/>
        <family val="3"/>
        <charset val="134"/>
        <scheme val="minor"/>
      </rPr>
      <t>钦</t>
    </r>
  </si>
  <si>
    <r>
      <t>威士忌;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果酒（含酒精）; 黄酒; 白酒; 开胃酒; 葡萄酒</t>
    </r>
  </si>
  <si>
    <t>秦享台</t>
  </si>
  <si>
    <r>
      <t>夏</t>
    </r>
    <r>
      <rPr>
        <sz val="11"/>
        <color theme="1"/>
        <rFont val="ＭＳ Ｐゴシック"/>
        <family val="3"/>
        <charset val="134"/>
        <scheme val="minor"/>
      </rPr>
      <t>艳红</t>
    </r>
  </si>
  <si>
    <r>
      <t>薄荷酒; 果酒（含酒精）;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</si>
  <si>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名仁</t>
    </r>
    <r>
      <rPr>
        <sz val="11"/>
        <color theme="1"/>
        <rFont val="ＭＳ Ｐゴシック"/>
        <family val="3"/>
        <charset val="134"/>
        <scheme val="minor"/>
      </rPr>
      <t>苏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</si>
  <si>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双沟酒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</si>
  <si>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清酒（日本米酒）; 伏特加酒;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</t>
    </r>
  </si>
  <si>
    <t>勿意</t>
  </si>
  <si>
    <t>潘俊</t>
  </si>
  <si>
    <r>
      <t>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露酒;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食用酒精</t>
    </r>
  </si>
  <si>
    <r>
      <t>九粮祁</t>
    </r>
    <r>
      <rPr>
        <sz val="11"/>
        <color theme="1"/>
        <rFont val="ＭＳ Ｐゴシック"/>
        <family val="3"/>
        <charset val="134"/>
        <scheme val="minor"/>
      </rPr>
      <t>连红</t>
    </r>
  </si>
  <si>
    <r>
      <t>甘</t>
    </r>
    <r>
      <rPr>
        <sz val="11"/>
        <color theme="1"/>
        <rFont val="ＭＳ Ｐゴシック"/>
        <family val="3"/>
        <charset val="134"/>
        <scheme val="minor"/>
      </rPr>
      <t>肃润泽</t>
    </r>
    <r>
      <rPr>
        <sz val="11"/>
        <color theme="1"/>
        <rFont val="ＭＳ Ｐゴシック"/>
        <family val="3"/>
        <charset val="128"/>
        <scheme val="minor"/>
      </rPr>
      <t>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食品管理有限公司</t>
    </r>
  </si>
  <si>
    <r>
      <t>威士忌; 米酒; 清酒; 薄荷酒;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高粱酒; 果酒（含酒精）; 葡萄酒; 蜂蜜酒</t>
    </r>
  </si>
  <si>
    <t>云深生</t>
  </si>
  <si>
    <r>
      <t>邓</t>
    </r>
    <r>
      <rPr>
        <sz val="11"/>
        <color theme="1"/>
        <rFont val="ＭＳ Ｐゴシック"/>
        <family val="3"/>
        <charset val="128"/>
        <scheme val="minor"/>
      </rPr>
      <t>文昕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</si>
  <si>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米酒; 黄酒</t>
    </r>
  </si>
  <si>
    <t>全氏和 QUANSHI AND</t>
  </si>
  <si>
    <t>全自然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</si>
  <si>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</si>
  <si>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康美百益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</si>
  <si>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可域医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</si>
  <si>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白酒;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</si>
  <si>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r>
      <t>宗</t>
    </r>
    <r>
      <rPr>
        <sz val="11"/>
        <color theme="1"/>
        <rFont val="ＭＳ Ｐゴシック"/>
        <family val="3"/>
        <charset val="129"/>
        <scheme val="minor"/>
      </rPr>
      <t>慤</t>
    </r>
  </si>
  <si>
    <r>
      <t>泉州箐染服</t>
    </r>
    <r>
      <rPr>
        <sz val="11"/>
        <color theme="1"/>
        <rFont val="ＭＳ Ｐゴシック"/>
        <family val="3"/>
        <charset val="134"/>
        <scheme val="minor"/>
      </rPr>
      <t>饰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</si>
  <si>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葡萄酒;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</si>
  <si>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陇</t>
    </r>
    <r>
      <rPr>
        <sz val="11"/>
        <color theme="1"/>
        <rFont val="ＭＳ Ｐゴシック"/>
        <family val="3"/>
        <charset val="128"/>
        <scheme val="minor"/>
      </rPr>
      <t>牌福酒</t>
    </r>
  </si>
  <si>
    <t>杨银</t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</si>
  <si>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高粱酒;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露酒;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烈性干酒; 烈酒</t>
    </r>
  </si>
  <si>
    <t>FROSTS ESTATE</t>
  </si>
  <si>
    <r>
      <t>香港祥达集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</si>
  <si>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杜松子酒;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苹果酒; 薄荷酒;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</si>
  <si>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权</t>
    </r>
    <r>
      <rPr>
        <sz val="11"/>
        <color theme="1"/>
        <rFont val="ＭＳ Ｐゴシック"/>
        <family val="3"/>
        <charset val="128"/>
        <scheme val="minor"/>
      </rPr>
      <t>利者</t>
    </r>
  </si>
  <si>
    <r>
      <t>佛山夏</t>
    </r>
    <r>
      <rPr>
        <sz val="11"/>
        <color theme="1"/>
        <rFont val="ＭＳ Ｐゴシック"/>
        <family val="3"/>
        <charset val="134"/>
        <scheme val="minor"/>
      </rPr>
      <t>兴电</t>
    </r>
    <r>
      <rPr>
        <sz val="11"/>
        <color theme="1"/>
        <rFont val="ＭＳ Ｐゴシック"/>
        <family val="3"/>
        <charset val="128"/>
        <scheme val="minor"/>
      </rPr>
      <t>子科技有限公司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</si>
  <si>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白酒; 黄酒; 食用酒精; 米酒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</si>
  <si>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七叔</t>
    </r>
  </si>
  <si>
    <r>
      <t>吕</t>
    </r>
    <r>
      <rPr>
        <sz val="11"/>
        <color theme="1"/>
        <rFont val="ＭＳ Ｐゴシック"/>
        <family val="3"/>
        <charset val="128"/>
        <scheme val="minor"/>
      </rPr>
      <t>承烈</t>
    </r>
  </si>
  <si>
    <r>
      <t>白酒; 黄酒; 清酒（日本米酒）; 威士忌;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葡萄酒; 白干酒（中国白酒）</t>
    </r>
  </si>
  <si>
    <t>洋溪湑酒</t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</si>
  <si>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黄酒; 白酒; 清酒（日本米酒）</t>
    </r>
  </si>
  <si>
    <t>正吉庄</t>
  </si>
  <si>
    <r>
      <t>武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市瑞然文化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意有限公司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</si>
  <si>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清酒</t>
    </r>
  </si>
  <si>
    <t>花小拙</t>
  </si>
  <si>
    <r>
      <t>贺</t>
    </r>
    <r>
      <rPr>
        <sz val="11"/>
        <color theme="1"/>
        <rFont val="ＭＳ Ｐゴシック"/>
        <family val="3"/>
        <charset val="128"/>
        <scheme val="minor"/>
      </rPr>
      <t>老六</t>
    </r>
  </si>
  <si>
    <r>
      <t>甘</t>
    </r>
    <r>
      <rPr>
        <sz val="11"/>
        <color theme="1"/>
        <rFont val="ＭＳ Ｐゴシック"/>
        <family val="3"/>
        <charset val="134"/>
        <scheme val="minor"/>
      </rPr>
      <t>肃</t>
    </r>
    <r>
      <rPr>
        <sz val="11"/>
        <color theme="1"/>
        <rFont val="ＭＳ Ｐゴシック"/>
        <family val="3"/>
        <charset val="128"/>
        <scheme val="minor"/>
      </rPr>
      <t>王符春酒厂</t>
    </r>
  </si>
  <si>
    <r>
      <t>白酒; 黄酒; 果酒; 葡萄酒;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</si>
  <si>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陇</t>
    </r>
    <r>
      <rPr>
        <sz val="11"/>
        <color theme="1"/>
        <rFont val="ＭＳ Ｐゴシック"/>
        <family val="3"/>
        <charset val="128"/>
        <scheme val="minor"/>
      </rPr>
      <t>客王子 酒</t>
    </r>
  </si>
  <si>
    <r>
      <t>玛坚</t>
    </r>
    <r>
      <rPr>
        <sz val="11"/>
        <color theme="1"/>
        <rFont val="ＭＳ Ｐゴシック"/>
        <family val="3"/>
        <charset val="128"/>
        <scheme val="minor"/>
      </rPr>
      <t>尼（佛山）酒</t>
    </r>
    <r>
      <rPr>
        <sz val="11"/>
        <color theme="1"/>
        <rFont val="ＭＳ Ｐゴシック"/>
        <family val="3"/>
        <charset val="134"/>
        <scheme val="minor"/>
      </rPr>
      <t>业贸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</si>
  <si>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混合威士忌酒; 威士忌; 朗姆酒; 梅酒; 伏特加酒;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</si>
  <si>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t>可信渡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</si>
  <si>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州可珍酒</t>
    </r>
    <r>
      <rPr>
        <sz val="11"/>
        <color theme="1"/>
        <rFont val="ＭＳ Ｐゴシック"/>
        <family val="3"/>
        <charset val="134"/>
        <scheme val="minor"/>
      </rPr>
      <t>业贸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</si>
  <si>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葡萄酒</t>
    </r>
  </si>
  <si>
    <r>
      <t>麦卡</t>
    </r>
    <r>
      <rPr>
        <sz val="11"/>
        <color theme="1"/>
        <rFont val="ＭＳ Ｐゴシック"/>
        <family val="3"/>
        <charset val="134"/>
        <scheme val="minor"/>
      </rPr>
      <t>兰</t>
    </r>
  </si>
  <si>
    <r>
      <t>沈阳欧利德商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</si>
  <si>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利口酒; 伏特加酒; 酸酒（低等葡萄酒）; 清酒（日本米酒）; 威士忌; 朗姆酒;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</si>
  <si>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图</t>
    </r>
    <r>
      <rPr>
        <sz val="11"/>
        <color theme="1"/>
        <rFont val="ＭＳ Ｐゴシック"/>
        <family val="3"/>
        <charset val="128"/>
        <scheme val="minor"/>
      </rPr>
      <t>易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</si>
  <si>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厉</t>
    </r>
    <r>
      <rPr>
        <sz val="11"/>
        <color theme="1"/>
        <rFont val="ＭＳ Ｐゴシック"/>
        <family val="3"/>
        <charset val="128"/>
        <scheme val="minor"/>
      </rPr>
      <t>王窖酒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</si>
  <si>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白酒; 米酒; 黄酒; 果酒（含酒精）; 苦味酒</t>
    </r>
  </si>
  <si>
    <r>
      <t>田湾</t>
    </r>
    <r>
      <rPr>
        <sz val="11"/>
        <color theme="1"/>
        <rFont val="ＭＳ Ｐゴシック"/>
        <family val="3"/>
        <charset val="134"/>
        <scheme val="minor"/>
      </rPr>
      <t>岛</t>
    </r>
  </si>
  <si>
    <r>
      <t>朱</t>
    </r>
    <r>
      <rPr>
        <sz val="11"/>
        <color theme="1"/>
        <rFont val="ＭＳ Ｐゴシック"/>
        <family val="3"/>
        <charset val="134"/>
        <scheme val="minor"/>
      </rPr>
      <t>伟</t>
    </r>
    <r>
      <rPr>
        <sz val="11"/>
        <color theme="1"/>
        <rFont val="ＭＳ Ｐゴシック"/>
        <family val="3"/>
        <charset val="128"/>
        <scheme val="minor"/>
      </rPr>
      <t>定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</si>
  <si>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利口酒;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</si>
  <si>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神州亳祖</t>
  </si>
  <si>
    <r>
      <t>安徽天意天</t>
    </r>
    <r>
      <rPr>
        <sz val="11"/>
        <color theme="1"/>
        <rFont val="ＭＳ Ｐゴシック"/>
        <family val="3"/>
        <charset val="134"/>
        <scheme val="minor"/>
      </rPr>
      <t>赐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</si>
  <si>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清酒;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白酒</t>
    </r>
  </si>
  <si>
    <t>市王</t>
  </si>
  <si>
    <r>
      <t>肖</t>
    </r>
    <r>
      <rPr>
        <sz val="11"/>
        <color theme="1"/>
        <rFont val="ＭＳ Ｐゴシック"/>
        <family val="3"/>
        <charset val="134"/>
        <scheme val="minor"/>
      </rPr>
      <t>远</t>
    </r>
    <r>
      <rPr>
        <sz val="11"/>
        <color theme="1"/>
        <rFont val="ＭＳ Ｐゴシック"/>
        <family val="3"/>
        <charset val="128"/>
        <scheme val="minor"/>
      </rPr>
      <t>昔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</si>
  <si>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汽酒; 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葡萄酒</t>
    </r>
  </si>
  <si>
    <t>离染</t>
  </si>
  <si>
    <r>
      <t>扬</t>
    </r>
    <r>
      <rPr>
        <sz val="11"/>
        <color theme="1"/>
        <rFont val="ＭＳ Ｐゴシック"/>
        <family val="3"/>
        <charset val="128"/>
        <scheme val="minor"/>
      </rPr>
      <t>州离染文化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</si>
  <si>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青稞酒; 食用酒精; 威士忌</t>
    </r>
  </si>
  <si>
    <t>爽米爽</t>
  </si>
  <si>
    <t>王金秀</t>
  </si>
  <si>
    <r>
      <t>白酒; 黄酒;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葡萄酒; 伏特加酒;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</si>
  <si>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稻契竹水</t>
  </si>
  <si>
    <r>
      <t>福建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岩市桂岭酒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</si>
  <si>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甜酒;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食用酒精; 米酒</t>
    </r>
  </si>
  <si>
    <t>黑潜挺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</si>
  <si>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瓴健康管理有限公司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</si>
  <si>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果酒（含酒精）; 黄酒;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</si>
  <si>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ZYJD</t>
  </si>
  <si>
    <r>
      <t>茅</t>
    </r>
    <r>
      <rPr>
        <sz val="11"/>
        <color theme="1"/>
        <rFont val="ＭＳ Ｐゴシック"/>
        <family val="3"/>
        <charset val="134"/>
        <scheme val="minor"/>
      </rPr>
      <t>习</t>
    </r>
    <r>
      <rPr>
        <sz val="11"/>
        <color theme="1"/>
        <rFont val="ＭＳ Ｐゴシック"/>
        <family val="3"/>
        <charset val="128"/>
        <scheme val="minor"/>
      </rPr>
      <t>五粮（天津）酒庄有限公司</t>
    </r>
  </si>
  <si>
    <r>
      <t>白酒; 果酒（含酒精）; 梨酒;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米酒; 朗姆酒; 汽酒; 青稞酒; 威士忌</t>
    </r>
  </si>
  <si>
    <r>
      <t>丹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嘉沃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</si>
  <si>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西丹</t>
    </r>
    <r>
      <rPr>
        <sz val="11"/>
        <color theme="1"/>
        <rFont val="ＭＳ Ｐゴシック"/>
        <family val="3"/>
        <charset val="134"/>
        <scheme val="minor"/>
      </rPr>
      <t>飞凤</t>
    </r>
    <r>
      <rPr>
        <sz val="11"/>
        <color theme="1"/>
        <rFont val="ＭＳ Ｐゴシック"/>
        <family val="3"/>
        <charset val="128"/>
        <scheme val="minor"/>
      </rPr>
      <t>舞商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</si>
  <si>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蒸煮提取物（利口酒和烈酒）;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</si>
  <si>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蓝缈</t>
  </si>
  <si>
    <t>栾力莉</t>
  </si>
  <si>
    <r>
      <t xml:space="preserve">白酒; 果酒; 烈酒; 葡萄酒; 薄荷酒;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</si>
  <si>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VIAN</t>
  </si>
  <si>
    <r>
      <t>俊</t>
    </r>
    <r>
      <rPr>
        <sz val="11"/>
        <color theme="1"/>
        <rFont val="ＭＳ Ｐゴシック"/>
        <family val="3"/>
        <charset val="134"/>
        <scheme val="minor"/>
      </rPr>
      <t>锋</t>
    </r>
    <r>
      <rPr>
        <sz val="11"/>
        <color theme="1"/>
        <rFont val="ＭＳ Ｐゴシック"/>
        <family val="3"/>
        <charset val="128"/>
        <scheme val="minor"/>
      </rPr>
      <t>科技（惠州）有限公司</t>
    </r>
  </si>
  <si>
    <r>
      <t>黄酒; 食用酒精; 白酒; 葡萄酒; 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</si>
  <si>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遇福城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</si>
  <si>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泉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</si>
  <si>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蜂蜜酒; 开胃酒;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米酒; 白酒;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梨酒</t>
    </r>
  </si>
  <si>
    <r>
      <t>伏</t>
    </r>
    <r>
      <rPr>
        <sz val="11"/>
        <color theme="1"/>
        <rFont val="ＭＳ Ｐゴシック"/>
        <family val="3"/>
        <charset val="134"/>
        <scheme val="minor"/>
      </rPr>
      <t>赛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</si>
  <si>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薄荷酒;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开胃酒; 果酒</t>
    </r>
  </si>
  <si>
    <r>
      <t>陇</t>
    </r>
    <r>
      <rPr>
        <sz val="11"/>
        <color theme="1"/>
        <rFont val="ＭＳ Ｐゴシック"/>
        <family val="3"/>
        <charset val="128"/>
        <scheme val="minor"/>
      </rPr>
      <t>之誉</t>
    </r>
  </si>
  <si>
    <t>秦海林</t>
  </si>
  <si>
    <r>
      <t>白酒; 青稞酒; 黄酒; 食用酒精;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开胃酒; 高粱酒;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</si>
  <si>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t>阿木小屋</t>
  </si>
  <si>
    <t>阿拉木斯******************</t>
  </si>
  <si>
    <r>
      <t>白酒; 蜂蜜酒; 果酒（含酒精）; 开胃酒; 蒸煮提取物（利口酒和烈酒）;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</t>
    </r>
  </si>
  <si>
    <t>FEIBALLY</t>
  </si>
  <si>
    <r>
      <t>雅盛供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（广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</si>
  <si>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葡萄酒;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</si>
  <si>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恋今品</t>
  </si>
  <si>
    <r>
      <t>方</t>
    </r>
    <r>
      <rPr>
        <sz val="11"/>
        <color theme="1"/>
        <rFont val="ＭＳ Ｐゴシック"/>
        <family val="3"/>
        <charset val="134"/>
        <scheme val="minor"/>
      </rPr>
      <t>灿辉</t>
    </r>
  </si>
  <si>
    <r>
      <t>白酒; 黄酒; 食用酒精; 威士忌; 青稞酒;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</si>
  <si>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陶供</t>
  </si>
  <si>
    <r>
      <t>济</t>
    </r>
    <r>
      <rPr>
        <sz val="11"/>
        <color theme="1"/>
        <rFont val="ＭＳ Ｐゴシック"/>
        <family val="3"/>
        <charset val="128"/>
        <scheme val="minor"/>
      </rPr>
      <t>南广度</t>
    </r>
    <r>
      <rPr>
        <sz val="11"/>
        <color theme="1"/>
        <rFont val="ＭＳ Ｐゴシック"/>
        <family val="3"/>
        <charset val="134"/>
        <scheme val="minor"/>
      </rPr>
      <t>经贸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</si>
  <si>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葡萄酒; 黄酒</t>
    </r>
  </si>
  <si>
    <t>春生建</t>
  </si>
  <si>
    <r>
      <t>汉</t>
    </r>
    <r>
      <rPr>
        <sz val="11"/>
        <color theme="1"/>
        <rFont val="ＭＳ Ｐゴシック"/>
        <family val="3"/>
        <charset val="128"/>
        <scheme val="minor"/>
      </rPr>
      <t>中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府田园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</si>
  <si>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白酒; 米酒;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</si>
  <si>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坤泰</t>
    </r>
    <r>
      <rPr>
        <sz val="11"/>
        <color theme="1"/>
        <rFont val="ＭＳ Ｐゴシック"/>
        <family val="3"/>
        <charset val="134"/>
        <scheme val="minor"/>
      </rPr>
      <t>龙</t>
    </r>
  </si>
  <si>
    <t>广西坤泰化工科技有限公司</t>
  </si>
  <si>
    <r>
      <t>果酒（含酒精）;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利口酒</t>
    </r>
  </si>
  <si>
    <t>良神</t>
  </si>
  <si>
    <r>
      <t>尼格昆</t>
    </r>
    <r>
      <rPr>
        <sz val="11"/>
        <color theme="1"/>
        <rFont val="ＭＳ Ｐゴシック"/>
        <family val="3"/>
        <charset val="134"/>
        <scheme val="minor"/>
      </rPr>
      <t>仑润</t>
    </r>
    <r>
      <rPr>
        <sz val="11"/>
        <color theme="1"/>
        <rFont val="ＭＳ Ｐゴシック"/>
        <family val="3"/>
        <charset val="128"/>
        <scheme val="minor"/>
      </rPr>
      <t>滑油（沈阳）有限公司</t>
    </r>
  </si>
  <si>
    <r>
      <t xml:space="preserve">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黄酒; 葡萄酒; 米酒; 汽酒; 青稞酒; 蒸煮提取物（利口酒和烈酒）</t>
    </r>
  </si>
  <si>
    <r>
      <t>问</t>
    </r>
    <r>
      <rPr>
        <sz val="11"/>
        <color theme="1"/>
        <rFont val="ＭＳ Ｐゴシック"/>
        <family val="3"/>
        <charset val="128"/>
        <scheme val="minor"/>
      </rPr>
      <t>君老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</si>
  <si>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州天地恒酒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</si>
  <si>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</si>
  <si>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r>
      <t>壮掌</t>
    </r>
    <r>
      <rPr>
        <sz val="11"/>
        <color theme="1"/>
        <rFont val="ＭＳ Ｐゴシック"/>
        <family val="3"/>
        <charset val="134"/>
        <scheme val="minor"/>
      </rPr>
      <t>门</t>
    </r>
  </si>
  <si>
    <t>广西国金新材料科技有限公司</t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</si>
  <si>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</si>
  <si>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散花池</t>
  </si>
  <si>
    <r>
      <t>王</t>
    </r>
    <r>
      <rPr>
        <sz val="11"/>
        <color theme="1"/>
        <rFont val="ＭＳ Ｐゴシック"/>
        <family val="3"/>
        <charset val="134"/>
        <scheme val="minor"/>
      </rPr>
      <t>顶</t>
    </r>
    <r>
      <rPr>
        <sz val="11"/>
        <color theme="1"/>
        <rFont val="ＭＳ Ｐゴシック"/>
        <family val="3"/>
        <charset val="128"/>
        <scheme val="minor"/>
      </rPr>
      <t>启</t>
    </r>
  </si>
  <si>
    <r>
      <t>白酒; 米酒; 苹果酒; 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蜂蜜酒</t>
    </r>
  </si>
  <si>
    <r>
      <t>言</t>
    </r>
    <r>
      <rPr>
        <sz val="11"/>
        <color theme="1"/>
        <rFont val="ＭＳ Ｐゴシック"/>
        <family val="3"/>
        <charset val="134"/>
        <scheme val="minor"/>
      </rPr>
      <t>词</t>
    </r>
  </si>
  <si>
    <r>
      <t>贺</t>
    </r>
    <r>
      <rPr>
        <sz val="11"/>
        <color theme="1"/>
        <rFont val="ＭＳ Ｐゴシック"/>
        <family val="3"/>
        <charset val="128"/>
        <scheme val="minor"/>
      </rPr>
      <t>平云</t>
    </r>
  </si>
  <si>
    <r>
      <t>崃</t>
    </r>
    <r>
      <rPr>
        <sz val="11"/>
        <color theme="1"/>
        <rFont val="ＭＳ Ｐゴシック"/>
        <family val="3"/>
        <charset val="128"/>
        <scheme val="minor"/>
      </rPr>
      <t>州</t>
    </r>
  </si>
  <si>
    <r>
      <t>上海巴克斯酒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</si>
  <si>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露酒; 黄酒; 伏特加酒; 蒸煮提取物（利口酒和烈酒）;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麦芽威士忌;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混合威士忌酒; 餐后酒（利口酒和烈酒）;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烈酒; 果酒（含酒精）;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</si>
  <si>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黄勇</t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</si>
  <si>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苹果酒; 葡萄酒; 白酒;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露酒; 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</si>
  <si>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FONTE DEL GOMITOLO</t>
  </si>
  <si>
    <r>
      <t>东</t>
    </r>
    <r>
      <rPr>
        <sz val="11"/>
        <color theme="1"/>
        <rFont val="ＭＳ Ｐゴシック"/>
        <family val="3"/>
        <charset val="128"/>
        <scheme val="minor"/>
      </rPr>
      <t>莞怡</t>
    </r>
    <r>
      <rPr>
        <sz val="11"/>
        <color theme="1"/>
        <rFont val="ＭＳ Ｐゴシック"/>
        <family val="3"/>
        <charset val="134"/>
        <scheme val="minor"/>
      </rPr>
      <t>亿</t>
    </r>
    <r>
      <rPr>
        <sz val="11"/>
        <color theme="1"/>
        <rFont val="ＭＳ Ｐゴシック"/>
        <family val="3"/>
        <charset val="128"/>
        <scheme val="minor"/>
      </rPr>
      <t>眼</t>
    </r>
    <r>
      <rPr>
        <sz val="11"/>
        <color theme="1"/>
        <rFont val="ＭＳ Ｐゴシック"/>
        <family val="3"/>
        <charset val="134"/>
        <scheme val="minor"/>
      </rPr>
      <t>镜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</si>
  <si>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酸酒（低等葡萄酒）</t>
    </r>
  </si>
  <si>
    <r>
      <t>丹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赤</t>
    </r>
    <r>
      <rPr>
        <sz val="11"/>
        <color theme="1"/>
        <rFont val="ＭＳ Ｐゴシック"/>
        <family val="3"/>
        <charset val="134"/>
        <scheme val="minor"/>
      </rPr>
      <t>樱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</si>
  <si>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蒸煮提取物（利口酒和烈酒）;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</si>
  <si>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TAXIA</t>
  </si>
  <si>
    <r>
      <t>东</t>
    </r>
    <r>
      <rPr>
        <sz val="11"/>
        <color theme="1"/>
        <rFont val="ＭＳ Ｐゴシック"/>
        <family val="3"/>
        <charset val="128"/>
        <scheme val="minor"/>
      </rPr>
      <t>莞古卡迪数</t>
    </r>
    <r>
      <rPr>
        <sz val="11"/>
        <color theme="1"/>
        <rFont val="ＭＳ Ｐゴシック"/>
        <family val="3"/>
        <charset val="134"/>
        <scheme val="minor"/>
      </rPr>
      <t>码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</si>
  <si>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甜果酒;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汽酒; 果酒（含酒精）;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</si>
  <si>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欧甄</t>
    </r>
    <r>
      <rPr>
        <sz val="11"/>
        <color theme="1"/>
        <rFont val="ＭＳ Ｐゴシック"/>
        <family val="3"/>
        <charset val="134"/>
        <scheme val="minor"/>
      </rPr>
      <t>选</t>
    </r>
  </si>
  <si>
    <r>
      <t>武</t>
    </r>
    <r>
      <rPr>
        <sz val="11"/>
        <color theme="1"/>
        <rFont val="ＭＳ Ｐゴシック"/>
        <family val="3"/>
        <charset val="134"/>
        <scheme val="minor"/>
      </rPr>
      <t>汉汉</t>
    </r>
    <r>
      <rPr>
        <sz val="11"/>
        <color theme="1"/>
        <rFont val="ＭＳ Ｐゴシック"/>
        <family val="3"/>
        <charset val="128"/>
        <scheme val="minor"/>
      </rPr>
      <t>欧国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物流有限公司</t>
    </r>
  </si>
  <si>
    <r>
      <t>开胃酒;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蜂蜜酒; 黄酒; 果酒（含酒精）</t>
    </r>
  </si>
  <si>
    <r>
      <t>薛永</t>
    </r>
    <r>
      <rPr>
        <sz val="11"/>
        <color theme="1"/>
        <rFont val="ＭＳ Ｐゴシック"/>
        <family val="3"/>
        <charset val="134"/>
        <scheme val="minor"/>
      </rPr>
      <t>艳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</si>
  <si>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利口酒; 果酒（含酒精）; 威士忌;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</si>
  <si>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豫草堂</t>
  </si>
  <si>
    <r>
      <t>姚丰</t>
    </r>
    <r>
      <rPr>
        <sz val="11"/>
        <color theme="1"/>
        <rFont val="ＭＳ Ｐゴシック"/>
        <family val="3"/>
        <charset val="134"/>
        <scheme val="minor"/>
      </rPr>
      <t>产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</si>
  <si>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伏特加酒; 米酒</t>
    </r>
  </si>
  <si>
    <r>
      <t>宏</t>
    </r>
    <r>
      <rPr>
        <sz val="11"/>
        <color theme="1"/>
        <rFont val="ＭＳ Ｐゴシック"/>
        <family val="3"/>
        <charset val="134"/>
        <scheme val="minor"/>
      </rPr>
      <t>图汉</t>
    </r>
    <r>
      <rPr>
        <sz val="11"/>
        <color theme="1"/>
        <rFont val="ＭＳ Ｐゴシック"/>
        <family val="3"/>
        <charset val="128"/>
        <scheme val="minor"/>
      </rPr>
      <t>武</t>
    </r>
  </si>
  <si>
    <r>
      <t>李永</t>
    </r>
    <r>
      <rPr>
        <sz val="11"/>
        <color theme="1"/>
        <rFont val="ＭＳ Ｐゴシック"/>
        <family val="3"/>
        <charset val="134"/>
        <scheme val="minor"/>
      </rPr>
      <t>艳</t>
    </r>
  </si>
  <si>
    <t>江响</t>
  </si>
  <si>
    <r>
      <t>苏</t>
    </r>
    <r>
      <rPr>
        <sz val="11"/>
        <color theme="1"/>
        <rFont val="ＭＳ Ｐゴシック"/>
        <family val="3"/>
        <charset val="128"/>
        <scheme val="minor"/>
      </rPr>
      <t>州禧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信息科技有限公司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</si>
  <si>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食用酒精; 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伏特加酒</t>
    </r>
  </si>
  <si>
    <t>公园韵</t>
  </si>
  <si>
    <r>
      <t>成都易欧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</si>
  <si>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白酒</t>
    </r>
  </si>
  <si>
    <r>
      <t>SBL 森</t>
    </r>
    <r>
      <rPr>
        <sz val="11"/>
        <color theme="1"/>
        <rFont val="ＭＳ Ｐゴシック"/>
        <family val="3"/>
        <charset val="134"/>
        <scheme val="minor"/>
      </rPr>
      <t>滨</t>
    </r>
    <r>
      <rPr>
        <sz val="11"/>
        <color theme="1"/>
        <rFont val="ＭＳ Ｐゴシック"/>
        <family val="3"/>
        <charset val="128"/>
        <scheme val="minor"/>
      </rPr>
      <t>利</t>
    </r>
  </si>
  <si>
    <r>
      <t>森</t>
    </r>
    <r>
      <rPr>
        <sz val="11"/>
        <color theme="1"/>
        <rFont val="ＭＳ Ｐゴシック"/>
        <family val="3"/>
        <charset val="134"/>
        <scheme val="minor"/>
      </rPr>
      <t>滨</t>
    </r>
    <r>
      <rPr>
        <sz val="11"/>
        <color theme="1"/>
        <rFont val="ＭＳ Ｐゴシック"/>
        <family val="3"/>
        <charset val="128"/>
        <scheme val="minor"/>
      </rPr>
      <t>利（深圳）信息科技有限公司</t>
    </r>
  </si>
  <si>
    <r>
      <t>果酒（含酒精）; 葡萄酒; 杜松子酒; 餐后酒（利口酒和烈酒）; 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</si>
  <si>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零食很恬</t>
  </si>
  <si>
    <r>
      <t>四川望子成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教育科技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</si>
  <si>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白酒;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 xml:space="preserve">甜酒;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高粱酒; 甜酒; 水果汽酒; 黄酒</t>
    </r>
  </si>
  <si>
    <t>XXBYQ</t>
  </si>
  <si>
    <r>
      <t>北京萌</t>
    </r>
    <r>
      <rPr>
        <sz val="11"/>
        <color theme="1"/>
        <rFont val="ＭＳ Ｐゴシック"/>
        <family val="3"/>
        <charset val="134"/>
        <scheme val="minor"/>
      </rPr>
      <t>艺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</si>
  <si>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葡萄酒; 白酒; 开胃酒; 米酒; 威士忌;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</si>
  <si>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岑兮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</si>
  <si>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市博悦商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</si>
  <si>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白干酒（中国白酒）; 白酒; 果酒; 葡萄酒; 高粱酒</t>
    </r>
  </si>
  <si>
    <r>
      <t>韶</t>
    </r>
    <r>
      <rPr>
        <sz val="11"/>
        <color theme="1"/>
        <rFont val="ＭＳ Ｐゴシック"/>
        <family val="3"/>
        <charset val="134"/>
        <scheme val="minor"/>
      </rPr>
      <t>时</t>
    </r>
  </si>
  <si>
    <t>侯玉玲</t>
  </si>
  <si>
    <r>
      <t>威士忌; 葡萄酒; 蒸煮提取物（利口酒和烈酒）; 朗姆酒;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白酒; 伏特加酒</t>
    </r>
  </si>
  <si>
    <t>若唐</t>
  </si>
  <si>
    <r>
      <t>瓦藏（广州）酒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</si>
  <si>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果酒; 开胃酒; 葡萄酒; 烈酒; 蒸煮提取物（利口酒和烈酒）;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尼瓦（以甘蔗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</si>
  <si>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t>盛禾如意</t>
  </si>
  <si>
    <r>
      <t>吉林省盛禾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</si>
  <si>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食用酒精; 白酒; 黄酒; 薄荷酒; 青稞酒;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</si>
  <si>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峰念</t>
    </r>
  </si>
  <si>
    <r>
      <t>湖北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峰庵生</t>
    </r>
    <r>
      <rPr>
        <sz val="11"/>
        <color theme="1"/>
        <rFont val="ＭＳ Ｐゴシック"/>
        <family val="3"/>
        <charset val="134"/>
        <scheme val="minor"/>
      </rPr>
      <t>态农业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</si>
  <si>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果酒;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利口酒; 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威士忌;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</si>
  <si>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滋圈食</t>
    </r>
    <r>
      <rPr>
        <sz val="11"/>
        <color theme="1"/>
        <rFont val="ＭＳ Ｐゴシック"/>
        <family val="3"/>
        <charset val="134"/>
        <scheme val="minor"/>
      </rPr>
      <t>汇</t>
    </r>
  </si>
  <si>
    <t>吉林省王家鹿园参茸有限公司</t>
  </si>
  <si>
    <r>
      <t xml:space="preserve">果酒;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开胃酒;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餐后酒（利口酒和烈酒）;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露酒</t>
    </r>
  </si>
  <si>
    <r>
      <t>丰</t>
    </r>
    <r>
      <rPr>
        <sz val="11"/>
        <color theme="1"/>
        <rFont val="ＭＳ Ｐゴシック"/>
        <family val="3"/>
        <charset val="134"/>
        <scheme val="minor"/>
      </rPr>
      <t>义</t>
    </r>
    <r>
      <rPr>
        <sz val="11"/>
        <color theme="1"/>
        <rFont val="ＭＳ Ｐゴシック"/>
        <family val="3"/>
        <charset val="128"/>
        <scheme val="minor"/>
      </rPr>
      <t>百草园</t>
    </r>
  </si>
  <si>
    <r>
      <t>吉林省丰</t>
    </r>
    <r>
      <rPr>
        <sz val="11"/>
        <color theme="1"/>
        <rFont val="ＭＳ Ｐゴシック"/>
        <family val="3"/>
        <charset val="134"/>
        <scheme val="minor"/>
      </rPr>
      <t>义</t>
    </r>
    <r>
      <rPr>
        <sz val="11"/>
        <color theme="1"/>
        <rFont val="ＭＳ Ｐゴシック"/>
        <family val="3"/>
        <charset val="128"/>
        <scheme val="minor"/>
      </rPr>
      <t>健康科技集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</si>
  <si>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苹果酒; 葡萄酒; 蜂蜜酒; 开胃酒;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梨酒</t>
    </r>
  </si>
  <si>
    <r>
      <t>烈</t>
    </r>
    <r>
      <rPr>
        <sz val="11"/>
        <color theme="1"/>
        <rFont val="ＭＳ Ｐゴシック"/>
        <family val="3"/>
        <charset val="134"/>
        <scheme val="minor"/>
      </rPr>
      <t>鹏</t>
    </r>
    <r>
      <rPr>
        <sz val="11"/>
        <color theme="1"/>
        <rFont val="ＭＳ Ｐゴシック"/>
        <family val="3"/>
        <charset val="128"/>
        <scheme val="minor"/>
      </rPr>
      <t>烈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</si>
  <si>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州宋代官窖酒庄有限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</si>
  <si>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果酒（含酒精）; 苦味酒; 开胃酒; 葡萄酒; 白酒;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</si>
  <si>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九耀星</t>
  </si>
  <si>
    <t>海南九耀星科技有限公司</t>
  </si>
  <si>
    <r>
      <t xml:space="preserve">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</si>
  <si>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酒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滕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</si>
  <si>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芮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</si>
  <si>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果酒; 甜酒; 清酒</t>
    </r>
  </si>
  <si>
    <t>MONTELUNGO</t>
  </si>
  <si>
    <t>VILLA RUBESCHI</t>
  </si>
  <si>
    <r>
      <t>江</t>
    </r>
    <r>
      <rPr>
        <sz val="11"/>
        <color theme="1"/>
        <rFont val="ＭＳ Ｐゴシック"/>
        <family val="3"/>
        <charset val="134"/>
        <scheme val="minor"/>
      </rPr>
      <t>揽</t>
    </r>
    <r>
      <rPr>
        <sz val="11"/>
        <color theme="1"/>
        <rFont val="ＭＳ Ｐゴシック"/>
        <family val="3"/>
        <charset val="128"/>
        <scheme val="minor"/>
      </rPr>
      <t>月</t>
    </r>
  </si>
  <si>
    <r>
      <t>林</t>
    </r>
    <r>
      <rPr>
        <sz val="11"/>
        <color theme="1"/>
        <rFont val="ＭＳ Ｐゴシック"/>
        <family val="3"/>
        <charset val="134"/>
        <scheme val="minor"/>
      </rPr>
      <t>润华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</si>
  <si>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梅酒; 葡萄酒</t>
    </r>
  </si>
  <si>
    <t>酩尊雅韵</t>
  </si>
  <si>
    <r>
      <t>宋</t>
    </r>
    <r>
      <rPr>
        <sz val="11"/>
        <color theme="1"/>
        <rFont val="ＭＳ Ｐゴシック"/>
        <family val="3"/>
        <charset val="134"/>
        <scheme val="minor"/>
      </rPr>
      <t>艳</t>
    </r>
  </si>
  <si>
    <t>奉酬</t>
  </si>
  <si>
    <r>
      <t>孙</t>
    </r>
    <r>
      <rPr>
        <sz val="11"/>
        <color theme="1"/>
        <rFont val="ＭＳ Ｐゴシック"/>
        <family val="3"/>
        <charset val="128"/>
        <scheme val="minor"/>
      </rPr>
      <t>开放</t>
    </r>
  </si>
  <si>
    <r>
      <t>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威士忌; 果酒（含酒精）;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伏特加酒</t>
    </r>
  </si>
  <si>
    <r>
      <t>舜</t>
    </r>
    <r>
      <rPr>
        <sz val="11"/>
        <color theme="1"/>
        <rFont val="ＭＳ Ｐゴシック"/>
        <family val="3"/>
        <charset val="134"/>
        <scheme val="minor"/>
      </rPr>
      <t>锦鸿</t>
    </r>
  </si>
  <si>
    <r>
      <t>深圳市万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居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</si>
  <si>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白干酒（中国白酒）; 黄酒; 米酒; 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汽酒</t>
    </r>
  </si>
  <si>
    <t>梓郢</t>
  </si>
  <si>
    <r>
      <t>赵</t>
    </r>
    <r>
      <rPr>
        <sz val="11"/>
        <color theme="1"/>
        <rFont val="ＭＳ Ｐゴシック"/>
        <family val="3"/>
        <charset val="128"/>
        <scheme val="minor"/>
      </rPr>
      <t>立</t>
    </r>
    <r>
      <rPr>
        <sz val="11"/>
        <color theme="1"/>
        <rFont val="ＭＳ Ｐゴシック"/>
        <family val="3"/>
        <charset val="134"/>
        <scheme val="minor"/>
      </rPr>
      <t>义</t>
    </r>
  </si>
  <si>
    <r>
      <t>白酒; 葡萄酒; 伏特加酒; 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青稞酒; 高粱酒; 茴香酒; 梅酒; 白干酒（中国白酒）</t>
    </r>
  </si>
  <si>
    <r>
      <t>震宇</t>
    </r>
    <r>
      <rPr>
        <sz val="11"/>
        <color theme="1"/>
        <rFont val="ＭＳ Ｐゴシック"/>
        <family val="3"/>
        <charset val="134"/>
        <scheme val="minor"/>
      </rPr>
      <t>飞</t>
    </r>
  </si>
  <si>
    <r>
      <t>天津新宝麒餐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</si>
  <si>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</si>
  <si>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冯</t>
    </r>
    <r>
      <rPr>
        <sz val="11"/>
        <color theme="1"/>
        <rFont val="ＭＳ Ｐゴシック"/>
        <family val="3"/>
        <charset val="128"/>
        <scheme val="minor"/>
      </rPr>
      <t>·温宁</t>
    </r>
  </si>
  <si>
    <r>
      <t>上海名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</si>
  <si>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白酒; 威士忌; 米酒; 清酒; 黄酒; 葡萄酒</t>
    </r>
  </si>
  <si>
    <r>
      <t>飞鹰</t>
    </r>
    <r>
      <rPr>
        <sz val="11"/>
        <color theme="1"/>
        <rFont val="ＭＳ Ｐゴシック"/>
        <family val="3"/>
        <charset val="128"/>
        <scheme val="minor"/>
      </rPr>
      <t>艾迪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</si>
  <si>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新</t>
    </r>
    <r>
      <rPr>
        <sz val="11"/>
        <color theme="1"/>
        <rFont val="ＭＳ Ｐゴシック"/>
        <family val="3"/>
        <charset val="134"/>
        <scheme val="minor"/>
      </rPr>
      <t>军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</si>
  <si>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>果酒（含酒精）; 开胃酒; 葡萄酒; 蜂蜜酒; 白酒;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</si>
  <si>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墨焙</t>
  </si>
  <si>
    <r>
      <t>杭州墨焙餐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</si>
  <si>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果酒（含酒精）;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黄酒; 白酒; 威士忌</t>
    </r>
  </si>
  <si>
    <t>傣旺</t>
  </si>
  <si>
    <r>
      <t>何冬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</si>
  <si>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 xml:space="preserve">果酒（含酒精）;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烈酒;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</si>
  <si>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古唐人</t>
  </si>
  <si>
    <r>
      <t>广州云</t>
    </r>
    <r>
      <rPr>
        <sz val="11"/>
        <color theme="1"/>
        <rFont val="ＭＳ Ｐゴシック"/>
        <family val="3"/>
        <charset val="134"/>
        <scheme val="minor"/>
      </rPr>
      <t>徕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</si>
  <si>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米酒; 利口酒;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</si>
  <si>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r>
      <t>瑟琳</t>
    </r>
    <r>
      <rPr>
        <sz val="11"/>
        <color theme="1"/>
        <rFont val="ＭＳ Ｐゴシック"/>
        <family val="3"/>
        <charset val="134"/>
        <scheme val="minor"/>
      </rPr>
      <t>纳</t>
    </r>
    <r>
      <rPr>
        <sz val="11"/>
        <color theme="1"/>
        <rFont val="ＭＳ Ｐゴシック"/>
        <family val="3"/>
        <charset val="128"/>
        <scheme val="minor"/>
      </rPr>
      <t>城堡</t>
    </r>
  </si>
  <si>
    <r>
      <t>美</t>
    </r>
    <r>
      <rPr>
        <sz val="11"/>
        <color theme="1"/>
        <rFont val="ＭＳ Ｐゴシック"/>
        <family val="3"/>
        <charset val="134"/>
        <scheme val="minor"/>
      </rPr>
      <t>浓</t>
    </r>
    <r>
      <rPr>
        <sz val="11"/>
        <color theme="1"/>
        <rFont val="ＭＳ Ｐゴシック"/>
        <family val="3"/>
        <charset val="128"/>
        <scheme val="minor"/>
      </rPr>
      <t>文化（北京）有限公司</t>
    </r>
  </si>
  <si>
    <r>
      <t>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甜酒; 青稞酒;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蜂蜜酒; 米酒; 果酒; 黄酒</t>
    </r>
  </si>
  <si>
    <r>
      <t>忠小</t>
    </r>
    <r>
      <rPr>
        <sz val="11"/>
        <color theme="1"/>
        <rFont val="ＭＳ Ｐゴシック"/>
        <family val="3"/>
        <charset val="134"/>
        <scheme val="minor"/>
      </rPr>
      <t>调</t>
    </r>
  </si>
  <si>
    <r>
      <t>吕应</t>
    </r>
    <r>
      <rPr>
        <sz val="11"/>
        <color theme="1"/>
        <rFont val="ＭＳ Ｐゴシック"/>
        <family val="3"/>
        <charset val="128"/>
        <scheme val="minor"/>
      </rPr>
      <t>国</t>
    </r>
  </si>
  <si>
    <r>
      <t>白酒;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食用酒精; 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清酒（日本米酒）</t>
    </r>
  </si>
  <si>
    <r>
      <t>龙润</t>
    </r>
    <r>
      <rPr>
        <sz val="11"/>
        <color theme="1"/>
        <rFont val="ＭＳ Ｐゴシック"/>
        <family val="3"/>
        <charset val="128"/>
        <scheme val="minor"/>
      </rPr>
      <t>鑫</t>
    </r>
  </si>
  <si>
    <r>
      <t>襄阳聚源鑫商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</si>
  <si>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清酒（日本米酒）;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果酒; 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五加皮酒（中国混合烈酒）; 高粱酒</t>
    </r>
  </si>
  <si>
    <t>SAN LUIGI</t>
  </si>
  <si>
    <r>
      <t>酸酒（低等葡萄酒）;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</si>
  <si>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渂</t>
    </r>
    <r>
      <rPr>
        <sz val="11"/>
        <color theme="1"/>
        <rFont val="ＭＳ Ｐゴシック"/>
        <family val="3"/>
        <charset val="128"/>
        <scheme val="minor"/>
      </rPr>
      <t>台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</si>
  <si>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建祥</t>
    </r>
  </si>
  <si>
    <r>
      <t xml:space="preserve">葡萄酒; 清酒;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开胃酒;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</t>
    </r>
  </si>
  <si>
    <r>
      <t>垦</t>
    </r>
    <r>
      <rPr>
        <sz val="11"/>
        <color theme="1"/>
        <rFont val="ＭＳ Ｐゴシック"/>
        <family val="3"/>
        <charset val="128"/>
        <scheme val="minor"/>
      </rPr>
      <t>道生活</t>
    </r>
  </si>
  <si>
    <r>
      <t>上海</t>
    </r>
    <r>
      <rPr>
        <sz val="11"/>
        <color theme="1"/>
        <rFont val="ＭＳ Ｐゴシック"/>
        <family val="3"/>
        <charset val="134"/>
        <scheme val="minor"/>
      </rPr>
      <t>垦</t>
    </r>
    <r>
      <rPr>
        <sz val="11"/>
        <color theme="1"/>
        <rFont val="ＭＳ Ｐゴシック"/>
        <family val="3"/>
        <charset val="128"/>
        <scheme val="minor"/>
      </rPr>
      <t>道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</si>
  <si>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</si>
  <si>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雾</t>
    </r>
    <r>
      <rPr>
        <sz val="11"/>
        <color theme="1"/>
        <rFont val="ＭＳ Ｐゴシック"/>
        <family val="3"/>
        <charset val="128"/>
        <scheme val="minor"/>
      </rPr>
      <t>都城外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</si>
  <si>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醉美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香文化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</si>
  <si>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威士忌;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开胃酒</t>
    </r>
  </si>
  <si>
    <t>隋唐圣君</t>
  </si>
  <si>
    <r>
      <t>季明</t>
    </r>
    <r>
      <rPr>
        <sz val="11"/>
        <color theme="1"/>
        <rFont val="ＭＳ Ｐゴシック"/>
        <family val="3"/>
        <charset val="134"/>
        <scheme val="minor"/>
      </rPr>
      <t>聪</t>
    </r>
  </si>
  <si>
    <r>
      <t xml:space="preserve">果酒（含酒精）;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黄酒; 清酒（日本米酒）</t>
    </r>
  </si>
  <si>
    <r>
      <t>哗</t>
    </r>
    <r>
      <rPr>
        <sz val="11"/>
        <color theme="1"/>
        <rFont val="ＭＳ Ｐゴシック"/>
        <family val="3"/>
        <charset val="128"/>
        <scheme val="minor"/>
      </rPr>
      <t>滋洋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</si>
  <si>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茂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</si>
  <si>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青梅酒; 果酒（含酒精）; 葡萄酒; 青稞酒; 高粱酒; 白酒</t>
    </r>
  </si>
  <si>
    <t>金漆园</t>
  </si>
  <si>
    <t>安徽照光照明科技有限公司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</si>
  <si>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开胃酒;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</si>
  <si>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函大</t>
    </r>
    <r>
      <rPr>
        <sz val="11"/>
        <color theme="1"/>
        <rFont val="ＭＳ Ｐゴシック"/>
        <family val="3"/>
        <charset val="134"/>
        <scheme val="minor"/>
      </rPr>
      <t>书</t>
    </r>
    <r>
      <rPr>
        <sz val="11"/>
        <color theme="1"/>
        <rFont val="ＭＳ Ｐゴシック"/>
        <family val="3"/>
        <charset val="128"/>
        <scheme val="minor"/>
      </rPr>
      <t>画</t>
    </r>
  </si>
  <si>
    <r>
      <t>虚本妙智医学研究（广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</si>
  <si>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果酒（含酒精）; 苹果酒; 葡萄酒; 杜松子酒; 白酒;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青稞酒; 黄酒; 蜂蜜酒</t>
    </r>
  </si>
  <si>
    <r>
      <t>元气小黄</t>
    </r>
    <r>
      <rPr>
        <sz val="11"/>
        <color theme="1"/>
        <rFont val="ＭＳ Ｐゴシック"/>
        <family val="3"/>
        <charset val="134"/>
        <scheme val="minor"/>
      </rPr>
      <t>鸭</t>
    </r>
    <r>
      <rPr>
        <sz val="11"/>
        <color theme="1"/>
        <rFont val="ＭＳ Ｐゴシック"/>
        <family val="3"/>
        <charset val="128"/>
        <scheme val="minor"/>
      </rPr>
      <t xml:space="preserve"> GENKIKUN</t>
    </r>
  </si>
  <si>
    <r>
      <t>泉州元气</t>
    </r>
    <r>
      <rPr>
        <sz val="11"/>
        <color theme="1"/>
        <rFont val="ＭＳ Ｐゴシック"/>
        <family val="3"/>
        <charset val="134"/>
        <scheme val="minor"/>
      </rPr>
      <t>满满</t>
    </r>
    <r>
      <rPr>
        <sz val="11"/>
        <color theme="1"/>
        <rFont val="ＭＳ Ｐゴシック"/>
        <family val="3"/>
        <charset val="128"/>
        <scheme val="minor"/>
      </rPr>
      <t>母</t>
    </r>
    <r>
      <rPr>
        <sz val="11"/>
        <color theme="1"/>
        <rFont val="ＭＳ Ｐゴシック"/>
        <family val="3"/>
        <charset val="134"/>
        <scheme val="minor"/>
      </rPr>
      <t>婴</t>
    </r>
    <r>
      <rPr>
        <sz val="11"/>
        <color theme="1"/>
        <rFont val="ＭＳ Ｐゴシック"/>
        <family val="3"/>
        <charset val="128"/>
        <scheme val="minor"/>
      </rPr>
      <t>用品有限公司</t>
    </r>
  </si>
  <si>
    <r>
      <t>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白酒; 威士忌</t>
    </r>
  </si>
  <si>
    <t>君常春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</si>
  <si>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桓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</si>
  <si>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柑香酒;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朗姆酒; 伏特加酒; 黄酒; 威士忌</t>
    </r>
  </si>
  <si>
    <t>AUSPAC</t>
  </si>
  <si>
    <r>
      <t>澳斯达克（上海）国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</si>
  <si>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酸酒（低等葡萄酒）; 威士忌;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</si>
  <si>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开荃</t>
  </si>
  <si>
    <r>
      <t>刘清</t>
    </r>
    <r>
      <rPr>
        <sz val="11"/>
        <color theme="1"/>
        <rFont val="ＭＳ Ｐゴシック"/>
        <family val="3"/>
        <charset val="134"/>
        <scheme val="minor"/>
      </rPr>
      <t>刚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</si>
  <si>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葡萄酒</t>
    </r>
  </si>
  <si>
    <t>FATTORIA MONTELUNGO</t>
  </si>
  <si>
    <t>龙现龙</t>
  </si>
  <si>
    <r>
      <t>许</t>
    </r>
    <r>
      <rPr>
        <sz val="11"/>
        <color theme="1"/>
        <rFont val="ＭＳ Ｐゴシック"/>
        <family val="3"/>
        <charset val="128"/>
        <scheme val="minor"/>
      </rPr>
      <t>双</t>
    </r>
    <r>
      <rPr>
        <sz val="11"/>
        <color theme="1"/>
        <rFont val="ＭＳ Ｐゴシック"/>
        <family val="3"/>
        <charset val="134"/>
        <scheme val="minor"/>
      </rPr>
      <t>凤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</si>
  <si>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黄酒; 果酒（含酒精）;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</si>
  <si>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麻拉勤</t>
  </si>
  <si>
    <r>
      <t>彰武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四合城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宝利</t>
    </r>
    <r>
      <rPr>
        <sz val="11"/>
        <color theme="1"/>
        <rFont val="ＭＳ Ｐゴシック"/>
        <family val="3"/>
        <charset val="134"/>
        <scheme val="minor"/>
      </rPr>
      <t>鹅业</t>
    </r>
    <r>
      <rPr>
        <sz val="11"/>
        <color theme="1"/>
        <rFont val="ＭＳ Ｐゴシック"/>
        <family val="3"/>
        <charset val="128"/>
        <scheme val="minor"/>
      </rPr>
      <t>养殖</t>
    </r>
    <r>
      <rPr>
        <sz val="11"/>
        <color theme="1"/>
        <rFont val="ＭＳ Ｐゴシック"/>
        <family val="3"/>
        <charset val="134"/>
        <scheme val="minor"/>
      </rPr>
      <t>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</si>
  <si>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>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果酒（含酒精）; 清酒</t>
    </r>
  </si>
  <si>
    <t>米伴</t>
  </si>
  <si>
    <r>
      <t>长</t>
    </r>
    <r>
      <rPr>
        <sz val="11"/>
        <color theme="1"/>
        <rFont val="ＭＳ Ｐゴシック"/>
        <family val="3"/>
        <charset val="128"/>
        <scheme val="minor"/>
      </rPr>
      <t>春市邦医商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</si>
  <si>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清酒（日本米酒）</t>
    </r>
  </si>
  <si>
    <r>
      <t>华飞</t>
    </r>
    <r>
      <rPr>
        <sz val="11"/>
        <color theme="1"/>
        <rFont val="ＭＳ Ｐゴシック"/>
        <family val="3"/>
        <charset val="128"/>
        <scheme val="minor"/>
      </rPr>
      <t>芯</t>
    </r>
  </si>
  <si>
    <r>
      <t>福建</t>
    </r>
    <r>
      <rPr>
        <sz val="11"/>
        <color theme="1"/>
        <rFont val="ＭＳ Ｐゴシック"/>
        <family val="3"/>
        <charset val="134"/>
        <scheme val="minor"/>
      </rPr>
      <t>华飞</t>
    </r>
    <r>
      <rPr>
        <sz val="11"/>
        <color theme="1"/>
        <rFont val="ＭＳ Ｐゴシック"/>
        <family val="3"/>
        <charset val="128"/>
        <scheme val="minor"/>
      </rPr>
      <t>芯科技有限公司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</si>
  <si>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米酒; 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葡萄酒</t>
    </r>
  </si>
  <si>
    <r>
      <t>广州市星雅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</si>
  <si>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黄酒; 白酒; 露酒;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</si>
  <si>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宗竹印象</t>
  </si>
  <si>
    <r>
      <t>云南</t>
    </r>
    <r>
      <rPr>
        <sz val="11"/>
        <color theme="1"/>
        <rFont val="ＭＳ Ｐゴシック"/>
        <family val="3"/>
        <charset val="134"/>
        <scheme val="minor"/>
      </rPr>
      <t>师</t>
    </r>
    <r>
      <rPr>
        <sz val="11"/>
        <color theme="1"/>
        <rFont val="ＭＳ Ｐゴシック"/>
        <family val="3"/>
        <charset val="128"/>
        <scheme val="minor"/>
      </rPr>
      <t>宗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五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裕酒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</si>
  <si>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果酒（含酒精）; 蒸煮提取物（利口酒和烈酒）</t>
    </r>
  </si>
  <si>
    <t>BAROSSA TOWER</t>
  </si>
  <si>
    <t>艾薇薇有限公司</t>
  </si>
  <si>
    <r>
      <t>混合威士忌酒; 食用酒精; 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</t>
    </r>
  </si>
  <si>
    <t>八傲</t>
  </si>
  <si>
    <r>
      <t>彭双</t>
    </r>
    <r>
      <rPr>
        <sz val="11"/>
        <color theme="1"/>
        <rFont val="ＭＳ Ｐゴシック"/>
        <family val="3"/>
        <charset val="134"/>
        <scheme val="minor"/>
      </rPr>
      <t>军</t>
    </r>
  </si>
  <si>
    <t>蓊勃</t>
  </si>
  <si>
    <r>
      <t>李保</t>
    </r>
    <r>
      <rPr>
        <sz val="11"/>
        <color theme="1"/>
        <rFont val="ＭＳ Ｐゴシック"/>
        <family val="3"/>
        <charset val="134"/>
        <scheme val="minor"/>
      </rPr>
      <t>兴</t>
    </r>
  </si>
  <si>
    <r>
      <t>食用酒精;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</si>
  <si>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渝达天和</t>
  </si>
  <si>
    <r>
      <t>巫溪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渝达酒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</si>
  <si>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青稞酒;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米酒; 黄酒</t>
    </r>
  </si>
  <si>
    <t>一集上品</t>
  </si>
  <si>
    <t>周增超</t>
  </si>
  <si>
    <r>
      <t>白酒; 果酒（含酒精）; 苹果酒;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梨酒;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葡萄酒; 米酒</t>
    </r>
  </si>
  <si>
    <r>
      <t>宝杏</t>
    </r>
    <r>
      <rPr>
        <sz val="11"/>
        <color theme="1"/>
        <rFont val="ＭＳ Ｐゴシック"/>
        <family val="3"/>
        <charset val="134"/>
        <scheme val="minor"/>
      </rPr>
      <t>汵</t>
    </r>
  </si>
  <si>
    <t>贺红转</t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</si>
  <si>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米酒; 果酒（含酒精）; 高粱酒;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</si>
  <si>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渝达人和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</si>
  <si>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米酒; 黄酒; 白酒;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青稞酒; 利口酒</t>
    </r>
  </si>
  <si>
    <r>
      <t>荆</t>
    </r>
    <r>
      <rPr>
        <sz val="11"/>
        <color theme="1"/>
        <rFont val="ＭＳ Ｐゴシック"/>
        <family val="3"/>
        <charset val="128"/>
        <scheme val="minor"/>
      </rPr>
      <t>健</t>
    </r>
  </si>
  <si>
    <r>
      <t>湖北景川</t>
    </r>
    <r>
      <rPr>
        <sz val="11"/>
        <color theme="1"/>
        <rFont val="ＭＳ Ｐゴシック"/>
        <family val="3"/>
        <charset val="134"/>
        <scheme val="minor"/>
      </rPr>
      <t>药业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</si>
  <si>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高粱酒; 黄酒; 蝮蛇酒; 青稞酒;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露酒</t>
    </r>
  </si>
  <si>
    <t>桃三擂</t>
  </si>
  <si>
    <t>周武</t>
  </si>
  <si>
    <r>
      <t xml:space="preserve">果酒（含酒精）;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白酒;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</si>
  <si>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CEFRE</t>
  </si>
  <si>
    <r>
      <t>广州高</t>
    </r>
    <r>
      <rPr>
        <sz val="11"/>
        <color theme="1"/>
        <rFont val="ＭＳ Ｐゴシック"/>
        <family val="3"/>
        <charset val="134"/>
        <scheme val="minor"/>
      </rPr>
      <t>缇</t>
    </r>
    <r>
      <rPr>
        <sz val="11"/>
        <color theme="1"/>
        <rFont val="ＭＳ Ｐゴシック"/>
        <family val="3"/>
        <charset val="128"/>
        <scheme val="minor"/>
      </rPr>
      <t>雅精</t>
    </r>
    <r>
      <rPr>
        <sz val="11"/>
        <color theme="1"/>
        <rFont val="ＭＳ Ｐゴシック"/>
        <family val="3"/>
        <charset val="134"/>
        <scheme val="minor"/>
      </rPr>
      <t>细</t>
    </r>
    <r>
      <rPr>
        <sz val="11"/>
        <color theme="1"/>
        <rFont val="ＭＳ Ｐゴシック"/>
        <family val="3"/>
        <charset val="128"/>
        <scheme val="minor"/>
      </rPr>
      <t>化工有限公司</t>
    </r>
  </si>
  <si>
    <r>
      <t xml:space="preserve">白酒; 米酒; 汽酒; 高粱酒; 水果汽酒;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开胃酒;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梅酒</t>
    </r>
  </si>
  <si>
    <t>宁夏加克斯酒庄有限公司</t>
  </si>
  <si>
    <r>
      <t>果酒（含酒精）; 葡萄酒; 开胃酒; 蜂蜜酒; 烈酒;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甜酒;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</si>
  <si>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重位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</si>
  <si>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辰二手</t>
    </r>
    <r>
      <rPr>
        <sz val="11"/>
        <color theme="1"/>
        <rFont val="ＭＳ Ｐゴシック"/>
        <family val="3"/>
        <charset val="134"/>
        <scheme val="minor"/>
      </rPr>
      <t>车贸</t>
    </r>
    <r>
      <rPr>
        <sz val="11"/>
        <color theme="1"/>
        <rFont val="ＭＳ Ｐゴシック"/>
        <family val="3"/>
        <charset val="128"/>
        <scheme val="minor"/>
      </rPr>
      <t>易有限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</si>
  <si>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苹果酒;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餐后酒（利口酒和烈酒）;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露酒; 葡萄酒</t>
    </r>
  </si>
  <si>
    <t>蒙圈小迷你</t>
  </si>
  <si>
    <t>刘雨曦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</si>
  <si>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果酒; 露酒; 梅酒; 食用酒精</t>
    </r>
  </si>
  <si>
    <t>VIACTIV</t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</si>
  <si>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金达威集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</si>
  <si>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蜂蜜酒; 黄酒; 米酒; 清酒（日本米酒）;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</si>
  <si>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最美豫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</si>
  <si>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州百年金窖品牌管理有限公司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</si>
  <si>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清酒（日本米酒）; 汽酒;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青稞酒; 米酒</t>
    </r>
  </si>
  <si>
    <r>
      <t>熟</t>
    </r>
    <r>
      <rPr>
        <sz val="11"/>
        <color theme="1"/>
        <rFont val="ＭＳ Ｐゴシック"/>
        <family val="3"/>
        <charset val="134"/>
        <scheme val="minor"/>
      </rPr>
      <t>纪</t>
    </r>
  </si>
  <si>
    <r>
      <t>广州市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昌源酒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</si>
  <si>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黄酒; 汽酒; 果酒;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梅酒; 伏特加酒</t>
    </r>
  </si>
  <si>
    <t>舒喂微粮</t>
  </si>
  <si>
    <t>黄礼逢</t>
  </si>
  <si>
    <r>
      <t>白酒; 果酒（含酒精）; 米酒; 葡萄酒; 含酒精的气泡水;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</t>
    </r>
  </si>
  <si>
    <t>XINGFUYIJIA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</si>
  <si>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青稞酒; 黄酒; 白酒; 高粱酒</t>
    </r>
  </si>
  <si>
    <t>渝达地和</t>
  </si>
  <si>
    <r>
      <t xml:space="preserve">白酒;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青稞酒;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葡萄酒; 米酒; 利口酒</t>
    </r>
  </si>
  <si>
    <t>将吻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</si>
  <si>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州豪</t>
    </r>
    <r>
      <rPr>
        <sz val="11"/>
        <color theme="1"/>
        <rFont val="ＭＳ Ｐゴシック"/>
        <family val="3"/>
        <charset val="134"/>
        <scheme val="minor"/>
      </rPr>
      <t>铠</t>
    </r>
    <r>
      <rPr>
        <sz val="11"/>
        <color theme="1"/>
        <rFont val="ＭＳ Ｐゴシック"/>
        <family val="3"/>
        <charset val="128"/>
        <scheme val="minor"/>
      </rPr>
      <t>置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</si>
  <si>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白酒; 高粱酒; 烈酒;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葡萄酒; 黄酒;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 xml:space="preserve">力酒;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</si>
  <si>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昌道</t>
  </si>
  <si>
    <r>
      <t>徐俊</t>
    </r>
    <r>
      <rPr>
        <sz val="11"/>
        <color theme="1"/>
        <rFont val="ＭＳ Ｐゴシック"/>
        <family val="3"/>
        <charset val="134"/>
        <scheme val="minor"/>
      </rPr>
      <t>标</t>
    </r>
  </si>
  <si>
    <r>
      <t>果酒（含酒精）; 葡萄酒;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露酒; 黄酒; 白酒; 高粱酒;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</si>
  <si>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格莱</t>
    </r>
    <r>
      <rPr>
        <sz val="11"/>
        <color theme="1"/>
        <rFont val="ＭＳ Ｐゴシック"/>
        <family val="3"/>
        <charset val="134"/>
        <scheme val="minor"/>
      </rPr>
      <t>迈</t>
    </r>
  </si>
  <si>
    <r>
      <t>上海意森服</t>
    </r>
    <r>
      <rPr>
        <sz val="11"/>
        <color theme="1"/>
        <rFont val="ＭＳ Ｐゴシック"/>
        <family val="3"/>
        <charset val="134"/>
        <scheme val="minor"/>
      </rPr>
      <t>饰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</si>
  <si>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米酒; 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</si>
  <si>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秦萸</t>
  </si>
  <si>
    <t>刘云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</si>
  <si>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含牛奶的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</si>
  <si>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细</t>
    </r>
    <r>
      <rPr>
        <sz val="11"/>
        <color theme="1"/>
        <rFont val="ＭＳ Ｐゴシック"/>
        <family val="3"/>
        <charset val="128"/>
        <scheme val="minor"/>
      </rPr>
      <t>之</t>
    </r>
  </si>
  <si>
    <r>
      <t>邓</t>
    </r>
    <r>
      <rPr>
        <sz val="11"/>
        <color theme="1"/>
        <rFont val="ＭＳ Ｐゴシック"/>
        <family val="3"/>
        <charset val="128"/>
        <scheme val="minor"/>
      </rPr>
      <t>攀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</si>
  <si>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果酒（含酒精）; 食用酒精;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黄酒</t>
    </r>
  </si>
  <si>
    <r>
      <t>茹</t>
    </r>
    <r>
      <rPr>
        <sz val="11"/>
        <color theme="1"/>
        <rFont val="ＭＳ Ｐゴシック"/>
        <family val="3"/>
        <charset val="134"/>
        <scheme val="minor"/>
      </rPr>
      <t>亿龙</t>
    </r>
    <r>
      <rPr>
        <sz val="11"/>
        <color theme="1"/>
        <rFont val="ＭＳ Ｐゴシック"/>
        <family val="3"/>
        <charset val="128"/>
        <scheme val="minor"/>
      </rPr>
      <t>台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</si>
  <si>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州黔茶国喜酒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</si>
  <si>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黄酒; 米酒; 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清酒; 梅酒; 果酒; 烈酒</t>
    </r>
  </si>
  <si>
    <t>KASPAR BERND</t>
  </si>
  <si>
    <t>熙蔓世家有限公司</t>
  </si>
  <si>
    <t>汽酒; 葡萄酒</t>
  </si>
  <si>
    <t>GEBER FAMILY VINEYARDS</t>
  </si>
  <si>
    <r>
      <t>利口酒;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混合威士忌酒;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汽酒; 葡萄酒;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</t>
    </r>
  </si>
  <si>
    <t>太禹坊</t>
  </si>
  <si>
    <r>
      <t>上海加派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出口有限公司</t>
    </r>
  </si>
  <si>
    <r>
      <t>黄酒; 白酒; 米酒; 果酒（含酒精）; 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朗姆酒; 伏特加酒; 葡萄酒</t>
    </r>
  </si>
  <si>
    <r>
      <t>钱贵</t>
    </r>
    <r>
      <rPr>
        <sz val="11"/>
        <color theme="1"/>
        <rFont val="ＭＳ Ｐゴシック"/>
        <family val="3"/>
        <charset val="128"/>
        <scheme val="minor"/>
      </rPr>
      <t>人</t>
    </r>
  </si>
  <si>
    <t>冯莹莹</t>
  </si>
  <si>
    <r>
      <t>威士忌; 利口酒;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</si>
  <si>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榆</t>
    </r>
    <r>
      <rPr>
        <sz val="11"/>
        <color theme="1"/>
        <rFont val="ＭＳ Ｐゴシック"/>
        <family val="3"/>
        <charset val="128"/>
        <scheme val="minor"/>
      </rPr>
      <t>雅林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</si>
  <si>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9"/>
        <scheme val="minor"/>
      </rPr>
      <t>榆</t>
    </r>
    <r>
      <rPr>
        <sz val="11"/>
        <color theme="1"/>
        <rFont val="ＭＳ Ｐゴシック"/>
        <family val="3"/>
        <charset val="128"/>
        <scheme val="minor"/>
      </rPr>
      <t>雅果品有限公司</t>
    </r>
  </si>
  <si>
    <r>
      <t>果酒（含酒精）; 葡萄酒; 白酒;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黄酒</t>
    </r>
  </si>
  <si>
    <t>DOUDOUQUJIU</t>
  </si>
  <si>
    <t>荣州福</t>
  </si>
  <si>
    <t>朱文娟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</si>
  <si>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高粱酒;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白酒;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梅酒</t>
    </r>
  </si>
  <si>
    <r>
      <t>匠</t>
    </r>
    <r>
      <rPr>
        <sz val="11"/>
        <color theme="1"/>
        <rFont val="ＭＳ Ｐゴシック"/>
        <family val="3"/>
        <charset val="134"/>
        <scheme val="minor"/>
      </rPr>
      <t>浔</t>
    </r>
  </si>
  <si>
    <t>北京自由方式科技有限公司</t>
  </si>
  <si>
    <r>
      <t xml:space="preserve">果酒（含酒精）;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清酒（日本米酒）; 黄酒</t>
    </r>
  </si>
  <si>
    <t>宫厅</t>
  </si>
  <si>
    <r>
      <t>白干酒（中国白酒）;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</si>
  <si>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r>
      <t>甄</t>
    </r>
    <r>
      <rPr>
        <sz val="11"/>
        <color theme="1"/>
        <rFont val="ＭＳ Ｐゴシック"/>
        <family val="3"/>
        <charset val="134"/>
        <scheme val="minor"/>
      </rPr>
      <t>论</t>
    </r>
  </si>
  <si>
    <t>趣楼台</t>
  </si>
  <si>
    <r>
      <t>徐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梅</t>
    </r>
  </si>
  <si>
    <r>
      <t xml:space="preserve">果酒（含酒精）;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蜂蜜酒;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利口酒</t>
    </r>
  </si>
  <si>
    <t>天牌地牌</t>
  </si>
  <si>
    <r>
      <t>中</t>
    </r>
    <r>
      <rPr>
        <sz val="11"/>
        <color theme="1"/>
        <rFont val="ＭＳ Ｐゴシック"/>
        <family val="3"/>
        <charset val="134"/>
        <scheme val="minor"/>
      </rPr>
      <t>驰</t>
    </r>
    <r>
      <rPr>
        <sz val="11"/>
        <color theme="1"/>
        <rFont val="ＭＳ Ｐゴシック"/>
        <family val="3"/>
        <charset val="128"/>
        <scheme val="minor"/>
      </rPr>
      <t>（宜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）投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</si>
  <si>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葡萄酒;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烈酒; 黄酒; 白酒; 清酒; 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</si>
  <si>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黔</t>
    </r>
    <r>
      <rPr>
        <sz val="11"/>
        <color theme="1"/>
        <rFont val="ＭＳ Ｐゴシック"/>
        <family val="3"/>
        <charset val="134"/>
        <scheme val="minor"/>
      </rPr>
      <t>驰</t>
    </r>
    <r>
      <rPr>
        <sz val="11"/>
        <color theme="1"/>
        <rFont val="ＭＳ Ｐゴシック"/>
        <family val="3"/>
        <charset val="128"/>
        <scheme val="minor"/>
      </rPr>
      <t>丰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</si>
  <si>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驰</t>
    </r>
    <r>
      <rPr>
        <sz val="11"/>
        <color theme="1"/>
        <rFont val="ＭＳ Ｐゴシック"/>
        <family val="3"/>
        <charset val="128"/>
        <scheme val="minor"/>
      </rPr>
      <t>丰</t>
    </r>
    <r>
      <rPr>
        <sz val="11"/>
        <color theme="1"/>
        <rFont val="ＭＳ Ｐゴシック"/>
        <family val="3"/>
        <charset val="134"/>
        <scheme val="minor"/>
      </rPr>
      <t>农业综</t>
    </r>
    <r>
      <rPr>
        <sz val="11"/>
        <color theme="1"/>
        <rFont val="ＭＳ Ｐゴシック"/>
        <family val="3"/>
        <charset val="128"/>
        <scheme val="minor"/>
      </rPr>
      <t>合开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</si>
  <si>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果酒（含酒精）; 苹果酒; 葡萄酒; 蜂蜜酒; 白酒;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</si>
  <si>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由衷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礼</t>
    </r>
  </si>
  <si>
    <r>
      <t>由衷市</t>
    </r>
    <r>
      <rPr>
        <sz val="11"/>
        <color theme="1"/>
        <rFont val="ＭＳ Ｐゴシック"/>
        <family val="3"/>
        <charset val="134"/>
        <scheme val="minor"/>
      </rPr>
      <t>场营销</t>
    </r>
    <r>
      <rPr>
        <sz val="11"/>
        <color theme="1"/>
        <rFont val="ＭＳ Ｐゴシック"/>
        <family val="3"/>
        <charset val="128"/>
        <scheme val="minor"/>
      </rPr>
      <t>策划（上海）有限公司</t>
    </r>
  </si>
  <si>
    <r>
      <t>果酒（含酒精）; 葡萄酒;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天然汽酒; 米酒; 黄酒; 白酒;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</si>
  <si>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龙笃</t>
  </si>
  <si>
    <r>
      <t>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市玲旭副食店</t>
    </r>
  </si>
  <si>
    <r>
      <t>清酒（日本米酒）;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葡萄酒;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</si>
  <si>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太舜</t>
  </si>
  <si>
    <t>伊格世福得</t>
  </si>
  <si>
    <t>无畏精神有限公司</t>
  </si>
  <si>
    <r>
      <t>伏特加酒; 汽酒; 白酒; 利口酒; 杜松子酒; 果酒;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</t>
    </r>
  </si>
  <si>
    <t>太舜坊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</si>
  <si>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朗姆酒; 伏特加酒; 葡萄酒; 黄酒; 白酒; 米酒; 果酒（含酒精）; 清酒（日本米酒）</t>
    </r>
  </si>
  <si>
    <t>南沙梁</t>
  </si>
  <si>
    <r>
      <t>郑艳</t>
    </r>
    <r>
      <rPr>
        <sz val="11"/>
        <color theme="1"/>
        <rFont val="ＭＳ Ｐゴシック"/>
        <family val="3"/>
        <charset val="128"/>
        <scheme val="minor"/>
      </rPr>
      <t>平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</si>
  <si>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青稞酒;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</si>
  <si>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t>荣霄殿</t>
  </si>
  <si>
    <r>
      <t>交个酒友酒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（深圳）有限公司</t>
    </r>
  </si>
  <si>
    <r>
      <t>葡萄酒; 开胃酒; 果酒（含酒精）; 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</si>
  <si>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t>适可</t>
  </si>
  <si>
    <r>
      <t>杨</t>
    </r>
    <r>
      <rPr>
        <sz val="11"/>
        <color theme="1"/>
        <rFont val="ＭＳ Ｐゴシック"/>
        <family val="3"/>
        <charset val="128"/>
        <scheme val="minor"/>
      </rPr>
      <t>秀</t>
    </r>
    <r>
      <rPr>
        <sz val="11"/>
        <color theme="1"/>
        <rFont val="ＭＳ Ｐゴシック"/>
        <family val="3"/>
        <charset val="134"/>
        <scheme val="minor"/>
      </rPr>
      <t>兰</t>
    </r>
  </si>
  <si>
    <r>
      <t xml:space="preserve">果酒（含酒精）; 薄荷酒;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蜂蜜酒; 青稞酒;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</si>
  <si>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左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尚礼</t>
    </r>
  </si>
  <si>
    <r>
      <t>河南左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</si>
  <si>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葡萄酒;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蒸煮提取物（利口酒和烈酒）; 白酒</t>
    </r>
  </si>
  <si>
    <r>
      <t>龙腾</t>
    </r>
    <r>
      <rPr>
        <sz val="11"/>
        <color theme="1"/>
        <rFont val="ＭＳ Ｐゴシック"/>
        <family val="3"/>
        <charset val="128"/>
        <scheme val="minor"/>
      </rPr>
      <t>福</t>
    </r>
    <r>
      <rPr>
        <sz val="11"/>
        <color theme="1"/>
        <rFont val="ＭＳ Ｐゴシック"/>
        <family val="3"/>
        <charset val="134"/>
        <scheme val="minor"/>
      </rPr>
      <t>跃</t>
    </r>
    <r>
      <rPr>
        <sz val="11"/>
        <color theme="1"/>
        <rFont val="ＭＳ Ｐゴシック"/>
        <family val="3"/>
        <charset val="128"/>
        <scheme val="minor"/>
      </rPr>
      <t>·吉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</si>
  <si>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州启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</si>
  <si>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薄荷酒;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果酒（含酒精）; 白酒; 威士忌</t>
    </r>
  </si>
  <si>
    <t>梦想三十</t>
  </si>
  <si>
    <r>
      <t>朱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</si>
  <si>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黄酒; 米酒</t>
    </r>
  </si>
  <si>
    <r>
      <t>嗨</t>
    </r>
    <r>
      <rPr>
        <sz val="11"/>
        <color theme="1"/>
        <rFont val="ＭＳ Ｐゴシック"/>
        <family val="3"/>
        <charset val="128"/>
        <scheme val="minor"/>
      </rPr>
      <t>卜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</si>
  <si>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沙高朗酒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</si>
  <si>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白葡萄酒;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冷</t>
    </r>
    <r>
      <rPr>
        <sz val="11"/>
        <color theme="1"/>
        <rFont val="ＭＳ Ｐゴシック"/>
        <family val="3"/>
        <charset val="134"/>
        <scheme val="minor"/>
      </rPr>
      <t>冻</t>
    </r>
    <r>
      <rPr>
        <sz val="11"/>
        <color theme="1"/>
        <rFont val="ＭＳ Ｐゴシック"/>
        <family val="3"/>
        <charset val="128"/>
        <scheme val="minor"/>
      </rPr>
      <t>凝胶状的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</si>
  <si>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西臻坊</t>
  </si>
  <si>
    <t>北京国沃文化有限公司</t>
  </si>
  <si>
    <r>
      <t xml:space="preserve">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葡萄汽酒; 清酒;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甜酒; 果酒; 白酒</t>
    </r>
  </si>
  <si>
    <r>
      <t>共泰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</si>
  <si>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葡萄酒; 清酒（日本米酒）;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</si>
  <si>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r>
      <t>泰好</t>
    </r>
    <r>
      <rPr>
        <sz val="11"/>
        <color theme="1"/>
        <rFont val="ＭＳ Ｐゴシック"/>
        <family val="3"/>
        <charset val="134"/>
        <scheme val="minor"/>
      </rPr>
      <t>顺</t>
    </r>
  </si>
  <si>
    <r>
      <t>浙江</t>
    </r>
    <r>
      <rPr>
        <sz val="11"/>
        <color theme="1"/>
        <rFont val="ＭＳ Ｐゴシック"/>
        <family val="3"/>
        <charset val="134"/>
        <scheme val="minor"/>
      </rPr>
      <t>济</t>
    </r>
    <r>
      <rPr>
        <sz val="11"/>
        <color theme="1"/>
        <rFont val="ＭＳ Ｐゴシック"/>
        <family val="3"/>
        <charset val="128"/>
        <scheme val="minor"/>
      </rPr>
      <t>水源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</si>
  <si>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甜酒;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</si>
  <si>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米九道</t>
  </si>
  <si>
    <t>尤黎宁</t>
  </si>
  <si>
    <r>
      <t>白酒; 果酒（含酒精）; 高粱酒;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青稞酒; 白干酒（中国白酒）; 梨酒; 葡萄酒</t>
    </r>
  </si>
  <si>
    <r>
      <t>鸿</t>
    </r>
    <r>
      <rPr>
        <sz val="11"/>
        <color theme="1"/>
        <rFont val="ＭＳ Ｐゴシック"/>
        <family val="3"/>
        <charset val="128"/>
        <scheme val="minor"/>
      </rPr>
      <t>盛宣科技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</si>
  <si>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盛宣智能装</t>
    </r>
    <r>
      <rPr>
        <sz val="11"/>
        <color theme="1"/>
        <rFont val="ＭＳ Ｐゴシック"/>
        <family val="3"/>
        <charset val="134"/>
        <scheme val="minor"/>
      </rPr>
      <t>备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</si>
  <si>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t>白酒; 开胃酒</t>
  </si>
  <si>
    <t>匠中禧</t>
  </si>
  <si>
    <t>李金成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</si>
  <si>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米酒; 白酒; 果酒; 葡萄酒; 黄酒; 汽酒;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</si>
  <si>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驻鸣</t>
    </r>
    <r>
      <rPr>
        <sz val="11"/>
        <color theme="1"/>
        <rFont val="ＭＳ Ｐゴシック"/>
        <family val="3"/>
        <charset val="128"/>
        <scheme val="minor"/>
      </rPr>
      <t>之液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</si>
  <si>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佗国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（广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）大健康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</si>
  <si>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樱</t>
    </r>
    <r>
      <rPr>
        <sz val="11"/>
        <color theme="1"/>
        <rFont val="ＭＳ Ｐゴシック"/>
        <family val="3"/>
        <charset val="128"/>
        <scheme val="minor"/>
      </rPr>
      <t>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开胃酒; 葡萄酒; 汽酒; 黄酒; 蜂蜜酒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</si>
  <si>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方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>·珠江大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</si>
  <si>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清酒（日本米酒）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</si>
  <si>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方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>·珠江河</t>
    </r>
  </si>
  <si>
    <r>
      <t>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清酒（日本米酒）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</si>
  <si>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浆</t>
    </r>
    <r>
      <rPr>
        <sz val="11"/>
        <color theme="1"/>
        <rFont val="ＭＳ Ｐゴシック"/>
        <family val="3"/>
        <charset val="128"/>
        <scheme val="minor"/>
      </rPr>
      <t>禧</t>
    </r>
  </si>
  <si>
    <r>
      <t>罗</t>
    </r>
    <r>
      <rPr>
        <sz val="11"/>
        <color theme="1"/>
        <rFont val="ＭＳ Ｐゴシック"/>
        <family val="3"/>
        <charset val="128"/>
        <scheme val="minor"/>
      </rPr>
      <t>涛涛</t>
    </r>
  </si>
  <si>
    <r>
      <t xml:space="preserve">威士忌;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汽酒; 清酒; 果酒; 葡萄酒</t>
    </r>
  </si>
  <si>
    <t>旺瓴</t>
  </si>
  <si>
    <r>
      <t>江西</t>
    </r>
    <r>
      <rPr>
        <sz val="11"/>
        <color theme="1"/>
        <rFont val="ＭＳ Ｐゴシック"/>
        <family val="3"/>
        <charset val="134"/>
        <scheme val="minor"/>
      </rPr>
      <t>铨</t>
    </r>
    <r>
      <rPr>
        <sz val="11"/>
        <color theme="1"/>
        <rFont val="ＭＳ Ｐゴシック"/>
        <family val="3"/>
        <charset val="128"/>
        <scheme val="minor"/>
      </rPr>
      <t>瓴企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运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</si>
  <si>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薄荷酒; 清酒（日本米酒）;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黄酒; 威士忌</t>
    </r>
  </si>
  <si>
    <t>艾露恩</t>
  </si>
  <si>
    <t>胡鑫</t>
  </si>
  <si>
    <r>
      <t xml:space="preserve">果酒（含酒精）;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蜂蜜酒; 食用酒精;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伏特加酒; 葡萄酒</t>
    </r>
  </si>
  <si>
    <t>蔓桃</t>
  </si>
  <si>
    <r>
      <t>舟山市迪斯易数</t>
    </r>
    <r>
      <rPr>
        <sz val="11"/>
        <color theme="1"/>
        <rFont val="ＭＳ Ｐゴシック"/>
        <family val="3"/>
        <charset val="134"/>
        <scheme val="minor"/>
      </rPr>
      <t>码电脑</t>
    </r>
    <r>
      <rPr>
        <sz val="11"/>
        <color theme="1"/>
        <rFont val="ＭＳ Ｐゴシック"/>
        <family val="3"/>
        <charset val="128"/>
        <scheme val="minor"/>
      </rPr>
      <t>城有限公司</t>
    </r>
  </si>
  <si>
    <r>
      <t xml:space="preserve">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白葡萄酒; 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米酒;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</t>
    </r>
  </si>
  <si>
    <r>
      <t>眉洲清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</si>
  <si>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罗</t>
    </r>
    <r>
      <rPr>
        <sz val="11"/>
        <color theme="1"/>
        <rFont val="ＭＳ Ｐゴシック"/>
        <family val="3"/>
        <charset val="128"/>
        <scheme val="minor"/>
      </rPr>
      <t>小清</t>
    </r>
  </si>
  <si>
    <r>
      <t>白干酒（中国白酒）; 清酒; 青稞酒;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果酒; 果酒（含酒精）; 清酒（日本米酒）; 白酒; 露酒; 米酒</t>
    </r>
  </si>
  <si>
    <t>安徽古巳品牌管理有限公司</t>
  </si>
  <si>
    <r>
      <t xml:space="preserve">果酒（含酒精）; 葡萄酒; 米酒; 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含酒精的气泡水; 白酒</t>
    </r>
  </si>
  <si>
    <t>寒潭清</t>
  </si>
  <si>
    <r>
      <t>成都抛青春酒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</si>
  <si>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梅酒; 清酒; 果酒（含酒精）;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</si>
  <si>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越州永</t>
    </r>
    <r>
      <rPr>
        <sz val="11"/>
        <color theme="1"/>
        <rFont val="ＭＳ Ｐゴシック"/>
        <family val="3"/>
        <charset val="134"/>
        <scheme val="minor"/>
      </rPr>
      <t>兴</t>
    </r>
  </si>
  <si>
    <r>
      <t>董永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</si>
  <si>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黄酒; 青稞酒; 米酒; 威士忌; 清酒（日本米酒）; 葡萄酒; 果酒（含酒精）</t>
    </r>
  </si>
  <si>
    <r>
      <t>问</t>
    </r>
    <r>
      <rPr>
        <sz val="11"/>
        <color theme="1"/>
        <rFont val="ＭＳ Ｐゴシック"/>
        <family val="3"/>
        <charset val="128"/>
        <scheme val="minor"/>
      </rPr>
      <t>雀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</si>
  <si>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小佳</t>
    </r>
  </si>
  <si>
    <r>
      <t xml:space="preserve">果酒;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</si>
  <si>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沼田双</t>
  </si>
  <si>
    <r>
      <t>上海黑托米餐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</si>
  <si>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清酒;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果酒; 佐餐酒; 日本梅子酒; 日本松</t>
    </r>
    <r>
      <rPr>
        <sz val="11"/>
        <color theme="1"/>
        <rFont val="ＭＳ Ｐゴシック"/>
        <family val="3"/>
        <charset val="134"/>
        <scheme val="minor"/>
      </rPr>
      <t>针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</si>
  <si>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犟</t>
    </r>
    <r>
      <rPr>
        <sz val="11"/>
        <color theme="1"/>
        <rFont val="ＭＳ Ｐゴシック"/>
        <family val="3"/>
        <charset val="128"/>
        <scheme val="minor"/>
      </rPr>
      <t>仔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</si>
  <si>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驴</t>
    </r>
    <r>
      <rPr>
        <sz val="11"/>
        <color theme="1"/>
        <rFont val="ＭＳ Ｐゴシック"/>
        <family val="3"/>
        <charset val="128"/>
        <scheme val="minor"/>
      </rPr>
      <t>老板网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</si>
  <si>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蒸煮提取物（利口酒和烈酒）;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利口酒; 清酒（日本米酒）;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</si>
  <si>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运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</si>
  <si>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王明</t>
    </r>
    <r>
      <rPr>
        <sz val="11"/>
        <color theme="1"/>
        <rFont val="ＭＳ Ｐゴシック"/>
        <family val="3"/>
        <charset val="134"/>
        <scheme val="minor"/>
      </rPr>
      <t>银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</si>
  <si>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威士忌; 白酒;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</si>
  <si>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上丰花</t>
    </r>
    <r>
      <rPr>
        <sz val="11"/>
        <color theme="1"/>
        <rFont val="ＭＳ Ｐゴシック"/>
        <family val="3"/>
        <charset val="134"/>
        <scheme val="minor"/>
      </rPr>
      <t>鸿</t>
    </r>
  </si>
  <si>
    <r>
      <t>黄山市花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茶菊有限公司</t>
    </r>
  </si>
  <si>
    <r>
      <t>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</si>
  <si>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悦如梵</t>
  </si>
  <si>
    <t>刘文哲</t>
  </si>
  <si>
    <r>
      <t>果酒; 葡萄酒;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清酒; 黄酒;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</si>
  <si>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荀毛</t>
  </si>
  <si>
    <t>刘想</t>
  </si>
  <si>
    <r>
      <t>威士忌; 开胃酒; 果酒（含酒精）; 清酒（日本米酒）; 黄酒;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</si>
  <si>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州台</t>
    </r>
    <r>
      <rPr>
        <sz val="11"/>
        <color theme="1"/>
        <rFont val="ＭＳ Ｐゴシック"/>
        <family val="3"/>
        <charset val="134"/>
        <scheme val="minor"/>
      </rPr>
      <t>赋</t>
    </r>
    <r>
      <rPr>
        <sz val="11"/>
        <color theme="1"/>
        <rFont val="ＭＳ Ｐゴシック"/>
        <family val="3"/>
        <charset val="128"/>
        <scheme val="minor"/>
      </rPr>
      <t>匠酒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</si>
  <si>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高粱酒; 清酒（日本米酒）</t>
    </r>
  </si>
  <si>
    <r>
      <t>琼</t>
    </r>
    <r>
      <rPr>
        <sz val="11"/>
        <color theme="1"/>
        <rFont val="ＭＳ Ｐゴシック"/>
        <family val="3"/>
        <charset val="128"/>
        <scheme val="minor"/>
      </rPr>
      <t>林鹿</t>
    </r>
    <r>
      <rPr>
        <sz val="11"/>
        <color theme="1"/>
        <rFont val="ＭＳ Ｐゴシック"/>
        <family val="3"/>
        <charset val="134"/>
        <scheme val="minor"/>
      </rPr>
      <t>鸣</t>
    </r>
  </si>
  <si>
    <r>
      <t>吴</t>
    </r>
    <r>
      <rPr>
        <sz val="11"/>
        <color theme="1"/>
        <rFont val="ＭＳ Ｐゴシック"/>
        <family val="3"/>
        <charset val="134"/>
        <scheme val="minor"/>
      </rPr>
      <t>浓</t>
    </r>
    <r>
      <rPr>
        <sz val="11"/>
        <color theme="1"/>
        <rFont val="ＭＳ Ｐゴシック"/>
        <family val="3"/>
        <charset val="128"/>
        <scheme val="minor"/>
      </rPr>
      <t>椿</t>
    </r>
  </si>
  <si>
    <r>
      <t>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</t>
    </r>
  </si>
  <si>
    <t>正葆元</t>
  </si>
  <si>
    <r>
      <t>张</t>
    </r>
    <r>
      <rPr>
        <sz val="11"/>
        <color theme="1"/>
        <rFont val="ＭＳ Ｐゴシック"/>
        <family val="3"/>
        <charset val="128"/>
        <scheme val="minor"/>
      </rPr>
      <t>仙</t>
    </r>
    <r>
      <rPr>
        <sz val="11"/>
        <color theme="1"/>
        <rFont val="ＭＳ Ｐゴシック"/>
        <family val="3"/>
        <charset val="134"/>
        <scheme val="minor"/>
      </rPr>
      <t>绎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</si>
  <si>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 xml:space="preserve">烈酒; 白酒; 高粱酒;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</t>
    </r>
  </si>
  <si>
    <r>
      <t>六善</t>
    </r>
    <r>
      <rPr>
        <sz val="11"/>
        <color theme="1"/>
        <rFont val="ＭＳ Ｐゴシック"/>
        <family val="3"/>
        <charset val="134"/>
        <scheme val="minor"/>
      </rPr>
      <t>积</t>
    </r>
    <r>
      <rPr>
        <sz val="11"/>
        <color theme="1"/>
        <rFont val="ＭＳ Ｐゴシック"/>
        <family val="3"/>
        <charset val="128"/>
        <scheme val="minor"/>
      </rPr>
      <t>家</t>
    </r>
  </si>
  <si>
    <t>董越</t>
  </si>
  <si>
    <r>
      <t>葡萄酒; 威士忌; 黄酒; 开胃酒; 白酒; 薄荷酒;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</si>
  <si>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郡</t>
    </r>
    <r>
      <rPr>
        <sz val="11"/>
        <color theme="1"/>
        <rFont val="ＭＳ Ｐゴシック"/>
        <family val="3"/>
        <charset val="134"/>
        <scheme val="minor"/>
      </rPr>
      <t>诗</t>
    </r>
  </si>
  <si>
    <r>
      <t>上海郡</t>
    </r>
    <r>
      <rPr>
        <sz val="11"/>
        <color theme="1"/>
        <rFont val="ＭＳ Ｐゴシック"/>
        <family val="3"/>
        <charset val="134"/>
        <scheme val="minor"/>
      </rPr>
      <t>诗贸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</si>
  <si>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甘蔗制烈酒;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白酒</t>
    </r>
  </si>
  <si>
    <t>笑笑不倒翁</t>
  </si>
  <si>
    <t>吴伯天</t>
  </si>
  <si>
    <r>
      <t>白酒;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清酒;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米酒</t>
    </r>
  </si>
  <si>
    <r>
      <t>吕</t>
    </r>
    <r>
      <rPr>
        <sz val="11"/>
        <color theme="1"/>
        <rFont val="ＭＳ Ｐゴシック"/>
        <family val="3"/>
        <charset val="128"/>
        <scheme val="minor"/>
      </rPr>
      <t>脉酒</t>
    </r>
  </si>
  <si>
    <r>
      <t>沧</t>
    </r>
    <r>
      <rPr>
        <sz val="11"/>
        <color theme="1"/>
        <rFont val="ＭＳ Ｐゴシック"/>
        <family val="3"/>
        <charset val="128"/>
        <scheme val="minor"/>
      </rPr>
      <t>州宏亮机</t>
    </r>
    <r>
      <rPr>
        <sz val="11"/>
        <color theme="1"/>
        <rFont val="ＭＳ Ｐゴシック"/>
        <family val="3"/>
        <charset val="134"/>
        <scheme val="minor"/>
      </rPr>
      <t>电设备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</si>
  <si>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苹果酒;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清酒（日本米酒）; 米酒; 威士忌; 伏特加酒; 梨酒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</si>
  <si>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方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>·珠江</t>
    </r>
    <r>
      <rPr>
        <sz val="11"/>
        <color theme="1"/>
        <rFont val="ＭＳ Ｐゴシック"/>
        <family val="3"/>
        <charset val="134"/>
        <scheme val="minor"/>
      </rPr>
      <t>赋</t>
    </r>
  </si>
  <si>
    <t>靳卓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</si>
  <si>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葡萄酒; 食用酒精;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</si>
  <si>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娇</t>
    </r>
    <r>
      <rPr>
        <sz val="11"/>
        <color theme="1"/>
        <rFont val="ＭＳ Ｐゴシック"/>
        <family val="3"/>
        <charset val="128"/>
        <scheme val="minor"/>
      </rPr>
      <t>沁</t>
    </r>
  </si>
  <si>
    <t>徐永富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</si>
  <si>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汽酒; 果酒（含酒精）;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</si>
  <si>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RAFOLD</t>
  </si>
  <si>
    <r>
      <t>张</t>
    </r>
    <r>
      <rPr>
        <sz val="11"/>
        <color theme="1"/>
        <rFont val="ＭＳ Ｐゴシック"/>
        <family val="3"/>
        <charset val="128"/>
        <scheme val="minor"/>
      </rPr>
      <t>靖</t>
    </r>
  </si>
  <si>
    <r>
      <t>白葡萄酒; 葡萄酒;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利口酒;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</si>
  <si>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月色溶溶</t>
  </si>
  <si>
    <r>
      <t>戴文</t>
    </r>
    <r>
      <rPr>
        <sz val="11"/>
        <color theme="1"/>
        <rFont val="ＭＳ Ｐゴシック"/>
        <family val="3"/>
        <charset val="134"/>
        <scheme val="minor"/>
      </rPr>
      <t>锋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</si>
  <si>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葡萄酒; 米酒;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黄酒</t>
    </r>
  </si>
  <si>
    <t>筒子沟</t>
  </si>
  <si>
    <t>杨丽</t>
  </si>
  <si>
    <r>
      <t>果酒（含酒精）;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黄酒; 食用酒精; 高粱酒; 白酒</t>
    </r>
  </si>
  <si>
    <t>筑梦仁</t>
  </si>
  <si>
    <t>肖殿美</t>
  </si>
  <si>
    <t>箸名</t>
  </si>
  <si>
    <r>
      <t>海南岭先酒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</si>
  <si>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葡萄酒; 米酒; 清酒; 黄酒; 露酒;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青梅酒; 青稞酒;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</t>
    </r>
  </si>
  <si>
    <t>万粮峪</t>
  </si>
  <si>
    <t>徐震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</si>
  <si>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黄酒;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白酒; 食用酒精</t>
    </r>
  </si>
  <si>
    <r>
      <t>铸</t>
    </r>
    <r>
      <rPr>
        <sz val="11"/>
        <color theme="1"/>
        <rFont val="ＭＳ Ｐゴシック"/>
        <family val="3"/>
        <charset val="128"/>
        <scheme val="minor"/>
      </rPr>
      <t>志</t>
    </r>
  </si>
  <si>
    <r>
      <t xml:space="preserve">葡萄酒; 黄酒; 汽酒;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米酒; 白酒; 果酒</t>
    </r>
  </si>
  <si>
    <t>仙珍天</t>
  </si>
  <si>
    <r>
      <t>邓</t>
    </r>
    <r>
      <rPr>
        <sz val="11"/>
        <color theme="1"/>
        <rFont val="ＭＳ Ｐゴシック"/>
        <family val="3"/>
        <charset val="128"/>
        <scheme val="minor"/>
      </rPr>
      <t>芳萍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</si>
  <si>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开胃酒; 果酒（含酒精）; 葡萄酒; 清酒（日本米酒）; 黄酒</t>
    </r>
  </si>
  <si>
    <t>九五名望</t>
  </si>
  <si>
    <r>
      <t>义乌</t>
    </r>
    <r>
      <rPr>
        <sz val="11"/>
        <color theme="1"/>
        <rFont val="ＭＳ Ｐゴシック"/>
        <family val="3"/>
        <charset val="128"/>
        <scheme val="minor"/>
      </rPr>
      <t>市浩初服</t>
    </r>
    <r>
      <rPr>
        <sz val="11"/>
        <color theme="1"/>
        <rFont val="ＭＳ Ｐゴシック"/>
        <family val="3"/>
        <charset val="134"/>
        <scheme val="minor"/>
      </rPr>
      <t>饰</t>
    </r>
    <r>
      <rPr>
        <sz val="11"/>
        <color theme="1"/>
        <rFont val="ＭＳ Ｐゴシック"/>
        <family val="3"/>
        <charset val="128"/>
        <scheme val="minor"/>
      </rPr>
      <t>商行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</si>
  <si>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清酒（日本米酒）; 威士忌;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</si>
  <si>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夯将</t>
  </si>
  <si>
    <t>BOLSUVA</t>
  </si>
  <si>
    <r>
      <t>深圳小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大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科技有限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</si>
  <si>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米酒; 青稞酒; 黄酒; 清酒（日本米酒）;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蜂蜜酒; 白酒</t>
    </r>
  </si>
  <si>
    <t>品悦.厚德</t>
  </si>
  <si>
    <r>
      <t>黄新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</si>
  <si>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 xml:space="preserve">葡萄酒; 米酒; 清酒（日本米酒）; 威士忌;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伏特加酒</t>
    </r>
  </si>
  <si>
    <r>
      <t>五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梁</t>
    </r>
  </si>
  <si>
    <r>
      <t>宜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醉不倒酒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</si>
  <si>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利口酒; 烈酒;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梨酒; 黄酒; 青稞酒; 白干酒（中国白酒）</t>
    </r>
  </si>
  <si>
    <t>凝荷芯乾坤</t>
  </si>
  <si>
    <t>符巧岩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</si>
  <si>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甘蔗制烈酒;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米酒; 葡萄酒</t>
    </r>
  </si>
  <si>
    <t>五匠梦</t>
  </si>
  <si>
    <r>
      <t>宜</t>
    </r>
    <r>
      <rPr>
        <sz val="11"/>
        <color theme="1"/>
        <rFont val="ＭＳ Ｐゴシック"/>
        <family val="3"/>
        <charset val="134"/>
        <scheme val="minor"/>
      </rPr>
      <t>宾华</t>
    </r>
    <r>
      <rPr>
        <sz val="11"/>
        <color theme="1"/>
        <rFont val="ＭＳ Ｐゴシック"/>
        <family val="3"/>
        <charset val="128"/>
        <scheme val="minor"/>
      </rPr>
      <t>梦酒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</si>
  <si>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果酒; 开胃酒; 葡萄酒;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</si>
  <si>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知余生</t>
  </si>
  <si>
    <t>澎瑞</t>
  </si>
  <si>
    <r>
      <t>杭州多趣</t>
    </r>
    <r>
      <rPr>
        <sz val="11"/>
        <color theme="1"/>
        <rFont val="ＭＳ Ｐゴシック"/>
        <family val="3"/>
        <charset val="134"/>
        <scheme val="minor"/>
      </rPr>
      <t>购电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</si>
  <si>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米酒;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清酒（日本米酒）;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开胃酒</t>
    </r>
  </si>
  <si>
    <r>
      <t>洞里</t>
    </r>
    <r>
      <rPr>
        <sz val="11"/>
        <color theme="1"/>
        <rFont val="ＭＳ Ｐゴシック"/>
        <family val="3"/>
        <charset val="134"/>
        <scheme val="minor"/>
      </rPr>
      <t>颂</t>
    </r>
  </si>
  <si>
    <r>
      <t>邓晓</t>
    </r>
    <r>
      <rPr>
        <sz val="11"/>
        <color theme="1"/>
        <rFont val="ＭＳ Ｐゴシック"/>
        <family val="3"/>
        <charset val="128"/>
        <scheme val="minor"/>
      </rPr>
      <t>俊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</si>
  <si>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白酒; 梨酒;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开胃酒</t>
    </r>
  </si>
  <si>
    <t>皙彤</t>
  </si>
  <si>
    <r>
      <t>成都俸雅商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</si>
  <si>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米酒; 蜂蜜酒;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利口酒</t>
    </r>
  </si>
  <si>
    <t>滴付通</t>
  </si>
  <si>
    <r>
      <t>四川益充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</si>
  <si>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白酒;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</t>
    </r>
  </si>
  <si>
    <t>世金珍</t>
  </si>
  <si>
    <t>宴令乾坤</t>
  </si>
  <si>
    <t>F 梵楷庄园</t>
  </si>
  <si>
    <r>
      <t>和</t>
    </r>
    <r>
      <rPr>
        <sz val="11"/>
        <color theme="1"/>
        <rFont val="ＭＳ Ｐゴシック"/>
        <family val="3"/>
        <charset val="134"/>
        <scheme val="minor"/>
      </rPr>
      <t>硕县</t>
    </r>
    <r>
      <rPr>
        <sz val="11"/>
        <color theme="1"/>
        <rFont val="ＭＳ Ｐゴシック"/>
        <family val="3"/>
        <charset val="128"/>
        <scheme val="minor"/>
      </rPr>
      <t>永祥葡萄种植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民</t>
    </r>
    <r>
      <rPr>
        <sz val="11"/>
        <color theme="1"/>
        <rFont val="ＭＳ Ｐゴシック"/>
        <family val="3"/>
        <charset val="134"/>
        <scheme val="minor"/>
      </rPr>
      <t>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</si>
  <si>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>伏特加酒; 威士忌;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</si>
  <si>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t>宜留香</t>
  </si>
  <si>
    <r>
      <t>魏建</t>
    </r>
    <r>
      <rPr>
        <sz val="11"/>
        <color theme="1"/>
        <rFont val="ＭＳ Ｐゴシック"/>
        <family val="3"/>
        <charset val="134"/>
        <scheme val="minor"/>
      </rPr>
      <t>铭</t>
    </r>
  </si>
  <si>
    <r>
      <t xml:space="preserve">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</si>
  <si>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御保府</t>
  </si>
  <si>
    <r>
      <t>保定市迪池商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</si>
  <si>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伏特加酒; 清酒; 食用酒精; 青稞酒; 利口酒;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果酒（含酒精）</t>
    </r>
  </si>
  <si>
    <r>
      <t>驰鸣</t>
    </r>
    <r>
      <rPr>
        <sz val="11"/>
        <color theme="1"/>
        <rFont val="ＭＳ Ｐゴシック"/>
        <family val="3"/>
        <charset val="128"/>
        <scheme val="minor"/>
      </rPr>
      <t>家</t>
    </r>
    <r>
      <rPr>
        <sz val="11"/>
        <color theme="1"/>
        <rFont val="ＭＳ Ｐゴシック"/>
        <family val="3"/>
        <charset val="134"/>
        <scheme val="minor"/>
      </rPr>
      <t>风</t>
    </r>
  </si>
  <si>
    <r>
      <t>安徽</t>
    </r>
    <r>
      <rPr>
        <sz val="11"/>
        <color theme="1"/>
        <rFont val="ＭＳ Ｐゴシック"/>
        <family val="3"/>
        <charset val="134"/>
        <scheme val="minor"/>
      </rPr>
      <t>驰鸣</t>
    </r>
    <r>
      <rPr>
        <sz val="11"/>
        <color theme="1"/>
        <rFont val="ＭＳ Ｐゴシック"/>
        <family val="3"/>
        <charset val="128"/>
        <scheme val="minor"/>
      </rPr>
      <t>米斛酒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</si>
  <si>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甜酒; 白酒; 果酒; 食用酒精; 高粱酒; 黄酒</t>
    </r>
  </si>
  <si>
    <t>奥普森</t>
  </si>
  <si>
    <r>
      <t>奥普森（吉林）酒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</si>
  <si>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清酒</t>
    </r>
  </si>
  <si>
    <r>
      <t>黄金</t>
    </r>
    <r>
      <rPr>
        <sz val="11"/>
        <color theme="1"/>
        <rFont val="ＭＳ Ｐゴシック"/>
        <family val="3"/>
        <charset val="134"/>
        <scheme val="minor"/>
      </rPr>
      <t>萧战</t>
    </r>
  </si>
  <si>
    <r>
      <t>萧</t>
    </r>
    <r>
      <rPr>
        <sz val="11"/>
        <color theme="1"/>
        <rFont val="ＭＳ Ｐゴシック"/>
        <family val="3"/>
        <charset val="128"/>
        <scheme val="minor"/>
      </rPr>
      <t>登仲******************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</si>
  <si>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果酒; 烈酒; 威士忌; 开胃酒; 葡萄酒;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米酒</t>
    </r>
  </si>
  <si>
    <r>
      <t>为尔</t>
    </r>
    <r>
      <rPr>
        <sz val="11"/>
        <color theme="1"/>
        <rFont val="ＭＳ Ｐゴシック"/>
        <family val="3"/>
        <charset val="128"/>
        <scheme val="minor"/>
      </rPr>
      <t>德</t>
    </r>
  </si>
  <si>
    <t>李君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</si>
  <si>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果酒（含酒精）; 开胃酒;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</si>
  <si>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春荣</t>
    </r>
  </si>
  <si>
    <r>
      <t>白酒;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</si>
  <si>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徽黎</t>
  </si>
  <si>
    <r>
      <t>安徽智耕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</si>
  <si>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黄酒;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</si>
  <si>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香</t>
    </r>
    <r>
      <rPr>
        <sz val="11"/>
        <color theme="1"/>
        <rFont val="ＭＳ Ｐゴシック"/>
        <family val="3"/>
        <charset val="134"/>
        <scheme val="minor"/>
      </rPr>
      <t>壶</t>
    </r>
    <r>
      <rPr>
        <sz val="11"/>
        <color theme="1"/>
        <rFont val="ＭＳ Ｐゴシック"/>
        <family val="3"/>
        <charset val="128"/>
        <scheme val="minor"/>
      </rPr>
      <t>美</t>
    </r>
  </si>
  <si>
    <r>
      <t>成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区江莱紫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部</t>
    </r>
  </si>
  <si>
    <r>
      <t xml:space="preserve">含奶油利口酒; 高粱酒; 果酒; 青梅酒; 清酒（日本米酒）; 茴香酒;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</si>
  <si>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康福霖</t>
  </si>
  <si>
    <r>
      <t>湖南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城生</t>
    </r>
    <r>
      <rPr>
        <sz val="11"/>
        <color theme="1"/>
        <rFont val="ＭＳ Ｐゴシック"/>
        <family val="3"/>
        <charset val="134"/>
        <scheme val="minor"/>
      </rPr>
      <t>态农业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</si>
  <si>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果酒（含酒精）;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黄酒; 食用酒精; 米酒</t>
    </r>
  </si>
  <si>
    <r>
      <t>九</t>
    </r>
    <r>
      <rPr>
        <sz val="11"/>
        <color theme="1"/>
        <rFont val="ＭＳ Ｐゴシック"/>
        <family val="3"/>
        <charset val="134"/>
        <scheme val="minor"/>
      </rPr>
      <t>华诵</t>
    </r>
  </si>
  <si>
    <r>
      <t>刘志</t>
    </r>
    <r>
      <rPr>
        <sz val="11"/>
        <color theme="1"/>
        <rFont val="ＭＳ Ｐゴシック"/>
        <family val="3"/>
        <charset val="134"/>
        <scheme val="minor"/>
      </rPr>
      <t>刚</t>
    </r>
  </si>
  <si>
    <r>
      <t>白酒;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</si>
  <si>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胡迦</t>
  </si>
  <si>
    <r>
      <t>遂昌山那</t>
    </r>
    <r>
      <rPr>
        <sz val="11"/>
        <color theme="1"/>
        <rFont val="ＭＳ Ｐゴシック"/>
        <family val="3"/>
        <charset val="134"/>
        <scheme val="minor"/>
      </rPr>
      <t>边</t>
    </r>
    <r>
      <rPr>
        <sz val="11"/>
        <color theme="1"/>
        <rFont val="ＭＳ Ｐゴシック"/>
        <family val="3"/>
        <charset val="128"/>
        <scheme val="minor"/>
      </rPr>
      <t>有家酒坊有限公司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</si>
  <si>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果酒（含酒精）;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</t>
    </r>
  </si>
  <si>
    <r>
      <t>唐</t>
    </r>
    <r>
      <rPr>
        <sz val="11"/>
        <color theme="1"/>
        <rFont val="ＭＳ Ｐゴシック"/>
        <family val="3"/>
        <charset val="134"/>
        <scheme val="minor"/>
      </rPr>
      <t>乡</t>
    </r>
  </si>
  <si>
    <r>
      <t>成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区河瑞江商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部</t>
    </r>
  </si>
  <si>
    <t>晶殿</t>
  </si>
  <si>
    <r>
      <t>深圳市名宇福米</t>
    </r>
    <r>
      <rPr>
        <sz val="11"/>
        <color theme="1"/>
        <rFont val="ＭＳ Ｐゴシック"/>
        <family val="3"/>
        <charset val="134"/>
        <scheme val="minor"/>
      </rPr>
      <t>业贸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</si>
  <si>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白酒;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</si>
  <si>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中川情</t>
  </si>
  <si>
    <t>中川能源(北京)有限公司</t>
  </si>
  <si>
    <r>
      <t>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甜酒;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</si>
  <si>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湘昱</t>
  </si>
  <si>
    <r>
      <t>罗</t>
    </r>
    <r>
      <rPr>
        <sz val="11"/>
        <color theme="1"/>
        <rFont val="ＭＳ Ｐゴシック"/>
        <family val="3"/>
        <charset val="128"/>
        <scheme val="minor"/>
      </rPr>
      <t>婷</t>
    </r>
  </si>
  <si>
    <r>
      <t xml:space="preserve">白酒;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开胃酒;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</si>
  <si>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共</t>
    </r>
    <r>
      <rPr>
        <sz val="11"/>
        <color theme="1"/>
        <rFont val="ＭＳ Ｐゴシック"/>
        <family val="3"/>
        <charset val="134"/>
        <scheme val="minor"/>
      </rPr>
      <t>飞</t>
    </r>
    <r>
      <rPr>
        <sz val="11"/>
        <color theme="1"/>
        <rFont val="ＭＳ Ｐゴシック"/>
        <family val="3"/>
        <charset val="128"/>
        <scheme val="minor"/>
      </rPr>
      <t>越</t>
    </r>
  </si>
  <si>
    <r>
      <t>广西知乎管理咨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</si>
  <si>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高粱酒;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果酒（含酒精）;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</si>
  <si>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拿汀</t>
  </si>
  <si>
    <r>
      <t>正洋</t>
    </r>
    <r>
      <rPr>
        <sz val="11"/>
        <color theme="1"/>
        <rFont val="ＭＳ Ｐゴシック"/>
        <family val="3"/>
        <charset val="134"/>
        <scheme val="minor"/>
      </rPr>
      <t>诚</t>
    </r>
    <r>
      <rPr>
        <sz val="11"/>
        <color theme="1"/>
        <rFont val="ＭＳ Ｐゴシック"/>
        <family val="3"/>
        <charset val="128"/>
        <scheme val="minor"/>
      </rPr>
      <t>合（天津）有限公司</t>
    </r>
  </si>
  <si>
    <r>
      <t>米酒; 葡萄酒; 餐后酒（利口酒和烈酒）;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</si>
  <si>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甄世源</t>
  </si>
  <si>
    <r>
      <t>北京易博宏</t>
    </r>
    <r>
      <rPr>
        <sz val="11"/>
        <color theme="1"/>
        <rFont val="ＭＳ Ｐゴシック"/>
        <family val="3"/>
        <charset val="134"/>
        <scheme val="minor"/>
      </rPr>
      <t>图</t>
    </r>
    <r>
      <rPr>
        <sz val="11"/>
        <color theme="1"/>
        <rFont val="ＭＳ Ｐゴシック"/>
        <family val="3"/>
        <charset val="128"/>
        <scheme val="minor"/>
      </rPr>
      <t>信息技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</si>
  <si>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高粱酒</t>
    </r>
  </si>
  <si>
    <t>依迪臣</t>
  </si>
  <si>
    <r>
      <t>潘</t>
    </r>
    <r>
      <rPr>
        <sz val="11"/>
        <color theme="1"/>
        <rFont val="ＭＳ Ｐゴシック"/>
        <family val="3"/>
        <charset val="134"/>
        <scheme val="minor"/>
      </rPr>
      <t>伟</t>
    </r>
    <r>
      <rPr>
        <sz val="11"/>
        <color theme="1"/>
        <rFont val="ＭＳ Ｐゴシック"/>
        <family val="3"/>
        <charset val="128"/>
        <scheme val="minor"/>
      </rPr>
      <t>恭</t>
    </r>
  </si>
  <si>
    <r>
      <t xml:space="preserve">薄荷酒; 白酒; 葡萄酒; 苹果酒; 米酒; 清酒; 食用酒精;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</si>
  <si>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希</t>
    </r>
    <r>
      <rPr>
        <sz val="11"/>
        <color theme="1"/>
        <rFont val="ＭＳ Ｐゴシック"/>
        <family val="3"/>
        <charset val="134"/>
        <scheme val="minor"/>
      </rPr>
      <t>萤</t>
    </r>
  </si>
  <si>
    <r>
      <t>南宁市和美投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</si>
  <si>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黄酒; 葡萄酒; 苦味酒; 高粱酒; 白酒</t>
    </r>
  </si>
  <si>
    <t>古泉岭</t>
  </si>
  <si>
    <r>
      <t>王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光</t>
    </r>
  </si>
  <si>
    <r>
      <t>葡萄酒; 清酒（日本米酒）; 果酒（含酒精）; 开胃酒;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</si>
  <si>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辰潭香</t>
  </si>
  <si>
    <r>
      <t>杨</t>
    </r>
    <r>
      <rPr>
        <sz val="11"/>
        <color theme="1"/>
        <rFont val="ＭＳ Ｐゴシック"/>
        <family val="3"/>
        <charset val="128"/>
        <scheme val="minor"/>
      </rPr>
      <t>宏</t>
    </r>
    <r>
      <rPr>
        <sz val="11"/>
        <color theme="1"/>
        <rFont val="ＭＳ Ｐゴシック"/>
        <family val="3"/>
        <charset val="134"/>
        <scheme val="minor"/>
      </rPr>
      <t>刚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</si>
  <si>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朗姆酒; 果酒; 白酒; 黄酒; 开胃酒;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</si>
  <si>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r>
      <t>艺赣</t>
    </r>
    <r>
      <rPr>
        <sz val="11"/>
        <color theme="1"/>
        <rFont val="ＭＳ Ｐゴシック"/>
        <family val="3"/>
        <charset val="128"/>
        <scheme val="minor"/>
      </rPr>
      <t>南</t>
    </r>
  </si>
  <si>
    <t>余超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</si>
  <si>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果酒; 威士忌; 白酒; 露酒;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</si>
  <si>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t>一人也</t>
  </si>
  <si>
    <t>冷明</t>
  </si>
  <si>
    <r>
      <t>米酒;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薄荷酒; 葡萄酒</t>
    </r>
  </si>
  <si>
    <r>
      <t>衡昌商</t>
    </r>
    <r>
      <rPr>
        <sz val="11"/>
        <color theme="1"/>
        <rFont val="ＭＳ Ｐゴシック"/>
        <family val="3"/>
        <charset val="134"/>
        <scheme val="minor"/>
      </rPr>
      <t>汤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</si>
  <si>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市茅台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衡昌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</si>
  <si>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黄酒; 青稞酒;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果酒; 米酒; 白干酒（中国白酒）</t>
    </r>
  </si>
  <si>
    <t>永延福祚</t>
  </si>
  <si>
    <t>西安花生粒文化科技有限公司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</si>
  <si>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白酒;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</t>
    </r>
  </si>
  <si>
    <t>花开尊荣</t>
  </si>
  <si>
    <r>
      <t>孙</t>
    </r>
    <r>
      <rPr>
        <sz val="11"/>
        <color theme="1"/>
        <rFont val="ＭＳ Ｐゴシック"/>
        <family val="3"/>
        <charset val="128"/>
        <scheme val="minor"/>
      </rPr>
      <t>小荣</t>
    </r>
  </si>
  <si>
    <r>
      <t>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蜂蜜酒; 白酒;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黄酒</t>
    </r>
  </si>
  <si>
    <t>大明汝宁府</t>
  </si>
  <si>
    <r>
      <t>王老福集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</si>
  <si>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t>高粱酒; 果酒; 食用酒精; 米酒; 威士忌; 白酒; 烈酒; 清酒（日本米酒）; 烈性干酒; 黄酒</t>
  </si>
  <si>
    <t>奢身</t>
  </si>
  <si>
    <r>
      <t>中慕国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酒店（深圳）有限公司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</si>
  <si>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</t>
    </r>
  </si>
  <si>
    <t>桑甜里</t>
  </si>
  <si>
    <t>杭州泰有品牌管理有限公司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</si>
  <si>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青稞酒; 含酒精的气泡水; 果酒（含酒精）;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</si>
  <si>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冰极限</t>
  </si>
  <si>
    <r>
      <t>赵</t>
    </r>
    <r>
      <rPr>
        <sz val="11"/>
        <color theme="1"/>
        <rFont val="ＭＳ Ｐゴシック"/>
        <family val="3"/>
        <charset val="129"/>
        <scheme val="minor"/>
      </rPr>
      <t>强</t>
    </r>
  </si>
  <si>
    <t>食用酒精; 汽酒; 甜酒; 开胃酒; 葡萄酒; 白酒; 黄酒; 果酒; 米酒; 清酒</t>
  </si>
  <si>
    <t>ZUIERLANG</t>
  </si>
  <si>
    <r>
      <t>什邡市三木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</si>
  <si>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白酒; 高粱酒;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</si>
  <si>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雅州</t>
    </r>
    <r>
      <rPr>
        <sz val="11"/>
        <color theme="1"/>
        <rFont val="ＭＳ Ｐゴシック"/>
        <family val="3"/>
        <charset val="134"/>
        <scheme val="minor"/>
      </rPr>
      <t>义兴</t>
    </r>
  </si>
  <si>
    <r>
      <t>四川省雅安</t>
    </r>
    <r>
      <rPr>
        <sz val="11"/>
        <color theme="1"/>
        <rFont val="ＭＳ Ｐゴシック"/>
        <family val="3"/>
        <charset val="134"/>
        <scheme val="minor"/>
      </rPr>
      <t>义兴</t>
    </r>
    <r>
      <rPr>
        <sz val="11"/>
        <color theme="1"/>
        <rFont val="ＭＳ Ｐゴシック"/>
        <family val="3"/>
        <charset val="128"/>
        <scheme val="minor"/>
      </rPr>
      <t>藏茶有限公司</t>
    </r>
  </si>
  <si>
    <r>
      <t xml:space="preserve">开胃酒;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青稞酒; 威士忌</t>
    </r>
  </si>
  <si>
    <t>LAI TIANJUN</t>
  </si>
  <si>
    <t>白浪星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</si>
  <si>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威士忌; 果酒（含酒精）; 烈酒</t>
    </r>
  </si>
  <si>
    <t>瑟日</t>
  </si>
  <si>
    <t>李学萍</t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</si>
  <si>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</si>
  <si>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艳</t>
    </r>
    <r>
      <rPr>
        <sz val="11"/>
        <color theme="1"/>
        <rFont val="ＭＳ Ｐゴシック"/>
        <family val="3"/>
        <charset val="128"/>
        <scheme val="minor"/>
      </rPr>
      <t>奎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</si>
  <si>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焱（上海）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</si>
  <si>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甘蔗制烈酒; 高粱酒; 蒸煮提取物（利口酒和烈酒）; 烈性干酒;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</si>
  <si>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t>德供山水</t>
  </si>
  <si>
    <r>
      <t>宁德供</t>
    </r>
    <r>
      <rPr>
        <sz val="11"/>
        <color theme="1"/>
        <rFont val="ＭＳ Ｐゴシック"/>
        <family val="3"/>
        <charset val="134"/>
        <scheme val="minor"/>
      </rPr>
      <t>销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</si>
  <si>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黄酒; 清酒（日本米酒）; 米酒</t>
    </r>
  </si>
  <si>
    <t>PENGSHIHONG</t>
  </si>
  <si>
    <r>
      <t>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高粱酒;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青稞酒; 黄酒</t>
    </r>
  </si>
  <si>
    <t>JINQIUSHIYUE</t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</si>
  <si>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黄酒; 葡萄酒</t>
    </r>
  </si>
  <si>
    <t>力泓</t>
  </si>
  <si>
    <r>
      <t>果酒（含酒精）;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伏特加酒;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利口酒; 白酒</t>
    </r>
  </si>
  <si>
    <t>孝粮道</t>
  </si>
  <si>
    <r>
      <t>北京地心引力网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</si>
  <si>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汽酒; 黄酒; 果酒（含酒精）; 米酒; 蜂蜜酒</t>
    </r>
  </si>
  <si>
    <t>文蔚</t>
  </si>
  <si>
    <t>邹伟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</si>
  <si>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朗姆酒; 伏特加酒; 果酒;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</t>
    </r>
  </si>
  <si>
    <r>
      <t>笑</t>
    </r>
    <r>
      <rPr>
        <sz val="11"/>
        <color theme="1"/>
        <rFont val="ＭＳ Ｐゴシック"/>
        <family val="3"/>
        <charset val="134"/>
        <scheme val="minor"/>
      </rPr>
      <t>仪</t>
    </r>
    <r>
      <rPr>
        <sz val="11"/>
        <color theme="1"/>
        <rFont val="ＭＳ Ｐゴシック"/>
        <family val="3"/>
        <charset val="128"/>
        <scheme val="minor"/>
      </rPr>
      <t>康</t>
    </r>
  </si>
  <si>
    <t>毛朋交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</si>
  <si>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黄酒; 蜂蜜酒; 葡萄酒; 餐后酒（利口酒和烈酒）; 果酒（含酒精）; 米酒; 开胃酒; 白酒</t>
    </r>
  </si>
  <si>
    <r>
      <t>库</t>
    </r>
    <r>
      <rPr>
        <sz val="11"/>
        <color theme="1"/>
        <rFont val="ＭＳ Ｐゴシック"/>
        <family val="3"/>
        <charset val="128"/>
        <scheme val="minor"/>
      </rPr>
      <t>布其酒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 xml:space="preserve"> KUBUQI DISTILLERY</t>
    </r>
  </si>
  <si>
    <r>
      <t>内蒙古</t>
    </r>
    <r>
      <rPr>
        <sz val="11"/>
        <color theme="1"/>
        <rFont val="ＭＳ Ｐゴシック"/>
        <family val="3"/>
        <charset val="134"/>
        <scheme val="minor"/>
      </rPr>
      <t>库</t>
    </r>
    <r>
      <rPr>
        <sz val="11"/>
        <color theme="1"/>
        <rFont val="ＭＳ Ｐゴシック"/>
        <family val="3"/>
        <charset val="128"/>
        <scheme val="minor"/>
      </rPr>
      <t>布其酒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</si>
  <si>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开胃酒;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高粱酒; 利口酒; 黄酒;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</si>
  <si>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品尚</t>
    </r>
    <r>
      <rPr>
        <sz val="11"/>
        <color theme="1"/>
        <rFont val="ＭＳ Ｐゴシック"/>
        <family val="3"/>
        <charset val="134"/>
        <scheme val="minor"/>
      </rPr>
      <t>觅</t>
    </r>
    <r>
      <rPr>
        <sz val="11"/>
        <color theme="1"/>
        <rFont val="ＭＳ Ｐゴシック"/>
        <family val="3"/>
        <charset val="128"/>
        <scheme val="minor"/>
      </rPr>
      <t>香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</si>
  <si>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宏云商商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</si>
  <si>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开胃酒; 利口酒; 食用酒精;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米酒; 汽酒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</si>
  <si>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裹</t>
    </r>
    <r>
      <rPr>
        <sz val="11"/>
        <color theme="1"/>
        <rFont val="ＭＳ Ｐゴシック"/>
        <family val="3"/>
        <charset val="134"/>
        <scheme val="minor"/>
      </rPr>
      <t>红</t>
    </r>
  </si>
  <si>
    <t>刘洪波</t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</si>
  <si>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甜酒; 烈酒; 黄酒; 高粱酒; 白酒</t>
    </r>
  </si>
  <si>
    <r>
      <t>积</t>
    </r>
    <r>
      <rPr>
        <sz val="11"/>
        <color theme="1"/>
        <rFont val="ＭＳ Ｐゴシック"/>
        <family val="3"/>
        <charset val="128"/>
        <scheme val="minor"/>
      </rPr>
      <t>鋆</t>
    </r>
  </si>
  <si>
    <r>
      <t>上海</t>
    </r>
    <r>
      <rPr>
        <sz val="11"/>
        <color theme="1"/>
        <rFont val="ＭＳ Ｐゴシック"/>
        <family val="3"/>
        <charset val="134"/>
        <scheme val="minor"/>
      </rPr>
      <t>积</t>
    </r>
    <r>
      <rPr>
        <sz val="11"/>
        <color theme="1"/>
        <rFont val="ＭＳ Ｐゴシック"/>
        <family val="3"/>
        <charset val="128"/>
        <scheme val="minor"/>
      </rPr>
      <t>鋆文化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</si>
  <si>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米酒; 威士忌; 果酒（含酒精）; 葡萄酒;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</t>
    </r>
  </si>
  <si>
    <t>HENGANHONG</t>
  </si>
  <si>
    <r>
      <t>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开胃酒; 高粱酒;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青稞酒;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</si>
  <si>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酒神酌</t>
    </r>
    <r>
      <rPr>
        <sz val="11"/>
        <color theme="1"/>
        <rFont val="ＭＳ Ｐゴシック"/>
        <family val="3"/>
        <charset val="134"/>
        <scheme val="minor"/>
      </rPr>
      <t>见</t>
    </r>
  </si>
  <si>
    <r>
      <t>上海松尾大造酒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</si>
  <si>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日本波布蛇酒; 日式甜米酒; 白酒; 青稞酒; 日本松</t>
    </r>
    <r>
      <rPr>
        <sz val="11"/>
        <color theme="1"/>
        <rFont val="ＭＳ Ｐゴシック"/>
        <family val="3"/>
        <charset val="134"/>
        <scheme val="minor"/>
      </rPr>
      <t>针</t>
    </r>
    <r>
      <rPr>
        <sz val="11"/>
        <color theme="1"/>
        <rFont val="ＭＳ Ｐゴシック"/>
        <family val="3"/>
        <charset val="128"/>
        <scheme val="minor"/>
      </rPr>
      <t>酒; 葡萄酒; 食用酒精; 清酒（日本米酒）; 黄酒; 日本梅子酒</t>
    </r>
  </si>
  <si>
    <t>锦鲤门</t>
  </si>
  <si>
    <t>孙汉红</t>
  </si>
  <si>
    <r>
      <t>黄酒; 开胃酒; 果酒（含酒精）;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</si>
  <si>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九九</t>
    </r>
    <r>
      <rPr>
        <sz val="11"/>
        <color theme="1"/>
        <rFont val="ＭＳ Ｐゴシック"/>
        <family val="3"/>
        <charset val="134"/>
        <scheme val="minor"/>
      </rPr>
      <t>陇</t>
    </r>
    <r>
      <rPr>
        <sz val="11"/>
        <color theme="1"/>
        <rFont val="ＭＳ Ｐゴシック"/>
        <family val="3"/>
        <charset val="128"/>
        <scheme val="minor"/>
      </rPr>
      <t>原春</t>
    </r>
  </si>
  <si>
    <r>
      <t>甘</t>
    </r>
    <r>
      <rPr>
        <sz val="11"/>
        <color theme="1"/>
        <rFont val="ＭＳ Ｐゴシック"/>
        <family val="3"/>
        <charset val="134"/>
        <scheme val="minor"/>
      </rPr>
      <t>肃</t>
    </r>
    <r>
      <rPr>
        <sz val="11"/>
        <color theme="1"/>
        <rFont val="ＭＳ Ｐゴシック"/>
        <family val="3"/>
        <charset val="128"/>
        <scheme val="minor"/>
      </rPr>
      <t>古韵</t>
    </r>
    <r>
      <rPr>
        <sz val="11"/>
        <color theme="1"/>
        <rFont val="ＭＳ Ｐゴシック"/>
        <family val="3"/>
        <charset val="134"/>
        <scheme val="minor"/>
      </rPr>
      <t>丝</t>
    </r>
    <r>
      <rPr>
        <sz val="11"/>
        <color theme="1"/>
        <rFont val="ＭＳ Ｐゴシック"/>
        <family val="3"/>
        <charset val="128"/>
        <scheme val="minor"/>
      </rPr>
      <t>路春酒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</si>
  <si>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梨酒;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葡萄酒</t>
    </r>
  </si>
  <si>
    <r>
      <t>庞</t>
    </r>
    <r>
      <rPr>
        <sz val="11"/>
        <color theme="1"/>
        <rFont val="ＭＳ Ｐゴシック"/>
        <family val="3"/>
        <charset val="128"/>
        <scheme val="minor"/>
      </rPr>
      <t>雷</t>
    </r>
  </si>
  <si>
    <r>
      <t>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蒸煮提取物（利口酒和烈酒）; 黄酒</t>
    </r>
  </si>
  <si>
    <t>宜百香</t>
  </si>
  <si>
    <r>
      <t>宜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南</t>
    </r>
    <r>
      <rPr>
        <sz val="11"/>
        <color theme="1"/>
        <rFont val="ＭＳ Ｐゴシック"/>
        <family val="3"/>
        <charset val="134"/>
        <scheme val="minor"/>
      </rPr>
      <t>态</t>
    </r>
    <r>
      <rPr>
        <sz val="11"/>
        <color theme="1"/>
        <rFont val="ＭＳ Ｐゴシック"/>
        <family val="3"/>
        <charset val="128"/>
        <scheme val="minor"/>
      </rPr>
      <t>养殖</t>
    </r>
    <r>
      <rPr>
        <sz val="11"/>
        <color theme="1"/>
        <rFont val="ＭＳ Ｐゴシック"/>
        <family val="3"/>
        <charset val="134"/>
        <scheme val="minor"/>
      </rPr>
      <t>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</si>
  <si>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尼瓦（以甘蔗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白干酒（中国白酒）;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</si>
  <si>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万</t>
    </r>
    <r>
      <rPr>
        <sz val="11"/>
        <color theme="1"/>
        <rFont val="ＭＳ Ｐゴシック"/>
        <family val="3"/>
        <charset val="134"/>
        <scheme val="minor"/>
      </rPr>
      <t>亩枣</t>
    </r>
    <r>
      <rPr>
        <sz val="11"/>
        <color theme="1"/>
        <rFont val="ＭＳ Ｐゴシック"/>
        <family val="3"/>
        <charset val="128"/>
        <scheme val="minor"/>
      </rPr>
      <t>林</t>
    </r>
  </si>
  <si>
    <r>
      <t>万</t>
    </r>
    <r>
      <rPr>
        <sz val="11"/>
        <color theme="1"/>
        <rFont val="ＭＳ Ｐゴシック"/>
        <family val="3"/>
        <charset val="134"/>
        <scheme val="minor"/>
      </rPr>
      <t>亩枣</t>
    </r>
    <r>
      <rPr>
        <sz val="11"/>
        <color theme="1"/>
        <rFont val="ＭＳ Ｐゴシック"/>
        <family val="3"/>
        <charset val="128"/>
        <scheme val="minor"/>
      </rPr>
      <t>林酒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（德州）有限公司</t>
    </r>
  </si>
  <si>
    <r>
      <t xml:space="preserve">白酒; 果酒; 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黄酒; 食用酒精</t>
    </r>
  </si>
  <si>
    <t>北素</t>
  </si>
  <si>
    <t>李承魏</t>
  </si>
  <si>
    <r>
      <t>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</t>
    </r>
  </si>
  <si>
    <r>
      <t>孙</t>
    </r>
    <r>
      <rPr>
        <sz val="11"/>
        <color theme="1"/>
        <rFont val="ＭＳ Ｐゴシック"/>
        <family val="3"/>
        <charset val="128"/>
        <scheme val="minor"/>
      </rPr>
      <t>望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</si>
  <si>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</si>
  <si>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忠粮道</t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</si>
  <si>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黄酒; 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</si>
  <si>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醉心松尾</t>
  </si>
  <si>
    <r>
      <t>日本梅子酒; 青稞酒; 食用酒精; 日式甜米酒; 黄酒; 白酒; 日本松</t>
    </r>
    <r>
      <rPr>
        <sz val="11"/>
        <color theme="1"/>
        <rFont val="ＭＳ Ｐゴシック"/>
        <family val="3"/>
        <charset val="134"/>
        <scheme val="minor"/>
      </rPr>
      <t>针</t>
    </r>
    <r>
      <rPr>
        <sz val="11"/>
        <color theme="1"/>
        <rFont val="ＭＳ Ｐゴシック"/>
        <family val="3"/>
        <charset val="128"/>
        <scheme val="minor"/>
      </rPr>
      <t>酒; 葡萄酒; 日本波布蛇酒; 清酒（日本米酒）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</si>
  <si>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臻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</si>
  <si>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河南省福天香酒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</si>
  <si>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开胃酒; 黄酒</t>
    </r>
  </si>
  <si>
    <r>
      <t>畅赢</t>
    </r>
    <r>
      <rPr>
        <sz val="11"/>
        <color theme="1"/>
        <rFont val="ＭＳ Ｐゴシック"/>
        <family val="3"/>
        <charset val="128"/>
        <scheme val="minor"/>
      </rPr>
      <t>未来</t>
    </r>
  </si>
  <si>
    <r>
      <t>河北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辰益康信息科技有限公司</t>
    </r>
  </si>
  <si>
    <r>
      <t xml:space="preserve">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</si>
  <si>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t>TIANPENGHONG</t>
  </si>
  <si>
    <r>
      <t xml:space="preserve">青稞酒;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黄酒; 白酒</t>
    </r>
  </si>
  <si>
    <r>
      <t>徵</t>
    </r>
    <r>
      <rPr>
        <sz val="11"/>
        <color theme="1"/>
        <rFont val="ＭＳ Ｐゴシック"/>
        <family val="3"/>
        <charset val="134"/>
        <scheme val="minor"/>
      </rPr>
      <t>缘</t>
    </r>
  </si>
  <si>
    <r>
      <t>亳州市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抬</t>
    </r>
    <r>
      <rPr>
        <sz val="11"/>
        <color theme="1"/>
        <rFont val="ＭＳ Ｐゴシック"/>
        <family val="3"/>
        <charset val="134"/>
        <scheme val="minor"/>
      </rPr>
      <t>头</t>
    </r>
    <r>
      <rPr>
        <sz val="11"/>
        <color theme="1"/>
        <rFont val="ＭＳ Ｐゴシック"/>
        <family val="3"/>
        <charset val="128"/>
        <scheme val="minor"/>
      </rPr>
      <t>生物科技有限公司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</si>
  <si>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食用酒精; 果酒（含酒精）; 葡萄酒; 白酒;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</si>
  <si>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常</t>
    </r>
    <r>
      <rPr>
        <sz val="11"/>
        <color theme="1"/>
        <rFont val="ＭＳ Ｐゴシック"/>
        <family val="3"/>
        <charset val="134"/>
        <scheme val="minor"/>
      </rPr>
      <t>盘</t>
    </r>
  </si>
  <si>
    <r>
      <t>玛</t>
    </r>
    <r>
      <rPr>
        <sz val="11"/>
        <color theme="1"/>
        <rFont val="ＭＳ Ｐゴシック"/>
        <family val="3"/>
        <charset val="128"/>
        <scheme val="minor"/>
      </rPr>
      <t>芮莎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</si>
  <si>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烈酒;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</si>
  <si>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鑫和泉</t>
    </r>
    <r>
      <rPr>
        <sz val="11"/>
        <color theme="1"/>
        <rFont val="ＭＳ Ｐゴシック"/>
        <family val="3"/>
        <charset val="134"/>
        <scheme val="minor"/>
      </rPr>
      <t>浆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</si>
  <si>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高粱酒; 黄酒;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青稞酒; 白酒;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</si>
  <si>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玉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朗</t>
    </r>
  </si>
  <si>
    <r>
      <t>罗</t>
    </r>
    <r>
      <rPr>
        <sz val="11"/>
        <color theme="1"/>
        <rFont val="ＭＳ Ｐゴシック"/>
        <family val="3"/>
        <charset val="128"/>
        <scheme val="minor"/>
      </rPr>
      <t>放平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</si>
  <si>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米酒; 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</si>
  <si>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竺之情</t>
  </si>
  <si>
    <t>靳智莉</t>
  </si>
  <si>
    <r>
      <t>果酒（含酒精）; 高粱酒; 葡萄酒; 白酒; 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苹果酒;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</si>
  <si>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t>苑群芳名</t>
  </si>
  <si>
    <r>
      <t>东</t>
    </r>
    <r>
      <rPr>
        <sz val="11"/>
        <color theme="1"/>
        <rFont val="ＭＳ Ｐゴシック"/>
        <family val="3"/>
        <charset val="128"/>
        <scheme val="minor"/>
      </rPr>
      <t>平黑</t>
    </r>
    <r>
      <rPr>
        <sz val="11"/>
        <color theme="1"/>
        <rFont val="ＭＳ Ｐゴシック"/>
        <family val="3"/>
        <charset val="134"/>
        <scheme val="minor"/>
      </rPr>
      <t>壶</t>
    </r>
    <r>
      <rPr>
        <sz val="11"/>
        <color theme="1"/>
        <rFont val="ＭＳ Ｐゴシック"/>
        <family val="3"/>
        <charset val="128"/>
        <scheme val="minor"/>
      </rPr>
      <t>郡酒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</si>
  <si>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白酒; 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</t>
    </r>
  </si>
  <si>
    <t>莎堡皇 FAST·KING</t>
  </si>
  <si>
    <r>
      <t>张</t>
    </r>
    <r>
      <rPr>
        <sz val="11"/>
        <color theme="1"/>
        <rFont val="ＭＳ Ｐゴシック"/>
        <family val="3"/>
        <charset val="128"/>
        <scheme val="minor"/>
      </rPr>
      <t>京</t>
    </r>
    <r>
      <rPr>
        <sz val="11"/>
        <color theme="1"/>
        <rFont val="ＭＳ Ｐゴシック"/>
        <family val="3"/>
        <charset val="134"/>
        <scheme val="minor"/>
      </rPr>
      <t>录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</si>
  <si>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威士忌;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</si>
  <si>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静台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</si>
  <si>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市百川酒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</si>
  <si>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蒸煮提取物（利口酒和烈酒）; 食用酒精; 黄酒</t>
    </r>
  </si>
  <si>
    <t>NANGUHUI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</si>
  <si>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南谷食品有限公司</t>
    </r>
  </si>
  <si>
    <r>
      <t xml:space="preserve">黄酒; 威士忌;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</si>
  <si>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桂惊涛</t>
  </si>
  <si>
    <r>
      <t>李著</t>
    </r>
    <r>
      <rPr>
        <sz val="11"/>
        <color theme="1"/>
        <rFont val="ＭＳ Ｐゴシック"/>
        <family val="3"/>
        <charset val="134"/>
        <scheme val="minor"/>
      </rPr>
      <t>进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</si>
  <si>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青梅酒; 白酒; 高粱酒; 果酒; 葡萄酒; 米酒; 甜酒;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</t>
    </r>
  </si>
  <si>
    <r>
      <t>皇佳礼</t>
    </r>
    <r>
      <rPr>
        <sz val="11"/>
        <color theme="1"/>
        <rFont val="ＭＳ Ｐゴシック"/>
        <family val="3"/>
        <charset val="134"/>
        <scheme val="minor"/>
      </rPr>
      <t>赞</t>
    </r>
  </si>
  <si>
    <t>康国彦</t>
  </si>
  <si>
    <r>
      <t xml:space="preserve">开胃酒; 清酒（日本米酒）;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黄酒; 葡萄酒</t>
    </r>
  </si>
  <si>
    <t>FENGPAITEQU</t>
  </si>
  <si>
    <r>
      <t>泰安市泰山品</t>
    </r>
    <r>
      <rPr>
        <sz val="11"/>
        <color theme="1"/>
        <rFont val="ＭＳ Ｐゴシック"/>
        <family val="3"/>
        <charset val="134"/>
        <scheme val="minor"/>
      </rPr>
      <t>诚饮</t>
    </r>
    <r>
      <rPr>
        <sz val="11"/>
        <color theme="1"/>
        <rFont val="ＭＳ Ｐゴシック"/>
        <family val="3"/>
        <charset val="128"/>
        <scheme val="minor"/>
      </rPr>
      <t>品有限公司</t>
    </r>
  </si>
  <si>
    <r>
      <t>果酒（含酒精）;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蒸煮提取物（利口酒和烈酒）; 食用酒精;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黄酒; 米酒</t>
    </r>
  </si>
  <si>
    <r>
      <t>游牧</t>
    </r>
    <r>
      <rPr>
        <sz val="11"/>
        <color theme="1"/>
        <rFont val="ＭＳ Ｐゴシック"/>
        <family val="3"/>
        <charset val="134"/>
        <scheme val="minor"/>
      </rPr>
      <t>苍</t>
    </r>
    <r>
      <rPr>
        <sz val="11"/>
        <color theme="1"/>
        <rFont val="ＭＳ Ｐゴシック"/>
        <family val="3"/>
        <charset val="128"/>
        <scheme val="minor"/>
      </rPr>
      <t>狼 NOMADISM WOLF</t>
    </r>
  </si>
  <si>
    <r>
      <t>高志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</si>
  <si>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>蒸煮提取物（利口酒和烈酒）;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食用酒精; 开胃酒;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</si>
  <si>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珍</t>
    </r>
    <r>
      <rPr>
        <sz val="11"/>
        <color theme="1"/>
        <rFont val="ＭＳ Ｐゴシック"/>
        <family val="3"/>
        <charset val="134"/>
        <scheme val="minor"/>
      </rPr>
      <t>绣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</si>
  <si>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西洛雪品牌管理有限公司</t>
    </r>
  </si>
  <si>
    <r>
      <t>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</si>
  <si>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山海皆可平</t>
  </si>
  <si>
    <r>
      <t>河南智</t>
    </r>
    <r>
      <rPr>
        <sz val="11"/>
        <color theme="1"/>
        <rFont val="ＭＳ Ｐゴシック"/>
        <family val="3"/>
        <charset val="134"/>
        <scheme val="minor"/>
      </rPr>
      <t>维</t>
    </r>
    <r>
      <rPr>
        <sz val="11"/>
        <color theme="1"/>
        <rFont val="ＭＳ Ｐゴシック"/>
        <family val="3"/>
        <charset val="128"/>
        <scheme val="minor"/>
      </rPr>
      <t>他商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</si>
  <si>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蒸煮提取物（利口酒和烈酒）;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</si>
  <si>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t>吉乃川</t>
  </si>
  <si>
    <t>吉乃川株式会社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</si>
  <si>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米酒; 日本梅子酒; 清酒（日本米酒）; 威士忌; 伏特加酒; 杜松子酒; 利口酒; 朗姆酒;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品; 五加皮酒（中国混合烈酒）;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葡萄酒</t>
    </r>
  </si>
  <si>
    <r>
      <t>老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下山</t>
    </r>
  </si>
  <si>
    <r>
      <t>吉林省海明参茸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</si>
  <si>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果酒（含酒精）;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</si>
  <si>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塔达臻味</t>
  </si>
  <si>
    <r>
      <t>陕</t>
    </r>
    <r>
      <rPr>
        <sz val="11"/>
        <color theme="1"/>
        <rFont val="ＭＳ Ｐゴシック"/>
        <family val="3"/>
        <charset val="128"/>
        <scheme val="minor"/>
      </rPr>
      <t>西塔达云梦食品有限公司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</si>
  <si>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烈酒; 蜂蜜酒; 清酒; 黄酒;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</si>
  <si>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蒙呼</t>
    </r>
    <r>
      <rPr>
        <sz val="11"/>
        <color theme="1"/>
        <rFont val="ＭＳ Ｐゴシック"/>
        <family val="3"/>
        <charset val="134"/>
        <scheme val="minor"/>
      </rPr>
      <t>伦</t>
    </r>
    <r>
      <rPr>
        <sz val="11"/>
        <color theme="1"/>
        <rFont val="ＭＳ Ｐゴシック"/>
        <family val="3"/>
        <charset val="128"/>
        <scheme val="minor"/>
      </rPr>
      <t>河</t>
    </r>
  </si>
  <si>
    <r>
      <t>内蒙古世</t>
    </r>
    <r>
      <rPr>
        <sz val="11"/>
        <color theme="1"/>
        <rFont val="ＭＳ Ｐゴシック"/>
        <family val="3"/>
        <charset val="134"/>
        <scheme val="minor"/>
      </rPr>
      <t>纪</t>
    </r>
    <r>
      <rPr>
        <sz val="11"/>
        <color theme="1"/>
        <rFont val="ＭＳ Ｐゴシック"/>
        <family val="3"/>
        <charset val="128"/>
        <scheme val="minor"/>
      </rPr>
      <t>呼白酒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</si>
  <si>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青稞酒</t>
    </r>
  </si>
  <si>
    <t>玫瑰姐妹会</t>
  </si>
  <si>
    <r>
      <t>小金</t>
    </r>
    <r>
      <rPr>
        <sz val="11"/>
        <color theme="1"/>
        <rFont val="ＭＳ Ｐゴシック"/>
        <family val="3"/>
        <charset val="134"/>
        <scheme val="minor"/>
      </rPr>
      <t>县夹</t>
    </r>
    <r>
      <rPr>
        <sz val="11"/>
        <color theme="1"/>
        <rFont val="ＭＳ Ｐゴシック"/>
        <family val="3"/>
        <charset val="128"/>
        <scheme val="minor"/>
      </rPr>
      <t>金山清多香野生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源开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</si>
  <si>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苹果酒; 白酒;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蜂蜜酒; 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米酒</t>
    </r>
  </si>
  <si>
    <t>燕逢春</t>
  </si>
  <si>
    <r>
      <t>张</t>
    </r>
    <r>
      <rPr>
        <sz val="11"/>
        <color theme="1"/>
        <rFont val="ＭＳ Ｐゴシック"/>
        <family val="3"/>
        <charset val="128"/>
        <scheme val="minor"/>
      </rPr>
      <t>勇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</si>
  <si>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米酒;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</si>
  <si>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纯</t>
    </r>
    <r>
      <rPr>
        <sz val="11"/>
        <color theme="1"/>
        <rFont val="ＭＳ Ｐゴシック"/>
        <family val="3"/>
        <charset val="128"/>
        <scheme val="minor"/>
      </rPr>
      <t>肴</t>
    </r>
  </si>
  <si>
    <t>王玲玲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</si>
  <si>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利口酒;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伏特加酒;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朗姆酒</t>
    </r>
  </si>
  <si>
    <t>雅克康夫</t>
  </si>
  <si>
    <t>王超</t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</si>
  <si>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朗姆酒;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威士忌; 伏特加酒</t>
    </r>
  </si>
  <si>
    <r>
      <t>省</t>
    </r>
    <r>
      <rPr>
        <sz val="11"/>
        <color theme="1"/>
        <rFont val="ＭＳ Ｐゴシック"/>
        <family val="3"/>
        <charset val="134"/>
        <scheme val="minor"/>
      </rPr>
      <t>飞龙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</si>
  <si>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宗雨</t>
    </r>
  </si>
  <si>
    <r>
      <t xml:space="preserve">葡萄酒; 米酒; 白酒;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利口酒; 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</si>
  <si>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吉</t>
    </r>
    <r>
      <rPr>
        <sz val="11"/>
        <color theme="1"/>
        <rFont val="ＭＳ Ｐゴシック"/>
        <family val="3"/>
        <charset val="134"/>
        <scheme val="minor"/>
      </rPr>
      <t>约</t>
    </r>
    <r>
      <rPr>
        <sz val="11"/>
        <color theme="1"/>
        <rFont val="ＭＳ Ｐゴシック"/>
        <family val="3"/>
        <charset val="128"/>
        <scheme val="minor"/>
      </rPr>
      <t>特</t>
    </r>
  </si>
  <si>
    <r>
      <t>纽</t>
    </r>
    <r>
      <rPr>
        <sz val="11"/>
        <color theme="1"/>
        <rFont val="ＭＳ Ｐゴシック"/>
        <family val="3"/>
        <charset val="128"/>
        <scheme val="minor"/>
      </rPr>
      <t>慕（上海）食品科技有限公司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</si>
  <si>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酒（烈酒）;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果酒（含酒精）; 白干酒（中国白酒）; 黄酒; 高粱酒</t>
    </r>
  </si>
  <si>
    <t>BARONS DE LALANDE</t>
  </si>
  <si>
    <r>
      <t>嘉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德葡萄酒有限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</si>
  <si>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葡萄酒; 朗姆酒;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伏特加酒; 黄酒</t>
    </r>
  </si>
  <si>
    <r>
      <t>归隐</t>
    </r>
    <r>
      <rPr>
        <sz val="11"/>
        <color theme="1"/>
        <rFont val="ＭＳ Ｐゴシック"/>
        <family val="3"/>
        <charset val="128"/>
        <scheme val="minor"/>
      </rPr>
      <t>天下山</t>
    </r>
  </si>
  <si>
    <r>
      <t>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</si>
  <si>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清</t>
    </r>
    <r>
      <rPr>
        <sz val="11"/>
        <color theme="1"/>
        <rFont val="ＭＳ Ｐゴシック"/>
        <family val="3"/>
        <charset val="129"/>
        <scheme val="minor"/>
      </rPr>
      <t>胜</t>
    </r>
    <r>
      <rPr>
        <sz val="11"/>
        <color theme="1"/>
        <rFont val="ＭＳ Ｐゴシック"/>
        <family val="3"/>
        <charset val="128"/>
        <scheme val="minor"/>
      </rPr>
      <t>一品</t>
    </r>
  </si>
  <si>
    <r>
      <t>山西晋掌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</si>
  <si>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白干酒（中国白酒）;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食用酒精; 开胃酒;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</si>
  <si>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t>凰金斗</t>
  </si>
  <si>
    <t>卓素婷</t>
  </si>
  <si>
    <r>
      <t xml:space="preserve">白酒; 果酒（含酒精）; 葡萄酒; 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利口酒</t>
    </r>
  </si>
  <si>
    <t>漠极珍</t>
  </si>
  <si>
    <r>
      <t>甘</t>
    </r>
    <r>
      <rPr>
        <sz val="11"/>
        <color theme="1"/>
        <rFont val="ＭＳ Ｐゴシック"/>
        <family val="3"/>
        <charset val="134"/>
        <scheme val="minor"/>
      </rPr>
      <t>肃</t>
    </r>
    <r>
      <rPr>
        <sz val="11"/>
        <color theme="1"/>
        <rFont val="ＭＳ Ｐゴシック"/>
        <family val="3"/>
        <charset val="128"/>
        <scheme val="minor"/>
      </rPr>
      <t>沙漠三宝生</t>
    </r>
    <r>
      <rPr>
        <sz val="11"/>
        <color theme="1"/>
        <rFont val="ＭＳ Ｐゴシック"/>
        <family val="3"/>
        <charset val="134"/>
        <scheme val="minor"/>
      </rPr>
      <t>态农业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</si>
  <si>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果酒（含酒精）; 米酒; 黄酒; 蜂蜜酒;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食用酒精</t>
    </r>
  </si>
  <si>
    <r>
      <t>识</t>
    </r>
    <r>
      <rPr>
        <sz val="11"/>
        <color theme="1"/>
        <rFont val="ＭＳ Ｐゴシック"/>
        <family val="3"/>
        <charset val="128"/>
        <scheme val="minor"/>
      </rPr>
      <t>做</t>
    </r>
  </si>
  <si>
    <t>程大方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</si>
  <si>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米酒; 黄酒;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露酒</t>
    </r>
  </si>
  <si>
    <t>淑敏家</t>
  </si>
  <si>
    <r>
      <t>吕</t>
    </r>
    <r>
      <rPr>
        <sz val="11"/>
        <color theme="1"/>
        <rFont val="ＭＳ Ｐゴシック"/>
        <family val="3"/>
        <charset val="128"/>
        <scheme val="minor"/>
      </rPr>
      <t>熙宇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</si>
  <si>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汽酒;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</si>
  <si>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t>吉窖喜</t>
  </si>
  <si>
    <r>
      <t>永州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世名方美容养生技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</si>
  <si>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五加皮酒（中国混合烈酒）; 黄酒; 果酒（含酒精）; 柑香酒;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白干酒（中国白酒）; 白酒; 葡萄酒</t>
    </r>
  </si>
  <si>
    <t>益来善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</si>
  <si>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益康</t>
    </r>
    <r>
      <rPr>
        <sz val="11"/>
        <color theme="1"/>
        <rFont val="ＭＳ Ｐゴシック"/>
        <family val="3"/>
        <charset val="134"/>
        <scheme val="minor"/>
      </rPr>
      <t>药业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</si>
  <si>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</si>
  <si>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宋花陶</t>
  </si>
  <si>
    <r>
      <t>衡水鑫智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信息科技中心（有限合伙）</t>
    </r>
  </si>
  <si>
    <r>
      <t>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蜂蜜酒; 青稞酒; 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</si>
  <si>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南海</t>
    </r>
    <r>
      <rPr>
        <sz val="11"/>
        <color theme="1"/>
        <rFont val="ＭＳ Ｐゴシック"/>
        <family val="3"/>
        <charset val="134"/>
        <scheme val="minor"/>
      </rPr>
      <t>龙宫</t>
    </r>
  </si>
  <si>
    <r>
      <t>孟祥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</si>
  <si>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 xml:space="preserve">葡萄酒; 白酒; 黄酒; 米酒; 清酒; 果酒（含酒精）; 青稞酒; 杜松子酒;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</si>
  <si>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起灵</t>
    </r>
  </si>
  <si>
    <r>
      <t>王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</si>
  <si>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 xml:space="preserve">果酒; 苹果酒; 水果汽酒;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高粱酒; 白酒;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露酒</t>
    </r>
  </si>
  <si>
    <r>
      <t>圣达</t>
    </r>
    <r>
      <rPr>
        <sz val="11"/>
        <color theme="1"/>
        <rFont val="ＭＳ Ｐゴシック"/>
        <family val="3"/>
        <charset val="134"/>
        <scheme val="minor"/>
      </rPr>
      <t>赋</t>
    </r>
  </si>
  <si>
    <r>
      <t>武</t>
    </r>
    <r>
      <rPr>
        <sz val="11"/>
        <color theme="1"/>
        <rFont val="ＭＳ Ｐゴシック"/>
        <family val="3"/>
        <charset val="134"/>
        <scheme val="minor"/>
      </rPr>
      <t>乡县</t>
    </r>
    <r>
      <rPr>
        <sz val="11"/>
        <color theme="1"/>
        <rFont val="ＭＳ Ｐゴシック"/>
        <family val="3"/>
        <charset val="128"/>
        <scheme val="minor"/>
      </rPr>
      <t>和正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</si>
  <si>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</si>
  <si>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晋能</t>
    </r>
    <r>
      <rPr>
        <sz val="11"/>
        <color theme="1"/>
        <rFont val="ＭＳ Ｐゴシック"/>
        <family val="3"/>
        <charset val="134"/>
        <scheme val="minor"/>
      </rPr>
      <t>赋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</si>
  <si>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葡萄酒; 威士忌;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</si>
  <si>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菲晋</t>
    </r>
    <r>
      <rPr>
        <sz val="11"/>
        <color theme="1"/>
        <rFont val="ＭＳ Ｐゴシック"/>
        <family val="3"/>
        <charset val="134"/>
        <scheme val="minor"/>
      </rPr>
      <t>荟</t>
    </r>
  </si>
  <si>
    <r>
      <t>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</si>
  <si>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t>AUDREY GIVENCHY</t>
  </si>
  <si>
    <r>
      <t>梵高（厦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）品牌管理有限公司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</si>
  <si>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餐后酒（利口酒和烈酒）; 葡萄酒; 果酒（含酒精）;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开胃酒</t>
    </r>
  </si>
  <si>
    <r>
      <t>嘉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德 XANO VINS</t>
    </r>
  </si>
  <si>
    <r>
      <t>朗姆酒; 黄酒; 威士忌;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</si>
  <si>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洞魂吟</t>
  </si>
  <si>
    <r>
      <t>泸</t>
    </r>
    <r>
      <rPr>
        <sz val="11"/>
        <color theme="1"/>
        <rFont val="ＭＳ Ｐゴシック"/>
        <family val="3"/>
        <charset val="128"/>
        <scheme val="minor"/>
      </rPr>
      <t>州佳</t>
    </r>
    <r>
      <rPr>
        <sz val="11"/>
        <color theme="1"/>
        <rFont val="ＭＳ Ｐゴシック"/>
        <family val="3"/>
        <charset val="134"/>
        <scheme val="minor"/>
      </rPr>
      <t>腾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</si>
  <si>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食用酒精; 烈酒; 果酒; 露酒; 高粱酒; 白酒; 开胃酒; 葡萄酒; 米酒</t>
    </r>
  </si>
  <si>
    <r>
      <t>毅</t>
    </r>
    <r>
      <rPr>
        <sz val="11"/>
        <color theme="1"/>
        <rFont val="ＭＳ Ｐゴシック"/>
        <family val="3"/>
        <charset val="134"/>
        <scheme val="minor"/>
      </rPr>
      <t>见</t>
    </r>
  </si>
  <si>
    <t>北京晶澄品牌管理有限公司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</si>
  <si>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黄酒; 蜂蜜酒; 米酒; 蒸煮提取物（利口酒和烈酒）</t>
    </r>
  </si>
  <si>
    <r>
      <t>山西花青酒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</si>
  <si>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青稞酒;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蜂蜜酒; 米酒</t>
    </r>
  </si>
  <si>
    <r>
      <t>洝</t>
    </r>
    <r>
      <rPr>
        <sz val="11"/>
        <color theme="1"/>
        <rFont val="ＭＳ Ｐゴシック"/>
        <family val="3"/>
        <charset val="128"/>
        <scheme val="minor"/>
      </rPr>
      <t>定渠</t>
    </r>
  </si>
  <si>
    <t>王明武</t>
  </si>
  <si>
    <r>
      <t>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</si>
  <si>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r>
      <t>山里山</t>
    </r>
    <r>
      <rPr>
        <sz val="11"/>
        <color theme="1"/>
        <rFont val="ＭＳ Ｐゴシック"/>
        <family val="3"/>
        <charset val="134"/>
        <scheme val="minor"/>
      </rPr>
      <t>亲</t>
    </r>
  </si>
  <si>
    <r>
      <t>广州苗湘村酒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</si>
  <si>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果酒（含酒精）;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米酒; 汽酒;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</si>
  <si>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荒上皇</t>
  </si>
  <si>
    <r>
      <t>王</t>
    </r>
    <r>
      <rPr>
        <sz val="11"/>
        <color theme="1"/>
        <rFont val="ＭＳ Ｐゴシック"/>
        <family val="3"/>
        <charset val="134"/>
        <scheme val="minor"/>
      </rPr>
      <t>帅</t>
    </r>
  </si>
  <si>
    <r>
      <t>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白酒; 开胃酒; 苹果酒; 葡萄酒; 梨酒;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蜂蜜酒</t>
    </r>
  </si>
  <si>
    <t>柏百福</t>
  </si>
  <si>
    <r>
      <t>山西百福酒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</si>
  <si>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威士忌;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</si>
  <si>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卡瓦克里德</t>
    </r>
    <r>
      <rPr>
        <sz val="11"/>
        <color theme="1"/>
        <rFont val="ＭＳ Ｐゴシック"/>
        <family val="3"/>
        <charset val="134"/>
        <scheme val="minor"/>
      </rPr>
      <t>尔</t>
    </r>
  </si>
  <si>
    <r>
      <t>安徽西</t>
    </r>
    <r>
      <rPr>
        <sz val="11"/>
        <color theme="1"/>
        <rFont val="ＭＳ Ｐゴシック"/>
        <family val="3"/>
        <charset val="134"/>
        <scheme val="minor"/>
      </rPr>
      <t>马电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</si>
  <si>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威士忌; 米酒;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朗姆酒; 利口酒</t>
    </r>
  </si>
  <si>
    <r>
      <t>三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七</t>
    </r>
  </si>
  <si>
    <r>
      <t>临</t>
    </r>
    <r>
      <rPr>
        <sz val="11"/>
        <color theme="1"/>
        <rFont val="ＭＳ Ｐゴシック"/>
        <family val="3"/>
        <charset val="128"/>
        <scheme val="minor"/>
      </rPr>
      <t>沂市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陵坤元酒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</si>
  <si>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果酒; 汽酒; 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黄酒; 烈酒; 葡萄酒</t>
    </r>
  </si>
  <si>
    <r>
      <t>湖南冉</t>
    </r>
    <r>
      <rPr>
        <sz val="11"/>
        <color theme="1"/>
        <rFont val="ＭＳ Ｐゴシック"/>
        <family val="3"/>
        <charset val="134"/>
        <scheme val="minor"/>
      </rPr>
      <t>玺</t>
    </r>
    <r>
      <rPr>
        <sz val="11"/>
        <color theme="1"/>
        <rFont val="ＭＳ Ｐゴシック"/>
        <family val="3"/>
        <charset val="128"/>
        <scheme val="minor"/>
      </rPr>
      <t>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</si>
  <si>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甜酒; 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果酒（含酒精）</t>
    </r>
  </si>
  <si>
    <r>
      <t>裕</t>
    </r>
    <r>
      <rPr>
        <sz val="11"/>
        <color theme="1"/>
        <rFont val="ＭＳ Ｐゴシック"/>
        <family val="3"/>
        <charset val="134"/>
        <scheme val="minor"/>
      </rPr>
      <t>贡</t>
    </r>
    <r>
      <rPr>
        <sz val="11"/>
        <color theme="1"/>
        <rFont val="ＭＳ Ｐゴシック"/>
        <family val="3"/>
        <charset val="128"/>
        <scheme val="minor"/>
      </rPr>
      <t>佳藏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</si>
  <si>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州裕</t>
    </r>
    <r>
      <rPr>
        <sz val="11"/>
        <color theme="1"/>
        <rFont val="ＭＳ Ｐゴシック"/>
        <family val="3"/>
        <charset val="134"/>
        <scheme val="minor"/>
      </rPr>
      <t>贡</t>
    </r>
    <r>
      <rPr>
        <sz val="11"/>
        <color theme="1"/>
        <rFont val="ＭＳ Ｐゴシック"/>
        <family val="3"/>
        <charset val="128"/>
        <scheme val="minor"/>
      </rPr>
      <t>古老酒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</si>
  <si>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果酒; 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白酒; 清酒; 黄酒; 白葡萄酒</t>
    </r>
  </si>
  <si>
    <t>BUSHMILLS CRYSTAL</t>
  </si>
  <si>
    <r>
      <t>老布什•米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斯制酒有限公司</t>
    </r>
  </si>
  <si>
    <t>菏杰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</si>
  <si>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州旺酒酒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</si>
  <si>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烈酒; 米酒; 白干酒（中国白酒）;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高粱酒; 葡萄酒</t>
    </r>
  </si>
  <si>
    <t>娇凤骄龙</t>
  </si>
  <si>
    <r>
      <t>他</t>
    </r>
    <r>
      <rPr>
        <sz val="11"/>
        <color theme="1"/>
        <rFont val="ＭＳ Ｐゴシック"/>
        <family val="3"/>
        <charset val="134"/>
        <scheme val="minor"/>
      </rPr>
      <t>骄</t>
    </r>
    <r>
      <rPr>
        <sz val="11"/>
        <color theme="1"/>
        <rFont val="ＭＳ Ｐゴシック"/>
        <family val="3"/>
        <charset val="128"/>
        <scheme val="minor"/>
      </rPr>
      <t>她</t>
    </r>
    <r>
      <rPr>
        <sz val="11"/>
        <color theme="1"/>
        <rFont val="ＭＳ Ｐゴシック"/>
        <family val="3"/>
        <charset val="134"/>
        <scheme val="minor"/>
      </rPr>
      <t>娇</t>
    </r>
    <r>
      <rPr>
        <sz val="11"/>
        <color theme="1"/>
        <rFont val="ＭＳ Ｐゴシック"/>
        <family val="3"/>
        <charset val="128"/>
        <scheme val="minor"/>
      </rPr>
      <t>（南通）品牌管理有限公司</t>
    </r>
  </si>
  <si>
    <r>
      <t xml:space="preserve">高粱酒;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</si>
  <si>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r>
      <t>百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邑夜焰 BELLE NUIT FLAMME</t>
    </r>
  </si>
  <si>
    <t>刘秋梅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</si>
  <si>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</si>
  <si>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施悦国</t>
    </r>
    <r>
      <rPr>
        <sz val="11"/>
        <color theme="1"/>
        <rFont val="ＭＳ Ｐゴシック"/>
        <family val="3"/>
        <charset val="134"/>
        <scheme val="minor"/>
      </rPr>
      <t>际</t>
    </r>
  </si>
  <si>
    <r>
      <t>恩施施悦国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酒店管理有限公司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</si>
  <si>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含酒精的气泡水;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薄荷酒; 蜂蜜酒; 白酒</t>
    </r>
  </si>
  <si>
    <r>
      <t>橡</t>
    </r>
    <r>
      <rPr>
        <sz val="11"/>
        <color theme="1"/>
        <rFont val="ＭＳ Ｐゴシック"/>
        <family val="3"/>
        <charset val="134"/>
        <scheme val="minor"/>
      </rPr>
      <t>蓝</t>
    </r>
  </si>
  <si>
    <r>
      <t>天津誉新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</si>
  <si>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蒸煮提取物（利口酒和烈酒）; 白酒; 果酒（含酒精）; 米酒;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清酒</t>
    </r>
  </si>
  <si>
    <r>
      <t>龙酿</t>
    </r>
    <r>
      <rPr>
        <sz val="11"/>
        <color theme="1"/>
        <rFont val="ＭＳ Ｐゴシック"/>
        <family val="3"/>
        <charset val="128"/>
        <scheme val="minor"/>
      </rPr>
      <t>皇</t>
    </r>
  </si>
  <si>
    <r>
      <t>清流</t>
    </r>
    <r>
      <rPr>
        <sz val="11"/>
        <color theme="1"/>
        <rFont val="ＭＳ Ｐゴシック"/>
        <family val="3"/>
        <charset val="134"/>
        <scheme val="minor"/>
      </rPr>
      <t>县龙</t>
    </r>
    <r>
      <rPr>
        <sz val="11"/>
        <color theme="1"/>
        <rFont val="ＭＳ Ｐゴシック"/>
        <family val="3"/>
        <charset val="128"/>
        <scheme val="minor"/>
      </rPr>
      <t>津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中泥百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商行</t>
    </r>
  </si>
  <si>
    <r>
      <t>茴芹酒（利口酒）; 开胃酒; 果酒; 威士忌; 白酒; 黄酒;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</si>
  <si>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裕</t>
    </r>
    <r>
      <rPr>
        <sz val="11"/>
        <color theme="1"/>
        <rFont val="ＭＳ Ｐゴシック"/>
        <family val="3"/>
        <charset val="134"/>
        <scheme val="minor"/>
      </rPr>
      <t>贡</t>
    </r>
    <r>
      <rPr>
        <sz val="11"/>
        <color theme="1"/>
        <rFont val="ＭＳ Ｐゴシック"/>
        <family val="3"/>
        <charset val="128"/>
        <scheme val="minor"/>
      </rPr>
      <t>七</t>
    </r>
    <r>
      <rPr>
        <sz val="11"/>
        <color theme="1"/>
        <rFont val="ＭＳ Ｐゴシック"/>
        <family val="3"/>
        <charset val="134"/>
        <scheme val="minor"/>
      </rPr>
      <t>钻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</si>
  <si>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清酒; 葡萄酒; 白葡萄酒;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</t>
    </r>
  </si>
  <si>
    <r>
      <t>裕</t>
    </r>
    <r>
      <rPr>
        <sz val="11"/>
        <color theme="1"/>
        <rFont val="ＭＳ Ｐゴシック"/>
        <family val="3"/>
        <charset val="134"/>
        <scheme val="minor"/>
      </rPr>
      <t>贡</t>
    </r>
    <r>
      <rPr>
        <sz val="11"/>
        <color theme="1"/>
        <rFont val="ＭＳ Ｐゴシック"/>
        <family val="3"/>
        <charset val="128"/>
        <scheme val="minor"/>
      </rPr>
      <t>仁匠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</si>
  <si>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白葡萄酒; 清酒;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白酒</t>
    </r>
  </si>
  <si>
    <r>
      <t>冀</t>
    </r>
    <r>
      <rPr>
        <sz val="11"/>
        <color theme="1"/>
        <rFont val="ＭＳ Ｐゴシック"/>
        <family val="3"/>
        <charset val="134"/>
        <scheme val="minor"/>
      </rPr>
      <t>沧</t>
    </r>
    <r>
      <rPr>
        <sz val="11"/>
        <color theme="1"/>
        <rFont val="ＭＳ Ｐゴシック"/>
        <family val="3"/>
        <charset val="128"/>
        <scheme val="minor"/>
      </rPr>
      <t>大运河</t>
    </r>
  </si>
  <si>
    <r>
      <t>沧</t>
    </r>
    <r>
      <rPr>
        <sz val="11"/>
        <color theme="1"/>
        <rFont val="ＭＳ Ｐゴシック"/>
        <family val="3"/>
        <charset val="128"/>
        <scheme val="minor"/>
      </rPr>
      <t>州礼遇</t>
    </r>
    <r>
      <rPr>
        <sz val="11"/>
        <color theme="1"/>
        <rFont val="ＭＳ Ｐゴシック"/>
        <family val="3"/>
        <charset val="134"/>
        <scheme val="minor"/>
      </rPr>
      <t>农产</t>
    </r>
    <r>
      <rPr>
        <sz val="11"/>
        <color theme="1"/>
        <rFont val="ＭＳ Ｐゴシック"/>
        <family val="3"/>
        <charset val="128"/>
        <scheme val="minor"/>
      </rPr>
      <t>品有限公司</t>
    </r>
  </si>
  <si>
    <r>
      <t xml:space="preserve">开胃酒; 葡萄酒;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</si>
  <si>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济</t>
    </r>
    <r>
      <rPr>
        <sz val="11"/>
        <color theme="1"/>
        <rFont val="ＭＳ Ｐゴシック"/>
        <family val="3"/>
        <charset val="128"/>
        <scheme val="minor"/>
      </rPr>
      <t>杰</t>
    </r>
  </si>
  <si>
    <r>
      <t>果酒;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葡萄酒; 烈酒; 黄酒; 白干酒（中国白酒）; 高粱酒;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</si>
  <si>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禾</t>
    </r>
    <r>
      <rPr>
        <sz val="11"/>
        <color theme="1"/>
        <rFont val="ＭＳ Ｐゴシック"/>
        <family val="3"/>
        <charset val="134"/>
        <scheme val="minor"/>
      </rPr>
      <t>记</t>
    </r>
    <r>
      <rPr>
        <sz val="11"/>
        <color theme="1"/>
        <rFont val="ＭＳ Ｐゴシック"/>
        <family val="3"/>
        <charset val="128"/>
        <scheme val="minor"/>
      </rPr>
      <t>古粮醇</t>
    </r>
  </si>
  <si>
    <r>
      <t>湖南我</t>
    </r>
    <r>
      <rPr>
        <sz val="11"/>
        <color theme="1"/>
        <rFont val="ＭＳ Ｐゴシック"/>
        <family val="3"/>
        <charset val="134"/>
        <scheme val="minor"/>
      </rPr>
      <t>们</t>
    </r>
    <r>
      <rPr>
        <sz val="11"/>
        <color theme="1"/>
        <rFont val="ＭＳ Ｐゴシック"/>
        <family val="3"/>
        <charset val="128"/>
        <scheme val="minor"/>
      </rPr>
      <t>的好朋友科技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</si>
  <si>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伏特加酒; 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开胃酒; 黄酒; 青稞酒; 朗姆酒; 白酒</t>
    </r>
  </si>
  <si>
    <r>
      <t>裕</t>
    </r>
    <r>
      <rPr>
        <sz val="11"/>
        <color theme="1"/>
        <rFont val="ＭＳ Ｐゴシック"/>
        <family val="3"/>
        <charset val="134"/>
        <scheme val="minor"/>
      </rPr>
      <t>贡</t>
    </r>
    <r>
      <rPr>
        <sz val="11"/>
        <color theme="1"/>
        <rFont val="ＭＳ Ｐゴシック"/>
        <family val="3"/>
        <charset val="128"/>
        <scheme val="minor"/>
      </rPr>
      <t>金装版</t>
    </r>
  </si>
  <si>
    <r>
      <t xml:space="preserve">果酒; 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黄酒; 米酒; 清酒</t>
    </r>
  </si>
  <si>
    <t>桉影</t>
  </si>
  <si>
    <r>
      <t>广西南宁</t>
    </r>
    <r>
      <rPr>
        <sz val="11"/>
        <color theme="1"/>
        <rFont val="ＭＳ Ｐゴシック"/>
        <family val="3"/>
        <charset val="134"/>
        <scheme val="minor"/>
      </rPr>
      <t>汇发</t>
    </r>
    <r>
      <rPr>
        <sz val="11"/>
        <color theme="1"/>
        <rFont val="ＭＳ Ｐゴシック"/>
        <family val="3"/>
        <charset val="128"/>
        <scheme val="minor"/>
      </rPr>
      <t>置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</si>
  <si>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 xml:space="preserve">甜酒; 清酒; 朗姆酒;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</si>
  <si>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t>杜陵梦</t>
  </si>
  <si>
    <r>
      <t>预调</t>
    </r>
    <r>
      <rPr>
        <sz val="11"/>
        <color theme="1"/>
        <rFont val="ＭＳ Ｐゴシック"/>
        <family val="3"/>
        <charset val="128"/>
        <scheme val="minor"/>
      </rPr>
      <t xml:space="preserve">甜酒; 葡萄酒;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威士忌; 朗姆酒;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</t>
    </r>
  </si>
  <si>
    <r>
      <t>裕</t>
    </r>
    <r>
      <rPr>
        <sz val="11"/>
        <color theme="1"/>
        <rFont val="ＭＳ Ｐゴシック"/>
        <family val="3"/>
        <charset val="134"/>
        <scheme val="minor"/>
      </rPr>
      <t>贡钻</t>
    </r>
    <r>
      <rPr>
        <sz val="11"/>
        <color theme="1"/>
        <rFont val="ＭＳ Ｐゴシック"/>
        <family val="3"/>
        <charset val="128"/>
        <scheme val="minor"/>
      </rPr>
      <t>石</t>
    </r>
  </si>
  <si>
    <r>
      <t>黄酒; 葡萄酒; 白葡萄酒;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清酒; 米酒; 白酒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</si>
  <si>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莞市莞</t>
    </r>
    <r>
      <rPr>
        <sz val="11"/>
        <color theme="1"/>
        <rFont val="ＭＳ Ｐゴシック"/>
        <family val="3"/>
        <charset val="134"/>
        <scheme val="minor"/>
      </rPr>
      <t>蓝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</si>
  <si>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蜂蜜酒; 米酒</t>
    </r>
  </si>
  <si>
    <r>
      <t>龙酿</t>
    </r>
    <r>
      <rPr>
        <sz val="11"/>
        <color theme="1"/>
        <rFont val="ＭＳ Ｐゴシック"/>
        <family val="3"/>
        <charset val="128"/>
        <scheme val="minor"/>
      </rPr>
      <t>川</t>
    </r>
  </si>
  <si>
    <r>
      <t xml:space="preserve">茴芹酒（利口酒）; 开胃酒;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</si>
  <si>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r>
      <t>湖北省葛店开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区建</t>
    </r>
    <r>
      <rPr>
        <sz val="11"/>
        <color theme="1"/>
        <rFont val="ＭＳ Ｐゴシック"/>
        <family val="3"/>
        <charset val="134"/>
        <scheme val="minor"/>
      </rPr>
      <t>设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</si>
  <si>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蒸煮提取物（利口酒和烈酒）;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蜂蜜酒; 白酒</t>
    </r>
  </si>
  <si>
    <t>总纲龙</t>
  </si>
  <si>
    <r>
      <t>刘</t>
    </r>
    <r>
      <rPr>
        <sz val="11"/>
        <color theme="1"/>
        <rFont val="ＭＳ Ｐゴシック"/>
        <family val="3"/>
        <charset val="134"/>
        <scheme val="minor"/>
      </rPr>
      <t>纪</t>
    </r>
    <r>
      <rPr>
        <sz val="11"/>
        <color theme="1"/>
        <rFont val="ＭＳ Ｐゴシック"/>
        <family val="3"/>
        <charset val="128"/>
        <scheme val="minor"/>
      </rPr>
      <t>春</t>
    </r>
  </si>
  <si>
    <r>
      <t xml:space="preserve">果酒（含酒精）;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</si>
  <si>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潍</t>
    </r>
    <r>
      <rPr>
        <sz val="11"/>
        <color theme="1"/>
        <rFont val="ＭＳ Ｐゴシック"/>
        <family val="3"/>
        <charset val="128"/>
        <scheme val="minor"/>
      </rPr>
      <t>杰</t>
    </r>
  </si>
  <si>
    <r>
      <t>白酒;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高粱酒; 米酒; 烈酒;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黄酒</t>
    </r>
  </si>
  <si>
    <t>任家深巷典藏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</si>
  <si>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州巷藏酒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</si>
  <si>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清酒（日本米酒）; 餐后酒（利口酒和烈酒）;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米酒; 梨酒; 开胃酒; 白酒</t>
    </r>
  </si>
  <si>
    <t>任家巷芷典藏</t>
  </si>
  <si>
    <r>
      <t xml:space="preserve">梨酒;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果酒（含酒精）; 餐后酒（利口酒和烈酒）; 葡萄酒; 白酒</t>
    </r>
  </si>
  <si>
    <r>
      <t>壹</t>
    </r>
    <r>
      <rPr>
        <sz val="11"/>
        <color theme="1"/>
        <rFont val="ＭＳ Ｐゴシック"/>
        <family val="3"/>
        <charset val="134"/>
        <scheme val="minor"/>
      </rPr>
      <t>亿</t>
    </r>
    <r>
      <rPr>
        <sz val="11"/>
        <color theme="1"/>
        <rFont val="ＭＳ Ｐゴシック"/>
        <family val="3"/>
        <charset val="128"/>
        <scheme val="minor"/>
      </rPr>
      <t>旦</t>
    </r>
  </si>
  <si>
    <r>
      <t>黄酒; 葡萄酒;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</t>
    </r>
  </si>
  <si>
    <r>
      <t>裕</t>
    </r>
    <r>
      <rPr>
        <sz val="11"/>
        <color theme="1"/>
        <rFont val="ＭＳ Ｐゴシック"/>
        <family val="3"/>
        <charset val="134"/>
        <scheme val="minor"/>
      </rPr>
      <t>贡</t>
    </r>
    <r>
      <rPr>
        <sz val="11"/>
        <color theme="1"/>
        <rFont val="ＭＳ Ｐゴシック"/>
        <family val="3"/>
        <charset val="128"/>
        <scheme val="minor"/>
      </rPr>
      <t>君礼</t>
    </r>
  </si>
  <si>
    <r>
      <t xml:space="preserve">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果酒; 白酒; 黄酒; 白葡萄酒;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</si>
  <si>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溪市樟坪畲族</t>
    </r>
    <r>
      <rPr>
        <sz val="11"/>
        <color theme="1"/>
        <rFont val="ＭＳ Ｐゴシック"/>
        <family val="3"/>
        <charset val="134"/>
        <scheme val="minor"/>
      </rPr>
      <t>乡经济联</t>
    </r>
    <r>
      <rPr>
        <sz val="11"/>
        <color theme="1"/>
        <rFont val="ＭＳ Ｐゴシック"/>
        <family val="3"/>
        <charset val="128"/>
        <scheme val="minor"/>
      </rPr>
      <t>合</t>
    </r>
    <r>
      <rPr>
        <sz val="11"/>
        <color theme="1"/>
        <rFont val="ＭＳ Ｐゴシック"/>
        <family val="3"/>
        <charset val="134"/>
        <scheme val="minor"/>
      </rPr>
      <t>总</t>
    </r>
    <r>
      <rPr>
        <sz val="11"/>
        <color theme="1"/>
        <rFont val="ＭＳ Ｐゴシック"/>
        <family val="3"/>
        <charset val="128"/>
        <scheme val="minor"/>
      </rPr>
      <t>社</t>
    </r>
  </si>
  <si>
    <t>米酒; 黄酒; 白酒</t>
  </si>
  <si>
    <t>澳月湾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</si>
  <si>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朗姆酒;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>甜酒; 清酒; 威士忌</t>
    </r>
  </si>
  <si>
    <t>伊陶然</t>
  </si>
  <si>
    <r>
      <t>邢</t>
    </r>
    <r>
      <rPr>
        <sz val="11"/>
        <color theme="1"/>
        <rFont val="ＭＳ Ｐゴシック"/>
        <family val="3"/>
        <charset val="134"/>
        <scheme val="minor"/>
      </rPr>
      <t>艳艳</t>
    </r>
  </si>
  <si>
    <r>
      <t xml:space="preserve">蜂蜜酒; 白酒; 开胃酒;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</si>
  <si>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土湾</t>
    </r>
  </si>
  <si>
    <r>
      <t>淄博祥宁工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</si>
  <si>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葡萄酒;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</si>
  <si>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裕</t>
    </r>
    <r>
      <rPr>
        <sz val="11"/>
        <color theme="1"/>
        <rFont val="ＭＳ Ｐゴシック"/>
        <family val="3"/>
        <charset val="134"/>
        <scheme val="minor"/>
      </rPr>
      <t>贡传</t>
    </r>
    <r>
      <rPr>
        <sz val="11"/>
        <color theme="1"/>
        <rFont val="ＭＳ Ｐゴシック"/>
        <family val="3"/>
        <charset val="128"/>
        <scheme val="minor"/>
      </rPr>
      <t>奇</t>
    </r>
  </si>
  <si>
    <r>
      <t xml:space="preserve">清酒; 果酒;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白葡萄酒; 白酒; 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</si>
  <si>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r>
      <t>惟妙</t>
    </r>
    <r>
      <rPr>
        <sz val="11"/>
        <color theme="1"/>
        <rFont val="ＭＳ Ｐゴシック"/>
        <family val="3"/>
        <charset val="134"/>
        <scheme val="minor"/>
      </rPr>
      <t>龄</t>
    </r>
    <r>
      <rPr>
        <sz val="11"/>
        <color theme="1"/>
        <rFont val="ＭＳ Ｐゴシック"/>
        <family val="3"/>
        <charset val="128"/>
        <scheme val="minor"/>
      </rPr>
      <t>无</t>
    </r>
    <r>
      <rPr>
        <sz val="11"/>
        <color theme="1"/>
        <rFont val="ＭＳ Ｐゴシック"/>
        <family val="3"/>
        <charset val="134"/>
        <scheme val="minor"/>
      </rPr>
      <t>忧</t>
    </r>
  </si>
  <si>
    <r>
      <t>深圳市海王健康之家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</si>
  <si>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</si>
  <si>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t>RAMBO BULL</t>
  </si>
  <si>
    <r>
      <t>新疆誉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航空服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</si>
  <si>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甜酒;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米酒; 威士忌; 白酒</t>
    </r>
  </si>
  <si>
    <t>幽燕第一峰</t>
  </si>
  <si>
    <r>
      <t>北京冬方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供暖有限公司</t>
    </r>
  </si>
  <si>
    <r>
      <t>果酒（含酒精）; 白酒; 利口酒;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</t>
    </r>
  </si>
  <si>
    <t>天福筑</t>
  </si>
  <si>
    <t>苏锋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</si>
  <si>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食用酒精;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白酒; 果酒（含酒精）; 白干酒（中国白酒）; 青稞酒</t>
    </r>
  </si>
  <si>
    <r>
      <t>裕</t>
    </r>
    <r>
      <rPr>
        <sz val="11"/>
        <color theme="1"/>
        <rFont val="ＭＳ Ｐゴシック"/>
        <family val="3"/>
        <charset val="134"/>
        <scheme val="minor"/>
      </rPr>
      <t>贡</t>
    </r>
    <r>
      <rPr>
        <sz val="11"/>
        <color theme="1"/>
        <rFont val="ＭＳ Ｐゴシック"/>
        <family val="3"/>
        <charset val="128"/>
        <scheme val="minor"/>
      </rPr>
      <t>佳品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</si>
  <si>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葡萄酒; 米酒; 白酒; 白葡萄酒;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清酒; 黄酒;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</si>
  <si>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瑧覃真</t>
    </r>
    <r>
      <rPr>
        <sz val="11"/>
        <color theme="1"/>
        <rFont val="ＭＳ Ｐゴシック"/>
        <family val="3"/>
        <charset val="134"/>
        <scheme val="minor"/>
      </rPr>
      <t>义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</si>
  <si>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鸾鹭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</si>
  <si>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白干酒（中国白酒）; 高粱酒;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日本梅子酒</t>
    </r>
  </si>
  <si>
    <t>髹事</t>
  </si>
  <si>
    <r>
      <t>陈</t>
    </r>
    <r>
      <rPr>
        <sz val="11"/>
        <color theme="1"/>
        <rFont val="ＭＳ Ｐゴシック"/>
        <family val="3"/>
        <charset val="128"/>
        <scheme val="minor"/>
      </rPr>
      <t>慧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</si>
  <si>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黄酒; 青稞酒; 白酒; 蜂蜜酒; 清酒（日本米酒）; 米酒</t>
    </r>
  </si>
  <si>
    <t>烟杰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</si>
  <si>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果酒; 葡萄酒; 烈酒; 黄酒; 米酒; 白干酒（中国白酒）;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</t>
    </r>
  </si>
  <si>
    <t>曲公</t>
  </si>
  <si>
    <r>
      <t>许</t>
    </r>
    <r>
      <rPr>
        <sz val="11"/>
        <color theme="1"/>
        <rFont val="ＭＳ Ｐゴシック"/>
        <family val="3"/>
        <charset val="128"/>
        <scheme val="minor"/>
      </rPr>
      <t>雪林</t>
    </r>
  </si>
  <si>
    <r>
      <t>伏特加酒; 白酒; 果酒（含酒精）; 清酒（日本米酒）; 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米酒</t>
    </r>
  </si>
  <si>
    <t>夜色</t>
  </si>
  <si>
    <t>中信尼雅葡萄酒股份有限公司</t>
  </si>
  <si>
    <r>
      <t>红</t>
    </r>
    <r>
      <rPr>
        <sz val="11"/>
        <color theme="1"/>
        <rFont val="ＭＳ Ｐゴシック"/>
        <family val="3"/>
        <charset val="128"/>
        <scheme val="minor"/>
      </rPr>
      <t>葡萄酒; 起泡白葡萄酒;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利口酒; 白葡萄酒; 葡萄汽酒;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露酒</t>
    </r>
  </si>
  <si>
    <r>
      <t>紫圣</t>
    </r>
    <r>
      <rPr>
        <sz val="11"/>
        <color theme="1"/>
        <rFont val="ＭＳ Ｐゴシック"/>
        <family val="3"/>
        <charset val="134"/>
        <scheme val="minor"/>
      </rPr>
      <t>兰</t>
    </r>
  </si>
  <si>
    <r>
      <t xml:space="preserve">白酒; 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白葡萄酒; 清酒;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</si>
  <si>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裕</t>
    </r>
    <r>
      <rPr>
        <sz val="11"/>
        <color theme="1"/>
        <rFont val="ＭＳ Ｐゴシック"/>
        <family val="3"/>
        <charset val="134"/>
        <scheme val="minor"/>
      </rPr>
      <t>贡</t>
    </r>
    <r>
      <rPr>
        <sz val="11"/>
        <color theme="1"/>
        <rFont val="ＭＳ Ｐゴシック"/>
        <family val="3"/>
        <charset val="128"/>
        <scheme val="minor"/>
      </rPr>
      <t>淡雅</t>
    </r>
  </si>
  <si>
    <r>
      <t>米酒;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白葡萄酒; 清酒</t>
    </r>
  </si>
  <si>
    <r>
      <t>裕</t>
    </r>
    <r>
      <rPr>
        <sz val="11"/>
        <color theme="1"/>
        <rFont val="ＭＳ Ｐゴシック"/>
        <family val="3"/>
        <charset val="134"/>
        <scheme val="minor"/>
      </rPr>
      <t>贡华</t>
    </r>
    <r>
      <rPr>
        <sz val="11"/>
        <color theme="1"/>
        <rFont val="ＭＳ Ｐゴシック"/>
        <family val="3"/>
        <charset val="128"/>
        <scheme val="minor"/>
      </rPr>
      <t>礼</t>
    </r>
  </si>
  <si>
    <r>
      <t xml:space="preserve">果酒;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白葡萄酒; 白酒; 清酒;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</si>
  <si>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r>
      <t>益生天下</t>
    </r>
    <r>
      <rPr>
        <sz val="11"/>
        <color theme="1"/>
        <rFont val="ＭＳ Ｐゴシック"/>
        <family val="3"/>
        <charset val="134"/>
        <scheme val="minor"/>
      </rPr>
      <t>爱</t>
    </r>
  </si>
  <si>
    <r>
      <t>东营</t>
    </r>
    <r>
      <rPr>
        <sz val="11"/>
        <color theme="1"/>
        <rFont val="ＭＳ Ｐゴシック"/>
        <family val="3"/>
        <charset val="128"/>
        <scheme val="minor"/>
      </rPr>
      <t>益生堂</t>
    </r>
    <r>
      <rPr>
        <sz val="11"/>
        <color theme="1"/>
        <rFont val="ＭＳ Ｐゴシック"/>
        <family val="3"/>
        <charset val="134"/>
        <scheme val="minor"/>
      </rPr>
      <t>药业连锁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</si>
  <si>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青稞酒;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</si>
  <si>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r>
      <t>花圣</t>
    </r>
    <r>
      <rPr>
        <sz val="11"/>
        <color theme="1"/>
        <rFont val="ＭＳ Ｐゴシック"/>
        <family val="3"/>
        <charset val="134"/>
        <scheme val="minor"/>
      </rPr>
      <t>狮</t>
    </r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</si>
  <si>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葡萄酒; 清酒; 白葡萄酒;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白酒</t>
    </r>
  </si>
  <si>
    <t>SCHIFERBERG</t>
  </si>
  <si>
    <t>恩斯特-弗里德里希·洛森</t>
  </si>
  <si>
    <r>
      <t>白葡萄酒;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起泡白葡萄酒;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</si>
  <si>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玻匠</t>
  </si>
  <si>
    <r>
      <t>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朗姆酒;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果酒; 葡萄酒; 威士忌</t>
    </r>
  </si>
  <si>
    <r>
      <t>鲒</t>
    </r>
    <r>
      <rPr>
        <sz val="11"/>
        <color theme="1"/>
        <rFont val="ＭＳ Ｐゴシック"/>
        <family val="3"/>
        <charset val="128"/>
        <scheme val="minor"/>
      </rPr>
      <t>巑</t>
    </r>
    <r>
      <rPr>
        <sz val="11"/>
        <color theme="1"/>
        <rFont val="ＭＳ Ｐゴシック"/>
        <family val="3"/>
        <charset val="134"/>
        <scheme val="minor"/>
      </rPr>
      <t>库</t>
    </r>
    <r>
      <rPr>
        <sz val="11"/>
        <color theme="1"/>
        <rFont val="ＭＳ Ｐゴシック"/>
        <family val="3"/>
        <charset val="128"/>
        <scheme val="minor"/>
      </rPr>
      <t>廊</t>
    </r>
  </si>
  <si>
    <r>
      <t>深圳</t>
    </r>
    <r>
      <rPr>
        <sz val="11"/>
        <color theme="1"/>
        <rFont val="ＭＳ Ｐゴシック"/>
        <family val="3"/>
        <charset val="134"/>
        <scheme val="minor"/>
      </rPr>
      <t>绿</t>
    </r>
    <r>
      <rPr>
        <sz val="11"/>
        <color theme="1"/>
        <rFont val="ＭＳ Ｐゴシック"/>
        <family val="3"/>
        <charset val="128"/>
        <scheme val="minor"/>
      </rPr>
      <t>色健木家居有限公司</t>
    </r>
  </si>
  <si>
    <r>
      <t xml:space="preserve">威士忌; 葡萄酒; 白酒; 餐后酒（利口酒和烈酒）;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朗姆酒; 开胃酒;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</si>
  <si>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ALPICOOL WE MAKE YOU FEEL COOL</t>
  </si>
  <si>
    <r>
      <t>佛山市艾</t>
    </r>
    <r>
      <rPr>
        <sz val="11"/>
        <color theme="1"/>
        <rFont val="ＭＳ Ｐゴシック"/>
        <family val="3"/>
        <charset val="134"/>
        <scheme val="minor"/>
      </rPr>
      <t>凯</t>
    </r>
    <r>
      <rPr>
        <sz val="11"/>
        <color theme="1"/>
        <rFont val="ＭＳ Ｐゴシック"/>
        <family val="3"/>
        <charset val="128"/>
        <scheme val="minor"/>
      </rPr>
      <t>控股集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</si>
  <si>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米酒; 清酒（日本米酒）; 葡萄酒; 白酒</t>
    </r>
  </si>
  <si>
    <r>
      <t>裕</t>
    </r>
    <r>
      <rPr>
        <sz val="11"/>
        <color theme="1"/>
        <rFont val="ＭＳ Ｐゴシック"/>
        <family val="3"/>
        <charset val="134"/>
        <scheme val="minor"/>
      </rPr>
      <t>贡</t>
    </r>
    <r>
      <rPr>
        <sz val="11"/>
        <color theme="1"/>
        <rFont val="ＭＳ Ｐゴシック"/>
        <family val="3"/>
        <charset val="128"/>
        <scheme val="minor"/>
      </rPr>
      <t>珍藏</t>
    </r>
  </si>
  <si>
    <r>
      <t xml:space="preserve">清酒; 黄酒; 米酒; 果酒; 白葡萄酒;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</si>
  <si>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裕</t>
    </r>
    <r>
      <rPr>
        <sz val="11"/>
        <color theme="1"/>
        <rFont val="ＭＳ Ｐゴシック"/>
        <family val="3"/>
        <charset val="134"/>
        <scheme val="minor"/>
      </rPr>
      <t>贡</t>
    </r>
    <r>
      <rPr>
        <sz val="11"/>
        <color theme="1"/>
        <rFont val="ＭＳ Ｐゴシック"/>
        <family val="3"/>
        <charset val="128"/>
        <scheme val="minor"/>
      </rPr>
      <t>珍品</t>
    </r>
  </si>
  <si>
    <r>
      <t xml:space="preserve">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黄酒; 果酒; 葡萄酒; 白葡萄酒; 白酒</t>
    </r>
  </si>
  <si>
    <t>EAU ET SORGHO</t>
  </si>
  <si>
    <t>智慧城投（南京）信息科技有限公司</t>
  </si>
  <si>
    <r>
      <t>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高粱酒; 朗姆酒; 黄酒; 白干酒（中国白酒）; 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</si>
  <si>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金溧</t>
    </r>
    <r>
      <rPr>
        <sz val="11"/>
        <color theme="1"/>
        <rFont val="ＭＳ Ｐゴシック"/>
        <family val="3"/>
        <charset val="134"/>
        <scheme val="minor"/>
      </rPr>
      <t>缘</t>
    </r>
  </si>
  <si>
    <t>李佳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</si>
  <si>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威士忌; 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</si>
  <si>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裕</t>
    </r>
    <r>
      <rPr>
        <sz val="11"/>
        <color theme="1"/>
        <rFont val="ＭＳ Ｐゴシック"/>
        <family val="3"/>
        <charset val="134"/>
        <scheme val="minor"/>
      </rPr>
      <t>贡</t>
    </r>
    <r>
      <rPr>
        <sz val="11"/>
        <color theme="1"/>
        <rFont val="ＭＳ Ｐゴシック"/>
        <family val="3"/>
        <charset val="128"/>
        <scheme val="minor"/>
      </rPr>
      <t>尊礼</t>
    </r>
  </si>
  <si>
    <r>
      <t xml:space="preserve">白酒; 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清酒; 白葡萄酒;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果酒; 黄酒</t>
    </r>
  </si>
  <si>
    <r>
      <t>裕</t>
    </r>
    <r>
      <rPr>
        <sz val="11"/>
        <color theme="1"/>
        <rFont val="ＭＳ Ｐゴシック"/>
        <family val="3"/>
        <charset val="134"/>
        <scheme val="minor"/>
      </rPr>
      <t>贡</t>
    </r>
    <r>
      <rPr>
        <sz val="11"/>
        <color theme="1"/>
        <rFont val="ＭＳ Ｐゴシック"/>
        <family val="3"/>
        <charset val="128"/>
        <scheme val="minor"/>
      </rPr>
      <t>尊品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</si>
  <si>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米酒; 果酒; 白葡萄酒; 白酒; 清酒;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</si>
  <si>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r>
      <t>雀</t>
    </r>
    <r>
      <rPr>
        <sz val="11"/>
        <color theme="1"/>
        <rFont val="ＭＳ Ｐゴシック"/>
        <family val="3"/>
        <charset val="134"/>
        <scheme val="minor"/>
      </rPr>
      <t>赞</t>
    </r>
  </si>
  <si>
    <r>
      <t>蔡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</si>
  <si>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利口酒; 米酒; 汽酒;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</si>
  <si>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裕</t>
    </r>
    <r>
      <rPr>
        <sz val="11"/>
        <color theme="1"/>
        <rFont val="ＭＳ Ｐゴシック"/>
        <family val="3"/>
        <charset val="134"/>
        <scheme val="minor"/>
      </rPr>
      <t>贡红</t>
    </r>
    <r>
      <rPr>
        <sz val="11"/>
        <color theme="1"/>
        <rFont val="ＭＳ Ｐゴシック"/>
        <family val="3"/>
        <charset val="128"/>
        <scheme val="minor"/>
      </rPr>
      <t>唇</t>
    </r>
  </si>
  <si>
    <r>
      <t>白酒; 清酒; 白葡萄酒;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果酒; 黄酒</t>
    </r>
  </si>
  <si>
    <r>
      <t>旦</t>
    </r>
    <r>
      <rPr>
        <sz val="11"/>
        <color theme="1"/>
        <rFont val="ＭＳ Ｐゴシック"/>
        <family val="3"/>
        <charset val="134"/>
        <scheme val="minor"/>
      </rPr>
      <t>义</t>
    </r>
    <r>
      <rPr>
        <sz val="11"/>
        <color theme="1"/>
        <rFont val="ＭＳ Ｐゴシック"/>
        <family val="3"/>
        <charset val="128"/>
        <scheme val="minor"/>
      </rPr>
      <t>情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</si>
  <si>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青稞酒;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葡萄酒</t>
    </r>
  </si>
  <si>
    <r>
      <t>说</t>
    </r>
    <r>
      <rPr>
        <sz val="11"/>
        <color theme="1"/>
        <rFont val="ＭＳ Ｐゴシック"/>
        <family val="3"/>
        <charset val="128"/>
        <scheme val="minor"/>
      </rPr>
      <t>日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</si>
  <si>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沙海达酒</t>
    </r>
    <r>
      <rPr>
        <sz val="11"/>
        <color theme="1"/>
        <rFont val="ＭＳ Ｐゴシック"/>
        <family val="3"/>
        <charset val="134"/>
        <scheme val="minor"/>
      </rPr>
      <t>类</t>
    </r>
    <r>
      <rPr>
        <sz val="11"/>
        <color theme="1"/>
        <rFont val="ＭＳ Ｐゴシック"/>
        <family val="3"/>
        <charset val="128"/>
        <scheme val="minor"/>
      </rPr>
      <t>食品批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</si>
  <si>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清酒（日本米酒）; 葡萄酒</t>
    </r>
  </si>
  <si>
    <r>
      <t>马</t>
    </r>
    <r>
      <rPr>
        <sz val="11"/>
        <color theme="1"/>
        <rFont val="ＭＳ Ｐゴシック"/>
        <family val="3"/>
        <charset val="128"/>
        <scheme val="minor"/>
      </rPr>
      <t>路小哥</t>
    </r>
  </si>
  <si>
    <r>
      <t>仁寿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弘康食品有限公司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</si>
  <si>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食用酒精; 蒸煮提取物（利口酒和烈酒）;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</si>
  <si>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裕</t>
    </r>
    <r>
      <rPr>
        <sz val="11"/>
        <color theme="1"/>
        <rFont val="ＭＳ Ｐゴシック"/>
        <family val="3"/>
        <charset val="134"/>
        <scheme val="minor"/>
      </rPr>
      <t>贡</t>
    </r>
    <r>
      <rPr>
        <sz val="11"/>
        <color theme="1"/>
        <rFont val="ＭＳ Ｐゴシック"/>
        <family val="3"/>
        <charset val="128"/>
        <scheme val="minor"/>
      </rPr>
      <t>典藏</t>
    </r>
  </si>
  <si>
    <r>
      <t xml:space="preserve">清酒; 白葡萄酒;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葡萄酒; 米酒</t>
    </r>
  </si>
  <si>
    <r>
      <t>裕</t>
    </r>
    <r>
      <rPr>
        <sz val="11"/>
        <color theme="1"/>
        <rFont val="ＭＳ Ｐゴシック"/>
        <family val="3"/>
        <charset val="134"/>
        <scheme val="minor"/>
      </rPr>
      <t>贡传</t>
    </r>
    <r>
      <rPr>
        <sz val="11"/>
        <color theme="1"/>
        <rFont val="ＭＳ Ｐゴシック"/>
        <family val="3"/>
        <charset val="128"/>
        <scheme val="minor"/>
      </rPr>
      <t>承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</si>
  <si>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白葡萄酒; 黄酒; 白酒;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</si>
  <si>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龙酿</t>
    </r>
    <r>
      <rPr>
        <sz val="11"/>
        <color theme="1"/>
        <rFont val="ＭＳ Ｐゴシック"/>
        <family val="3"/>
        <charset val="128"/>
        <scheme val="minor"/>
      </rPr>
      <t>仙</t>
    </r>
  </si>
  <si>
    <r>
      <t xml:space="preserve">威士忌; 白酒; 果酒; 葡萄酒; 开胃酒;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茴芹酒（利口酒）;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</si>
  <si>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裕</t>
    </r>
    <r>
      <rPr>
        <sz val="11"/>
        <color theme="1"/>
        <rFont val="ＭＳ Ｐゴシック"/>
        <family val="3"/>
        <charset val="134"/>
        <scheme val="minor"/>
      </rPr>
      <t>贡长</t>
    </r>
    <r>
      <rPr>
        <sz val="11"/>
        <color theme="1"/>
        <rFont val="ＭＳ Ｐゴシック"/>
        <family val="3"/>
        <charset val="128"/>
        <scheme val="minor"/>
      </rPr>
      <t>相思</t>
    </r>
  </si>
  <si>
    <r>
      <t xml:space="preserve">白葡萄酒;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白酒; 清酒; 果酒</t>
    </r>
  </si>
  <si>
    <t>武藏</t>
  </si>
  <si>
    <t>佛山市家宝宝家居用品有限公司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</si>
  <si>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威士忌; 黄酒; 青稞酒;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葡萄酒; 米酒</t>
    </r>
  </si>
  <si>
    <t>吉祥运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</si>
  <si>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情秘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</si>
  <si>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烈酒;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葡萄酒; 青稞酒; 高粱酒; 米酒; 露酒</t>
    </r>
  </si>
  <si>
    <t>牌杖子</t>
  </si>
  <si>
    <r>
      <t>郑</t>
    </r>
    <r>
      <rPr>
        <sz val="11"/>
        <color theme="1"/>
        <rFont val="ＭＳ Ｐゴシック"/>
        <family val="3"/>
        <charset val="128"/>
        <scheme val="minor"/>
      </rPr>
      <t>勇</t>
    </r>
  </si>
  <si>
    <r>
      <t>高粱酒; 烈酒;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露酒; 黄酒; 清酒; 白酒;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</si>
  <si>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泉小文</t>
  </si>
  <si>
    <r>
      <t>泉州文化旅游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</si>
  <si>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食用酒精; 米酒;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</si>
  <si>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海泉品芝</t>
  </si>
  <si>
    <r>
      <t>辽</t>
    </r>
    <r>
      <rPr>
        <sz val="11"/>
        <color theme="1"/>
        <rFont val="ＭＳ Ｐゴシック"/>
        <family val="3"/>
        <charset val="128"/>
        <scheme val="minor"/>
      </rPr>
      <t>宁海泉酒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</si>
  <si>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食用酒精;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果酒; 米酒;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</si>
  <si>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窖令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</si>
  <si>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州工律信用管理服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</si>
  <si>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青稞酒; 葡萄酒; 食用酒精;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米酒</t>
    </r>
  </si>
  <si>
    <t>荒爆秘境</t>
  </si>
  <si>
    <r>
      <t>陈</t>
    </r>
    <r>
      <rPr>
        <sz val="11"/>
        <color theme="1"/>
        <rFont val="ＭＳ Ｐゴシック"/>
        <family val="3"/>
        <charset val="128"/>
        <scheme val="minor"/>
      </rPr>
      <t>虹</t>
    </r>
  </si>
  <si>
    <r>
      <t>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清酒;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水果汽酒;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米酒</t>
    </r>
  </si>
  <si>
    <t>重玄</t>
  </si>
  <si>
    <r>
      <t>长</t>
    </r>
    <r>
      <rPr>
        <sz val="11"/>
        <color theme="1"/>
        <rFont val="ＭＳ Ｐゴシック"/>
        <family val="3"/>
        <charset val="128"/>
        <scheme val="minor"/>
      </rPr>
      <t>沙市玄貔网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</si>
  <si>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葡萄酒; 果酒（含酒精）; 黄酒; 米酒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</si>
  <si>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翠英集</t>
    </r>
  </si>
  <si>
    <r>
      <t>白山市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鑫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</si>
  <si>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刺五加酒;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露酒</t>
    </r>
  </si>
  <si>
    <r>
      <t>叁</t>
    </r>
    <r>
      <rPr>
        <sz val="11"/>
        <color theme="1"/>
        <rFont val="ＭＳ Ｐゴシック"/>
        <family val="3"/>
        <charset val="128"/>
        <scheme val="minor"/>
      </rPr>
      <t>取</t>
    </r>
  </si>
  <si>
    <r>
      <t>高</t>
    </r>
    <r>
      <rPr>
        <sz val="11"/>
        <color theme="1"/>
        <rFont val="ＭＳ Ｐゴシック"/>
        <family val="3"/>
        <charset val="134"/>
        <scheme val="minor"/>
      </rPr>
      <t>伟华</t>
    </r>
  </si>
  <si>
    <r>
      <t xml:space="preserve">白酒; 果酒（含酒精）;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烈酒; 黄酒; 蜂蜜酒; 葡萄酒; 米酒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</si>
  <si>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江花月夜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</si>
  <si>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元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</si>
  <si>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>清酒（日本米酒）; 葡萄酒; 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</si>
  <si>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凤</t>
    </r>
    <r>
      <rPr>
        <sz val="11"/>
        <color theme="1"/>
        <rFont val="ＭＳ Ｐゴシック"/>
        <family val="3"/>
        <charset val="128"/>
        <scheme val="minor"/>
      </rPr>
      <t>舞江南特三号</t>
    </r>
  </si>
  <si>
    <r>
      <t>浙江酒道云</t>
    </r>
    <r>
      <rPr>
        <sz val="11"/>
        <color theme="1"/>
        <rFont val="ＭＳ Ｐゴシック"/>
        <family val="3"/>
        <charset val="134"/>
        <scheme val="minor"/>
      </rPr>
      <t>仓</t>
    </r>
    <r>
      <rPr>
        <sz val="11"/>
        <color theme="1"/>
        <rFont val="ＭＳ Ｐゴシック"/>
        <family val="3"/>
        <charset val="128"/>
        <scheme val="minor"/>
      </rPr>
      <t>品牌管理有限公司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</si>
  <si>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威士忌; 黄酒; 葡萄酒</t>
    </r>
  </si>
  <si>
    <t>拉弗朗斯酒庄公司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</si>
  <si>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果酒;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</si>
  <si>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看</t>
    </r>
    <r>
      <rPr>
        <sz val="11"/>
        <color theme="1"/>
        <rFont val="ＭＳ Ｐゴシック"/>
        <family val="3"/>
        <charset val="134"/>
        <scheme val="minor"/>
      </rPr>
      <t>对</t>
    </r>
  </si>
  <si>
    <r>
      <t>刘</t>
    </r>
    <r>
      <rPr>
        <sz val="11"/>
        <color theme="1"/>
        <rFont val="ＭＳ Ｐゴシック"/>
        <family val="3"/>
        <charset val="134"/>
        <scheme val="minor"/>
      </rPr>
      <t>赵</t>
    </r>
    <r>
      <rPr>
        <sz val="11"/>
        <color theme="1"/>
        <rFont val="ＭＳ Ｐゴシック"/>
        <family val="3"/>
        <charset val="128"/>
        <scheme val="minor"/>
      </rPr>
      <t>兵</t>
    </r>
  </si>
  <si>
    <r>
      <t xml:space="preserve">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伏特加酒;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果酒; 蜂蜜酒; 葡萄酒</t>
    </r>
  </si>
  <si>
    <t>雅密大漠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</si>
  <si>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水果汽酒; 清酒;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</si>
  <si>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鹤龙</t>
    </r>
    <r>
      <rPr>
        <sz val="11"/>
        <color theme="1"/>
        <rFont val="ＭＳ Ｐゴシック"/>
        <family val="3"/>
        <charset val="128"/>
        <scheme val="minor"/>
      </rPr>
      <t>壹号</t>
    </r>
  </si>
  <si>
    <r>
      <t>湖南上禾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</si>
  <si>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黄酒</t>
    </r>
  </si>
  <si>
    <t>中智半舍</t>
  </si>
  <si>
    <r>
      <t>半舍（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州）酒店管理有限公司</t>
    </r>
  </si>
  <si>
    <r>
      <t>烈酒; 威士忌;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黄酒; 汽酒;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</si>
  <si>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t>卫经</t>
  </si>
  <si>
    <t>庄海川</t>
  </si>
  <si>
    <r>
      <t xml:space="preserve">黄酒;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利口酒</t>
    </r>
  </si>
  <si>
    <r>
      <t>御</t>
    </r>
    <r>
      <rPr>
        <sz val="11"/>
        <color theme="1"/>
        <rFont val="ＭＳ Ｐゴシック"/>
        <family val="3"/>
        <charset val="134"/>
        <scheme val="minor"/>
      </rPr>
      <t>琼</t>
    </r>
    <r>
      <rPr>
        <sz val="11"/>
        <color theme="1"/>
        <rFont val="ＭＳ Ｐゴシック"/>
        <family val="3"/>
        <charset val="128"/>
        <scheme val="minor"/>
      </rPr>
      <t>井</t>
    </r>
  </si>
  <si>
    <r>
      <t>刘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文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</si>
  <si>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米酒; 白酒; 汽酒</t>
    </r>
  </si>
  <si>
    <t>SOIELINK</t>
  </si>
  <si>
    <r>
      <t>丝</t>
    </r>
    <r>
      <rPr>
        <sz val="11"/>
        <color theme="1"/>
        <rFont val="ＭＳ Ｐゴシック"/>
        <family val="3"/>
        <charset val="128"/>
        <scheme val="minor"/>
      </rPr>
      <t>路之舟科技有限公司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</si>
  <si>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</si>
  <si>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赤</t>
    </r>
    <r>
      <rPr>
        <sz val="11"/>
        <color theme="1"/>
        <rFont val="ＭＳ Ｐゴシック"/>
        <family val="3"/>
        <charset val="134"/>
        <scheme val="minor"/>
      </rPr>
      <t>靓</t>
    </r>
    <r>
      <rPr>
        <sz val="11"/>
        <color theme="1"/>
        <rFont val="ＭＳ Ｐゴシック"/>
        <family val="3"/>
        <charset val="128"/>
        <scheme val="minor"/>
      </rPr>
      <t xml:space="preserve"> 赤子心</t>
    </r>
    <r>
      <rPr>
        <sz val="11"/>
        <color theme="1"/>
        <rFont val="ＭＳ Ｐゴシック"/>
        <family val="3"/>
        <charset val="134"/>
        <scheme val="minor"/>
      </rPr>
      <t>靓</t>
    </r>
  </si>
  <si>
    <r>
      <t>四川九陌</t>
    </r>
    <r>
      <rPr>
        <sz val="11"/>
        <color theme="1"/>
        <rFont val="ＭＳ Ｐゴシック"/>
        <family val="3"/>
        <charset val="134"/>
        <scheme val="minor"/>
      </rPr>
      <t>纪</t>
    </r>
    <r>
      <rPr>
        <sz val="11"/>
        <color theme="1"/>
        <rFont val="ＭＳ Ｐゴシック"/>
        <family val="3"/>
        <charset val="128"/>
        <scheme val="minor"/>
      </rPr>
      <t>生物科技有限公司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</si>
  <si>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食用酒精; 苦味酒; 开胃酒</t>
    </r>
  </si>
  <si>
    <r>
      <t>老</t>
    </r>
    <r>
      <rPr>
        <sz val="11"/>
        <color theme="1"/>
        <rFont val="ＭＳ Ｐゴシック"/>
        <family val="3"/>
        <charset val="129"/>
        <scheme val="minor"/>
      </rPr>
      <t>聑</t>
    </r>
    <r>
      <rPr>
        <sz val="11"/>
        <color theme="1"/>
        <rFont val="ＭＳ Ｐゴシック"/>
        <family val="3"/>
        <charset val="128"/>
        <scheme val="minor"/>
      </rPr>
      <t>台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</si>
  <si>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果酒;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白干酒（中国白酒）</t>
    </r>
  </si>
  <si>
    <t>桂仁潭</t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</si>
  <si>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白酒; 威士忌; 果酒（含酒精）; 米酒; 清酒（日本米酒）</t>
    </r>
  </si>
  <si>
    <r>
      <t>和美</t>
    </r>
    <r>
      <rPr>
        <sz val="11"/>
        <color theme="1"/>
        <rFont val="ＭＳ Ｐゴシック"/>
        <family val="3"/>
        <charset val="134"/>
        <scheme val="minor"/>
      </rPr>
      <t>颐</t>
    </r>
    <r>
      <rPr>
        <sz val="11"/>
        <color theme="1"/>
        <rFont val="ＭＳ Ｐゴシック"/>
        <family val="3"/>
        <charset val="128"/>
        <scheme val="minor"/>
      </rPr>
      <t>和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</si>
  <si>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州大前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</si>
  <si>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蜂蜜酒;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烈酒; 清酒; 果酒（含酒精）; 葡萄酒; 威士忌;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</si>
  <si>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景外(上海）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</si>
  <si>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葡萄酒; 清酒（日本米酒）; 威士忌; 果酒（含酒精）;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</si>
  <si>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嚞</t>
    </r>
    <r>
      <rPr>
        <sz val="11"/>
        <color theme="1"/>
        <rFont val="ＭＳ Ｐゴシック"/>
        <family val="3"/>
        <charset val="134"/>
        <scheme val="minor"/>
      </rPr>
      <t>腾</t>
    </r>
    <r>
      <rPr>
        <sz val="11"/>
        <color theme="1"/>
        <rFont val="ＭＳ Ｐゴシック"/>
        <family val="3"/>
        <charset val="128"/>
        <scheme val="minor"/>
      </rPr>
      <t>巴</t>
    </r>
  </si>
  <si>
    <r>
      <t>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白酒; 果酒; 白干酒（中国白酒）;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高粱酒;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</si>
  <si>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诚为</t>
    </r>
    <r>
      <rPr>
        <sz val="11"/>
        <color theme="1"/>
        <rFont val="ＭＳ Ｐゴシック"/>
        <family val="3"/>
        <charset val="128"/>
        <scheme val="minor"/>
      </rPr>
      <t>利</t>
    </r>
  </si>
  <si>
    <r>
      <t>徐州市山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食品有限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</si>
  <si>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高粱酒; 薄荷酒; 白酒; 果酒（含酒精）;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>甜酒; 果酒</t>
    </r>
  </si>
  <si>
    <t>著才雅</t>
  </si>
  <si>
    <r>
      <t xml:space="preserve">黄酒; 白酒; 米酒; 甜酒;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</si>
  <si>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r>
      <t>东门</t>
    </r>
    <r>
      <rPr>
        <sz val="11"/>
        <color theme="1"/>
        <rFont val="ＭＳ Ｐゴシック"/>
        <family val="3"/>
        <charset val="128"/>
        <scheme val="minor"/>
      </rPr>
      <t>森宝</t>
    </r>
  </si>
  <si>
    <r>
      <t>广西壮族自治区国有</t>
    </r>
    <r>
      <rPr>
        <sz val="11"/>
        <color theme="1"/>
        <rFont val="ＭＳ Ｐゴシック"/>
        <family val="3"/>
        <charset val="134"/>
        <scheme val="minor"/>
      </rPr>
      <t>东门</t>
    </r>
    <r>
      <rPr>
        <sz val="11"/>
        <color theme="1"/>
        <rFont val="ＭＳ Ｐゴシック"/>
        <family val="3"/>
        <charset val="128"/>
        <scheme val="minor"/>
      </rPr>
      <t>林</t>
    </r>
    <r>
      <rPr>
        <sz val="11"/>
        <color theme="1"/>
        <rFont val="ＭＳ Ｐゴシック"/>
        <family val="3"/>
        <charset val="134"/>
        <scheme val="minor"/>
      </rPr>
      <t>场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</si>
  <si>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蝮蛇酒;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米酒;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</t>
    </r>
  </si>
  <si>
    <t>醉宗之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</si>
  <si>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米酒;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汽酒; 果酒（含酒精）;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</t>
    </r>
  </si>
  <si>
    <t>常筵</t>
  </si>
  <si>
    <r>
      <t>郎</t>
    </r>
    <r>
      <rPr>
        <sz val="11"/>
        <color theme="1"/>
        <rFont val="ＭＳ Ｐゴシック"/>
        <family val="3"/>
        <charset val="134"/>
        <scheme val="minor"/>
      </rPr>
      <t>晓</t>
    </r>
    <r>
      <rPr>
        <sz val="11"/>
        <color theme="1"/>
        <rFont val="ＭＳ Ｐゴシック"/>
        <family val="3"/>
        <charset val="128"/>
        <scheme val="minor"/>
      </rPr>
      <t>波</t>
    </r>
  </si>
  <si>
    <r>
      <t>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甜酒; 食用酒精;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烈性干酒;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餐后酒（利口酒和烈酒）;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白干酒（中国白酒）</t>
    </r>
  </si>
  <si>
    <r>
      <t>御后</t>
    </r>
    <r>
      <rPr>
        <sz val="11"/>
        <color theme="1"/>
        <rFont val="ＭＳ Ｐゴシック"/>
        <family val="3"/>
        <charset val="134"/>
        <scheme val="minor"/>
      </rPr>
      <t>权</t>
    </r>
  </si>
  <si>
    <t>裕后泉有限公司</t>
  </si>
  <si>
    <r>
      <t>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白酒; 黄酒;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</si>
  <si>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直隶川</t>
  </si>
  <si>
    <r>
      <t>四川明清老窖酒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</si>
  <si>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蜂蜜酒; 果酒（含酒精）; 葡萄酒; 白酒; 黄酒</t>
    </r>
  </si>
  <si>
    <t>POEKHALI</t>
  </si>
  <si>
    <r>
      <t>阿伯</t>
    </r>
    <r>
      <rPr>
        <sz val="11"/>
        <color theme="1"/>
        <rFont val="ＭＳ Ｐゴシック"/>
        <family val="3"/>
        <charset val="134"/>
        <scheme val="minor"/>
      </rPr>
      <t>劳</t>
    </r>
    <r>
      <rPr>
        <sz val="11"/>
        <color theme="1"/>
        <rFont val="ＭＳ Ｐゴシック"/>
        <family val="3"/>
        <charset val="128"/>
        <scheme val="minor"/>
      </rPr>
      <t>-杜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索公开合股公司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</si>
  <si>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苦味酒; 葡萄酒; 伏特加酒; 苹果酒; 酸酒（低等葡萄酒）; 杜松子酒;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朗姆酒; 利口酒</t>
    </r>
  </si>
  <si>
    <r>
      <t>武关</t>
    </r>
    <r>
      <rPr>
        <sz val="11"/>
        <color theme="1"/>
        <rFont val="ＭＳ Ｐゴシック"/>
        <family val="3"/>
        <charset val="134"/>
        <scheme val="minor"/>
      </rPr>
      <t>诗</t>
    </r>
    <r>
      <rPr>
        <sz val="11"/>
        <color theme="1"/>
        <rFont val="ＭＳ Ｐゴシック"/>
        <family val="3"/>
        <charset val="128"/>
        <scheme val="minor"/>
      </rPr>
      <t>和</t>
    </r>
    <r>
      <rPr>
        <sz val="11"/>
        <color theme="1"/>
        <rFont val="ＭＳ Ｐゴシック"/>
        <family val="3"/>
        <charset val="134"/>
        <scheme val="minor"/>
      </rPr>
      <t>远</t>
    </r>
    <r>
      <rPr>
        <sz val="11"/>
        <color theme="1"/>
        <rFont val="ＭＳ Ｐゴシック"/>
        <family val="3"/>
        <charset val="128"/>
        <scheme val="minor"/>
      </rPr>
      <t>方</t>
    </r>
  </si>
  <si>
    <r>
      <t>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汽酒;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</t>
    </r>
  </si>
  <si>
    <t>太平潭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</si>
  <si>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米酒; 威士忌; 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清酒（日本米酒）</t>
    </r>
  </si>
  <si>
    <r>
      <t>溪慕</t>
    </r>
    <r>
      <rPr>
        <sz val="11"/>
        <color theme="1"/>
        <rFont val="ＭＳ Ｐゴシック"/>
        <family val="3"/>
        <charset val="134"/>
        <scheme val="minor"/>
      </rPr>
      <t>杨</t>
    </r>
  </si>
  <si>
    <t>何永庚</t>
  </si>
  <si>
    <r>
      <t>蒸煮提取物（利口酒和烈酒）;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果酒（含酒精）; 葡萄酒; 米酒; 白干酒（中国白酒）;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</si>
  <si>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悦九州</t>
  </si>
  <si>
    <r>
      <t>王</t>
    </r>
    <r>
      <rPr>
        <sz val="11"/>
        <color theme="1"/>
        <rFont val="ＭＳ Ｐゴシック"/>
        <family val="3"/>
        <charset val="134"/>
        <scheme val="minor"/>
      </rPr>
      <t>鸣</t>
    </r>
    <r>
      <rPr>
        <sz val="11"/>
        <color theme="1"/>
        <rFont val="ＭＳ Ｐゴシック"/>
        <family val="3"/>
        <charset val="128"/>
        <scheme val="minor"/>
      </rPr>
      <t>放</t>
    </r>
  </si>
  <si>
    <r>
      <t xml:space="preserve">黄酒;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五加皮酒（中国混合烈酒）;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</si>
  <si>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文</t>
    </r>
    <r>
      <rPr>
        <sz val="11"/>
        <color theme="1"/>
        <rFont val="ＭＳ Ｐゴシック"/>
        <family val="3"/>
        <charset val="134"/>
        <scheme val="minor"/>
      </rPr>
      <t>饱饱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</si>
  <si>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食用酒精;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葡萄酒; 白酒; 开胃酒; 果酒（含酒精）</t>
    </r>
  </si>
  <si>
    <t>快雪古今</t>
  </si>
  <si>
    <r>
      <t>清酒;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水果汽酒;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</si>
  <si>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t>森孝</t>
  </si>
  <si>
    <r>
      <t>广州市</t>
    </r>
    <r>
      <rPr>
        <sz val="11"/>
        <color theme="1"/>
        <rFont val="ＭＳ Ｐゴシック"/>
        <family val="3"/>
        <charset val="134"/>
        <scheme val="minor"/>
      </rPr>
      <t>创鲜农贸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</si>
  <si>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黄酒; 清酒; 蒸煮提取物（利口酒和烈酒）;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朗姆酒; 薄荷酒;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</si>
  <si>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水</t>
    </r>
    <r>
      <rPr>
        <sz val="11"/>
        <color theme="1"/>
        <rFont val="ＭＳ Ｐゴシック"/>
        <family val="3"/>
        <charset val="134"/>
        <scheme val="minor"/>
      </rPr>
      <t>岛</t>
    </r>
  </si>
  <si>
    <r>
      <t>河南新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合</t>
    </r>
    <r>
      <rPr>
        <sz val="11"/>
        <color theme="1"/>
        <rFont val="ＭＳ Ｐゴシック"/>
        <family val="3"/>
        <charset val="134"/>
        <scheme val="minor"/>
      </rPr>
      <t>实业发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</si>
  <si>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食用酒精; 白酒;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青稞酒; 黄酒</t>
    </r>
  </si>
  <si>
    <t>杉誉堂</t>
  </si>
  <si>
    <r>
      <t>北京泰达天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</si>
  <si>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朗姆酒; 青稞酒;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食用酒精; 开胃酒; 蜂蜜酒; 白酒</t>
    </r>
  </si>
  <si>
    <r>
      <t>樊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波</t>
    </r>
  </si>
  <si>
    <r>
      <t>安阳酒在</t>
    </r>
    <r>
      <rPr>
        <sz val="11"/>
        <color theme="1"/>
        <rFont val="ＭＳ Ｐゴシック"/>
        <family val="3"/>
        <charset val="134"/>
        <scheme val="minor"/>
      </rPr>
      <t>线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</si>
  <si>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清酒（日本米酒）; 青稞酒; 白酒; 果酒（含酒精）</t>
    </r>
  </si>
  <si>
    <r>
      <t>醉待</t>
    </r>
    <r>
      <rPr>
        <sz val="11"/>
        <color theme="1"/>
        <rFont val="ＭＳ Ｐゴシック"/>
        <family val="3"/>
        <charset val="134"/>
        <scheme val="minor"/>
      </rPr>
      <t>见</t>
    </r>
  </si>
  <si>
    <r>
      <t>刘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山</t>
    </r>
  </si>
  <si>
    <r>
      <t xml:space="preserve">威士忌;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伏特加酒; 果酒</t>
    </r>
  </si>
  <si>
    <r>
      <t>荙</t>
    </r>
    <r>
      <rPr>
        <sz val="11"/>
        <color theme="1"/>
        <rFont val="ＭＳ Ｐゴシック"/>
        <family val="3"/>
        <charset val="128"/>
        <scheme val="minor"/>
      </rPr>
      <t>茜</t>
    </r>
  </si>
  <si>
    <r>
      <t>广西忻城</t>
    </r>
    <r>
      <rPr>
        <sz val="11"/>
        <color theme="1"/>
        <rFont val="ＭＳ Ｐゴシック"/>
        <family val="3"/>
        <charset val="134"/>
        <scheme val="minor"/>
      </rPr>
      <t>县蓝</t>
    </r>
    <r>
      <rPr>
        <sz val="11"/>
        <color theme="1"/>
        <rFont val="ＭＳ Ｐゴシック"/>
        <family val="3"/>
        <charset val="128"/>
        <scheme val="minor"/>
      </rPr>
      <t>盛商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</si>
  <si>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米酒; 酸酒（低等葡萄酒）;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</si>
  <si>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r>
      <t>笑</t>
    </r>
    <r>
      <rPr>
        <sz val="11"/>
        <color theme="1"/>
        <rFont val="ＭＳ Ｐゴシック"/>
        <family val="3"/>
        <charset val="134"/>
        <scheme val="minor"/>
      </rPr>
      <t>脸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</si>
  <si>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健</t>
    </r>
    <r>
      <rPr>
        <sz val="11"/>
        <color theme="1"/>
        <rFont val="ＭＳ Ｐゴシック"/>
        <family val="3"/>
        <charset val="134"/>
        <scheme val="minor"/>
      </rPr>
      <t>业</t>
    </r>
  </si>
  <si>
    <r>
      <t xml:space="preserve">甜酒; 果酒; 威士忌; 伏特加酒; 白酒;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</si>
  <si>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广味羊城永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坊</t>
    </r>
  </si>
  <si>
    <t>白志祥******************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</si>
  <si>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</si>
  <si>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食其客</t>
  </si>
  <si>
    <r>
      <t>天津河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</si>
  <si>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果酒;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蒸煮提取物（利口酒和烈酒）; 食用酒精; 黄酒</t>
    </r>
  </si>
  <si>
    <t>杏福无双</t>
  </si>
  <si>
    <r>
      <t>龙</t>
    </r>
    <r>
      <rPr>
        <sz val="11"/>
        <color theme="1"/>
        <rFont val="ＭＳ Ｐゴシック"/>
        <family val="3"/>
        <charset val="128"/>
        <scheme val="minor"/>
      </rPr>
      <t>雨海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</si>
  <si>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果酒（含酒精）; 葡萄酒</t>
    </r>
  </si>
  <si>
    <r>
      <t>北京京北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誉教育科技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</si>
  <si>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主的开胃酒;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</si>
  <si>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t>馈岁</t>
  </si>
  <si>
    <r>
      <t>陈</t>
    </r>
    <r>
      <rPr>
        <sz val="11"/>
        <color theme="1"/>
        <rFont val="ＭＳ Ｐゴシック"/>
        <family val="3"/>
        <charset val="128"/>
        <scheme val="minor"/>
      </rPr>
      <t>奕仰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</si>
  <si>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</t>
    </r>
  </si>
  <si>
    <t>塞外舌尖</t>
  </si>
  <si>
    <t>李厚坤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</si>
  <si>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蜂蜜酒; 梨酒;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</t>
    </r>
  </si>
  <si>
    <r>
      <t>颐</t>
    </r>
    <r>
      <rPr>
        <sz val="11"/>
        <color theme="1"/>
        <rFont val="ＭＳ Ｐゴシック"/>
        <family val="3"/>
        <charset val="128"/>
        <scheme val="minor"/>
      </rPr>
      <t>和嘉品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</si>
  <si>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威士忌; 蜂蜜酒; 白酒; 清酒; 烈酒</t>
    </r>
  </si>
  <si>
    <r>
      <t>颐</t>
    </r>
    <r>
      <rPr>
        <sz val="11"/>
        <color theme="1"/>
        <rFont val="ＭＳ Ｐゴシック"/>
        <family val="3"/>
        <charset val="128"/>
        <scheme val="minor"/>
      </rPr>
      <t>和</t>
    </r>
    <r>
      <rPr>
        <sz val="11"/>
        <color theme="1"/>
        <rFont val="ＭＳ Ｐゴシック"/>
        <family val="3"/>
        <charset val="134"/>
        <scheme val="minor"/>
      </rPr>
      <t>荟</t>
    </r>
    <r>
      <rPr>
        <sz val="11"/>
        <color theme="1"/>
        <rFont val="ＭＳ Ｐゴシック"/>
        <family val="3"/>
        <charset val="128"/>
        <scheme val="minor"/>
      </rPr>
      <t>萃</t>
    </r>
  </si>
  <si>
    <r>
      <t>烈酒; 葡萄酒; 威士忌; 开胃酒; 白酒; 果酒（含酒精）;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</t>
    </r>
  </si>
  <si>
    <r>
      <t>颐</t>
    </r>
    <r>
      <rPr>
        <sz val="11"/>
        <color theme="1"/>
        <rFont val="ＭＳ Ｐゴシック"/>
        <family val="3"/>
        <charset val="128"/>
        <scheme val="minor"/>
      </rPr>
      <t>和奢享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</si>
  <si>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烈酒; 威士忌; 白酒; 清酒; 葡萄酒; 开胃酒;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</si>
  <si>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颐</t>
    </r>
    <r>
      <rPr>
        <sz val="11"/>
        <color theme="1"/>
        <rFont val="ＭＳ Ｐゴシック"/>
        <family val="3"/>
        <charset val="128"/>
        <scheme val="minor"/>
      </rPr>
      <t>和豪</t>
    </r>
  </si>
  <si>
    <r>
      <t>蜂蜜酒; 烈酒; 白酒; 果酒（含酒精）;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清酒; 葡萄酒; 开胃酒</t>
    </r>
  </si>
  <si>
    <r>
      <t>寨</t>
    </r>
    <r>
      <rPr>
        <sz val="11"/>
        <color theme="1"/>
        <rFont val="ＭＳ Ｐゴシック"/>
        <family val="3"/>
        <charset val="134"/>
        <scheme val="minor"/>
      </rPr>
      <t>崃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</si>
  <si>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言柚文化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播（成都）有限公司</t>
    </r>
  </si>
  <si>
    <r>
      <t xml:space="preserve">果酒; 葡萄酒; 白酒;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</t>
    </r>
  </si>
  <si>
    <t>太子舍人</t>
  </si>
  <si>
    <r>
      <t>杜松子酒; 清酒（日本米酒）; 青稞酒; 黄酒; 白酒; 苹果酒; 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果酒（含酒精）</t>
    </r>
  </si>
  <si>
    <r>
      <t>颐</t>
    </r>
    <r>
      <rPr>
        <sz val="11"/>
        <color theme="1"/>
        <rFont val="ＭＳ Ｐゴシック"/>
        <family val="3"/>
        <charset val="128"/>
        <scheme val="minor"/>
      </rPr>
      <t>和恩典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</si>
  <si>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开胃酒; 蜂蜜酒; 葡萄酒; 果酒（含酒精）; 清酒; 威士忌; 烈酒;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</si>
  <si>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颐</t>
    </r>
    <r>
      <rPr>
        <sz val="11"/>
        <color theme="1"/>
        <rFont val="ＭＳ Ｐゴシック"/>
        <family val="3"/>
        <charset val="128"/>
        <scheme val="minor"/>
      </rPr>
      <t>和臻耀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</si>
  <si>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清酒; 烈酒; 果酒（含酒精）; 白酒; 蜂蜜酒; 威士忌;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</t>
    </r>
  </si>
  <si>
    <r>
      <t>荔小</t>
    </r>
    <r>
      <rPr>
        <sz val="11"/>
        <color theme="1"/>
        <rFont val="ＭＳ Ｐゴシック"/>
        <family val="3"/>
        <charset val="134"/>
        <scheme val="minor"/>
      </rPr>
      <t>飞</t>
    </r>
  </si>
  <si>
    <r>
      <t>阳春市明梵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</si>
  <si>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蜂蜜酒; 水果汽酒; 米酒; 黄酒; 果酒（含酒精）; 甜果酒; 露酒; 白酒; 开胃酒</t>
    </r>
  </si>
  <si>
    <t>物本稀</t>
  </si>
  <si>
    <r>
      <t>郑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赵</t>
    </r>
    <r>
      <rPr>
        <sz val="11"/>
        <color theme="1"/>
        <rFont val="ＭＳ Ｐゴシック"/>
        <family val="3"/>
        <charset val="128"/>
        <scheme val="minor"/>
      </rPr>
      <t>勇品牌</t>
    </r>
    <r>
      <rPr>
        <sz val="11"/>
        <color theme="1"/>
        <rFont val="ＭＳ Ｐゴシック"/>
        <family val="3"/>
        <charset val="134"/>
        <scheme val="minor"/>
      </rPr>
      <t>设计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</si>
  <si>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果酒（含酒精）; 梅酒;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</t>
    </r>
  </si>
  <si>
    <t>餐偕</t>
  </si>
  <si>
    <r>
      <t>叶奕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</si>
  <si>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果酒; 威士忌; 米酒; 高粱酒;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黄酒; 葡萄酒; 蜂蜜酒</t>
    </r>
  </si>
  <si>
    <t>巴李啦啦</t>
  </si>
  <si>
    <r>
      <t>四川椿</t>
    </r>
    <r>
      <rPr>
        <sz val="11"/>
        <color theme="1"/>
        <rFont val="ＭＳ Ｐゴシック"/>
        <family val="3"/>
        <charset val="134"/>
        <scheme val="minor"/>
      </rPr>
      <t>满</t>
    </r>
    <r>
      <rPr>
        <sz val="11"/>
        <color theme="1"/>
        <rFont val="ＭＳ Ｐゴシック"/>
        <family val="3"/>
        <charset val="128"/>
        <scheme val="minor"/>
      </rPr>
      <t>九州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</si>
  <si>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果酒; 水果汽酒; 汽酒; 开胃酒; 白酒;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葡萄酒; 甜果酒</t>
    </r>
  </si>
  <si>
    <r>
      <t>妫</t>
    </r>
    <r>
      <rPr>
        <sz val="11"/>
        <color theme="1"/>
        <rFont val="ＭＳ Ｐゴシック"/>
        <family val="3"/>
        <charset val="128"/>
        <scheme val="minor"/>
      </rPr>
      <t>川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谷庄园</t>
    </r>
  </si>
  <si>
    <r>
      <t>怀</t>
    </r>
    <r>
      <rPr>
        <sz val="11"/>
        <color theme="1"/>
        <rFont val="ＭＳ Ｐゴシック"/>
        <family val="3"/>
        <charset val="128"/>
        <scheme val="minor"/>
      </rPr>
      <t>来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尚客居酒店管理有限公司</t>
    </r>
  </si>
  <si>
    <r>
      <t>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白干酒（中国白酒）; 黄酒; 葡萄酒; 高粱酒;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</t>
    </r>
  </si>
  <si>
    <t>君情坊</t>
  </si>
  <si>
    <t>胡世魁</t>
  </si>
  <si>
    <r>
      <t xml:space="preserve">果酒（含酒精）;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蜂蜜酒;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葡萄酒</t>
    </r>
  </si>
  <si>
    <r>
      <t>李逵写</t>
    </r>
    <r>
      <rPr>
        <sz val="11"/>
        <color theme="1"/>
        <rFont val="ＭＳ Ｐゴシック"/>
        <family val="3"/>
        <charset val="134"/>
        <scheme val="minor"/>
      </rPr>
      <t>诗</t>
    </r>
  </si>
  <si>
    <t>付沉亮</t>
  </si>
  <si>
    <r>
      <t>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利口酒;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苦味酒; 米酒;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</si>
  <si>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澄酣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</si>
  <si>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朗姆酒;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白酒; 葡萄酒;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</si>
  <si>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天府一春熙</t>
  </si>
  <si>
    <t>于三三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</si>
  <si>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</si>
  <si>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t>姚献恒</t>
  </si>
  <si>
    <r>
      <t>孙</t>
    </r>
    <r>
      <rPr>
        <sz val="11"/>
        <color theme="1"/>
        <rFont val="ＭＳ Ｐゴシック"/>
        <family val="3"/>
        <charset val="128"/>
        <scheme val="minor"/>
      </rPr>
      <t>前</t>
    </r>
    <r>
      <rPr>
        <sz val="11"/>
        <color theme="1"/>
        <rFont val="ＭＳ Ｐゴシック"/>
        <family val="3"/>
        <charset val="134"/>
        <scheme val="minor"/>
      </rPr>
      <t>进</t>
    </r>
  </si>
  <si>
    <r>
      <t xml:space="preserve">白酒;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果酒;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</si>
  <si>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周杰</t>
    </r>
    <r>
      <rPr>
        <sz val="11"/>
        <color theme="1"/>
        <rFont val="ＭＳ Ｐゴシック"/>
        <family val="3"/>
        <charset val="134"/>
        <scheme val="minor"/>
      </rPr>
      <t>锋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</si>
  <si>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明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</si>
  <si>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果酒;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茴香酒</t>
    </r>
  </si>
  <si>
    <r>
      <t>圣艾</t>
    </r>
    <r>
      <rPr>
        <sz val="11"/>
        <color theme="1"/>
        <rFont val="ＭＳ Ｐゴシック"/>
        <family val="3"/>
        <charset val="134"/>
        <scheme val="minor"/>
      </rPr>
      <t>卫</t>
    </r>
  </si>
  <si>
    <r>
      <t>圣艾</t>
    </r>
    <r>
      <rPr>
        <sz val="11"/>
        <color theme="1"/>
        <rFont val="ＭＳ Ｐゴシック"/>
        <family val="3"/>
        <charset val="134"/>
        <scheme val="minor"/>
      </rPr>
      <t>卫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农联</t>
    </r>
    <r>
      <rPr>
        <sz val="11"/>
        <color theme="1"/>
        <rFont val="ＭＳ Ｐゴシック"/>
        <family val="3"/>
        <charset val="128"/>
        <scheme val="minor"/>
      </rPr>
      <t>盟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</si>
  <si>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利口酒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</si>
  <si>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守</t>
    </r>
    <r>
      <rPr>
        <sz val="11"/>
        <color theme="1"/>
        <rFont val="ＭＳ Ｐゴシック"/>
        <family val="3"/>
        <charset val="134"/>
        <scheme val="minor"/>
      </rPr>
      <t>艺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</si>
  <si>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海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</si>
  <si>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 xml:space="preserve">威士忌;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高粱酒; 果酒</t>
    </r>
  </si>
  <si>
    <r>
      <t>金六</t>
    </r>
    <r>
      <rPr>
        <sz val="11"/>
        <color theme="1"/>
        <rFont val="ＭＳ Ｐゴシック"/>
        <family val="3"/>
        <charset val="134"/>
        <scheme val="minor"/>
      </rPr>
      <t>银</t>
    </r>
    <r>
      <rPr>
        <sz val="11"/>
        <color theme="1"/>
        <rFont val="ＭＳ Ｐゴシック"/>
        <family val="3"/>
        <charset val="128"/>
        <scheme val="minor"/>
      </rPr>
      <t>客 酒</t>
    </r>
  </si>
  <si>
    <r>
      <t>利口酒; 烈酒; 白酒;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露酒; 食用酒精;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</si>
  <si>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r>
      <t>孤独的</t>
    </r>
    <r>
      <rPr>
        <sz val="11"/>
        <color theme="1"/>
        <rFont val="ＭＳ Ｐゴシック"/>
        <family val="3"/>
        <charset val="134"/>
        <scheme val="minor"/>
      </rPr>
      <t>诗</t>
    </r>
    <r>
      <rPr>
        <sz val="11"/>
        <color theme="1"/>
        <rFont val="ＭＳ Ｐゴシック"/>
        <family val="3"/>
        <charset val="128"/>
        <scheme val="minor"/>
      </rPr>
      <t>人</t>
    </r>
  </si>
  <si>
    <r>
      <t>四川</t>
    </r>
    <r>
      <rPr>
        <sz val="11"/>
        <color theme="1"/>
        <rFont val="ＭＳ Ｐゴシック"/>
        <family val="3"/>
        <charset val="134"/>
        <scheme val="minor"/>
      </rPr>
      <t>东泼</t>
    </r>
    <r>
      <rPr>
        <sz val="11"/>
        <color theme="1"/>
        <rFont val="ＭＳ Ｐゴシック"/>
        <family val="3"/>
        <charset val="128"/>
        <scheme val="minor"/>
      </rPr>
      <t>醴白酒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</si>
  <si>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利口酒; 威士忌; 白酒; 朗姆酒;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</si>
  <si>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天才和怪才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</si>
  <si>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利口酒; 葡萄酒; 伏特加酒; 朗姆酒;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</t>
    </r>
  </si>
  <si>
    <t>孤独的怪才</t>
  </si>
  <si>
    <r>
      <t>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朗姆酒</t>
    </r>
  </si>
  <si>
    <r>
      <t>皖蜀春</t>
    </r>
    <r>
      <rPr>
        <sz val="11"/>
        <color theme="1"/>
        <rFont val="ＭＳ Ｐゴシック"/>
        <family val="3"/>
        <charset val="134"/>
        <scheme val="minor"/>
      </rPr>
      <t>庆</t>
    </r>
  </si>
  <si>
    <r>
      <t>安徽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酒文化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</si>
  <si>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薄荷酒;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露酒; 果酒（含酒精）; 白酒; 蒸煮提取物（利口酒和烈酒）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</si>
  <si>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方匠中</t>
    </r>
    <r>
      <rPr>
        <sz val="11"/>
        <color theme="1"/>
        <rFont val="ＭＳ Ｐゴシック"/>
        <family val="3"/>
        <charset val="134"/>
        <scheme val="minor"/>
      </rPr>
      <t>圆</t>
    </r>
  </si>
  <si>
    <t>杨钟</t>
  </si>
  <si>
    <r>
      <t xml:space="preserve">葡萄酒; 米酒;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</si>
  <si>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南部大</t>
    </r>
    <r>
      <rPr>
        <sz val="11"/>
        <color theme="1"/>
        <rFont val="ＭＳ Ｐゴシック"/>
        <family val="3"/>
        <charset val="134"/>
        <scheme val="minor"/>
      </rPr>
      <t>别</t>
    </r>
    <r>
      <rPr>
        <sz val="11"/>
        <color theme="1"/>
        <rFont val="ＭＳ Ｐゴシック"/>
        <family val="3"/>
        <charset val="128"/>
        <scheme val="minor"/>
      </rPr>
      <t>山</t>
    </r>
  </si>
  <si>
    <r>
      <t>新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福山源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</si>
  <si>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汽酒; 白酒; 伏特加酒; 黄酒; 果酒（含酒精）; 青稞酒; 利口酒</t>
    </r>
  </si>
  <si>
    <r>
      <t>徐小</t>
    </r>
    <r>
      <rPr>
        <sz val="11"/>
        <color theme="1"/>
        <rFont val="ＭＳ Ｐゴシック"/>
        <family val="3"/>
        <charset val="134"/>
        <scheme val="minor"/>
      </rPr>
      <t>闻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</si>
  <si>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高策</t>
    </r>
    <r>
      <rPr>
        <sz val="11"/>
        <color theme="1"/>
        <rFont val="ＭＳ Ｐゴシック"/>
        <family val="3"/>
        <charset val="134"/>
        <scheme val="minor"/>
      </rPr>
      <t>营销</t>
    </r>
    <r>
      <rPr>
        <sz val="11"/>
        <color theme="1"/>
        <rFont val="ＭＳ Ｐゴシック"/>
        <family val="3"/>
        <charset val="128"/>
        <scheme val="minor"/>
      </rPr>
      <t>策划有限公司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</si>
  <si>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果酒; 米酒; 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不起泡葡萄酒;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</t>
    </r>
  </si>
  <si>
    <t>LOUIS NEO</t>
  </si>
  <si>
    <r>
      <t>西咸新区</t>
    </r>
    <r>
      <rPr>
        <sz val="11"/>
        <color theme="1"/>
        <rFont val="ＭＳ Ｐゴシック"/>
        <family val="3"/>
        <charset val="134"/>
        <scheme val="minor"/>
      </rPr>
      <t>沣东</t>
    </r>
    <r>
      <rPr>
        <sz val="11"/>
        <color theme="1"/>
        <rFont val="ＭＳ Ｐゴシック"/>
        <family val="3"/>
        <charset val="128"/>
        <scheme val="minor"/>
      </rPr>
      <t>新城</t>
    </r>
    <r>
      <rPr>
        <sz val="11"/>
        <color theme="1"/>
        <rFont val="ＭＳ Ｐゴシック"/>
        <family val="3"/>
        <charset val="134"/>
        <scheme val="minor"/>
      </rPr>
      <t>语</t>
    </r>
    <r>
      <rPr>
        <sz val="11"/>
        <color theme="1"/>
        <rFont val="ＭＳ Ｐゴシック"/>
        <family val="3"/>
        <charset val="128"/>
        <scheme val="minor"/>
      </rPr>
      <t>天宏百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店</t>
    </r>
  </si>
  <si>
    <r>
      <t>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伏特加酒; 朗姆酒; 杜松子酒;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</si>
  <si>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r>
      <t>亳醴</t>
    </r>
    <r>
      <rPr>
        <sz val="11"/>
        <color theme="1"/>
        <rFont val="ＭＳ Ｐゴシック"/>
        <family val="3"/>
        <charset val="134"/>
        <scheme val="minor"/>
      </rPr>
      <t>说</t>
    </r>
  </si>
  <si>
    <t>李振</t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</si>
  <si>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</si>
  <si>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壹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万</t>
    </r>
    <r>
      <rPr>
        <sz val="11"/>
        <color theme="1"/>
        <rFont val="ＭＳ Ｐゴシック"/>
        <family val="3"/>
        <charset val="134"/>
        <scheme val="minor"/>
      </rPr>
      <t>兴</t>
    </r>
  </si>
  <si>
    <r>
      <t>中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材料科技（嘉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</si>
  <si>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汽酒; 白酒; 白葡萄酒; 起泡白葡萄酒; 威士忌;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麦芽威士忌; 葡萄酒;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</si>
  <si>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t>ROCS NOBLES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</si>
  <si>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</si>
  <si>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悠然琥珀光</t>
  </si>
  <si>
    <r>
      <t>溧阳市</t>
    </r>
    <r>
      <rPr>
        <sz val="11"/>
        <color theme="1"/>
        <rFont val="ＭＳ Ｐゴシック"/>
        <family val="3"/>
        <charset val="134"/>
        <scheme val="minor"/>
      </rPr>
      <t>蓝</t>
    </r>
    <r>
      <rPr>
        <sz val="11"/>
        <color theme="1"/>
        <rFont val="ＭＳ Ｐゴシック"/>
        <family val="3"/>
        <charset val="128"/>
        <scheme val="minor"/>
      </rPr>
      <t>城青州南山花园建</t>
    </r>
    <r>
      <rPr>
        <sz val="11"/>
        <color theme="1"/>
        <rFont val="ＭＳ Ｐゴシック"/>
        <family val="3"/>
        <charset val="134"/>
        <scheme val="minor"/>
      </rPr>
      <t>设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</si>
  <si>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开胃酒; 青稞酒; 米酒; 果酒（含酒精）; 汽酒; 黄酒</t>
    </r>
  </si>
  <si>
    <t>无窄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</si>
  <si>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</si>
  <si>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宽</t>
    </r>
    <r>
      <rPr>
        <sz val="11"/>
        <color theme="1"/>
        <rFont val="ＭＳ Ｐゴシック"/>
        <family val="3"/>
        <charset val="128"/>
        <scheme val="minor"/>
      </rPr>
      <t>窄盟</t>
    </r>
  </si>
  <si>
    <r>
      <t xml:space="preserve">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</t>
    </r>
  </si>
  <si>
    <r>
      <t>黑麒麟小珍</t>
    </r>
    <r>
      <rPr>
        <sz val="11"/>
        <color theme="1"/>
        <rFont val="ＭＳ Ｐゴシック"/>
        <family val="3"/>
        <charset val="134"/>
        <scheme val="minor"/>
      </rPr>
      <t>补</t>
    </r>
  </si>
  <si>
    <r>
      <t>西安迪迪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</si>
  <si>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露酒;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</si>
  <si>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养</t>
    </r>
    <r>
      <rPr>
        <sz val="11"/>
        <color theme="1"/>
        <rFont val="ＭＳ Ｐゴシック"/>
        <family val="3"/>
        <charset val="134"/>
        <scheme val="minor"/>
      </rPr>
      <t>遗</t>
    </r>
  </si>
  <si>
    <r>
      <t>北京周公百</t>
    </r>
    <r>
      <rPr>
        <sz val="11"/>
        <color theme="1"/>
        <rFont val="ＭＳ Ｐゴシック"/>
        <family val="3"/>
        <charset val="134"/>
        <scheme val="minor"/>
      </rPr>
      <t>岁</t>
    </r>
    <r>
      <rPr>
        <sz val="11"/>
        <color theme="1"/>
        <rFont val="ＭＳ Ｐゴシック"/>
        <family val="3"/>
        <charset val="128"/>
        <scheme val="minor"/>
      </rPr>
      <t>生物科技有限公司</t>
    </r>
  </si>
  <si>
    <r>
      <t>黄酒; 白酒; 果酒（含酒精）;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</si>
  <si>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苍</t>
    </r>
    <r>
      <rPr>
        <sz val="11"/>
        <color theme="1"/>
        <rFont val="ＭＳ Ｐゴシック"/>
        <family val="3"/>
        <charset val="128"/>
        <scheme val="minor"/>
      </rPr>
      <t>峰</t>
    </r>
  </si>
  <si>
    <r>
      <t>餐后酒（利口酒和烈酒）;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</si>
  <si>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LOUE FRED</t>
  </si>
  <si>
    <r>
      <t>威士忌; 朗姆酒; 利口酒; 伏特加酒;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杜松子酒;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</si>
  <si>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福耒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</si>
  <si>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葡萄酒;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黄酒; 白酒</t>
    </r>
  </si>
  <si>
    <r>
      <t>悠然</t>
    </r>
    <r>
      <rPr>
        <sz val="11"/>
        <color theme="1"/>
        <rFont val="ＭＳ Ｐゴシック"/>
        <family val="3"/>
        <charset val="134"/>
        <scheme val="minor"/>
      </rPr>
      <t>红颜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</si>
  <si>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青稞酒; 黄酒;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汽酒; 葡萄酒; 果酒（含酒精）</t>
    </r>
  </si>
  <si>
    <t>悠然糯言</t>
  </si>
  <si>
    <r>
      <t>葡萄酒; 青稞酒; 果酒（含酒精）;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米酒; 白酒</t>
    </r>
  </si>
  <si>
    <t>九臣九悦巷</t>
  </si>
  <si>
    <t>杭州豪居康炉科技有限公司</t>
  </si>
  <si>
    <r>
      <t>餐后酒（利口酒和烈酒）;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食用酒精;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</si>
  <si>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窄盟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</si>
  <si>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威士忌;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</si>
  <si>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方酒·雀月台</t>
    </r>
  </si>
  <si>
    <r>
      <t>广州高夫酒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</si>
  <si>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高粱酒;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烈酒;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蒸煮提取物（利口酒和烈酒）;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</si>
  <si>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古泉</t>
    </r>
    <r>
      <rPr>
        <sz val="11"/>
        <color theme="1"/>
        <rFont val="ＭＳ Ｐゴシック"/>
        <family val="3"/>
        <charset val="134"/>
        <scheme val="minor"/>
      </rPr>
      <t>绿</t>
    </r>
    <r>
      <rPr>
        <sz val="11"/>
        <color theme="1"/>
        <rFont val="ＭＳ Ｐゴシック"/>
        <family val="3"/>
        <charset val="128"/>
        <scheme val="minor"/>
      </rPr>
      <t>谷</t>
    </r>
    <r>
      <rPr>
        <sz val="11"/>
        <color theme="1"/>
        <rFont val="ＭＳ Ｐゴシック"/>
        <family val="3"/>
        <charset val="134"/>
        <scheme val="minor"/>
      </rPr>
      <t>烧</t>
    </r>
  </si>
  <si>
    <t>史成林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</si>
  <si>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青稞酒; 黄酒; 葡萄酒; 餐后酒（利口酒和烈酒）;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</si>
  <si>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青黔高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</si>
  <si>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凯</t>
    </r>
    <r>
      <rPr>
        <sz val="11"/>
        <color theme="1"/>
        <rFont val="ＭＳ Ｐゴシック"/>
        <family val="3"/>
        <charset val="128"/>
        <scheme val="minor"/>
      </rPr>
      <t>伯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年文化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</si>
  <si>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青梅酒; 汽酒; 果酒（含酒精）; 烈酒; 米酒; 白酒; 高粱酒; 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</si>
  <si>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QUINCE</t>
  </si>
  <si>
    <r>
      <t>琥珀（福建）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</si>
  <si>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清酒（日本米酒）; 利口酒;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朗姆酒; 葡萄酒; 黄酒; 餐后酒（利口酒和烈酒）;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</si>
  <si>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渔</t>
    </r>
    <r>
      <rPr>
        <sz val="11"/>
        <color theme="1"/>
        <rFont val="ＭＳ Ｐゴシック"/>
        <family val="3"/>
        <charset val="128"/>
        <scheme val="minor"/>
      </rPr>
      <t>夫</t>
    </r>
    <r>
      <rPr>
        <sz val="11"/>
        <color theme="1"/>
        <rFont val="ＭＳ Ｐゴシック"/>
        <family val="3"/>
        <charset val="134"/>
        <scheme val="minor"/>
      </rPr>
      <t>传说</t>
    </r>
  </si>
  <si>
    <r>
      <t>中山市琬彤服</t>
    </r>
    <r>
      <rPr>
        <sz val="11"/>
        <color theme="1"/>
        <rFont val="ＭＳ Ｐゴシック"/>
        <family val="3"/>
        <charset val="134"/>
        <scheme val="minor"/>
      </rPr>
      <t>饰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</si>
  <si>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</si>
  <si>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春熙盟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</si>
  <si>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</t>
    </r>
  </si>
  <si>
    <t>晴与雨</t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</si>
  <si>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威士忌; 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清酒;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</t>
    </r>
  </si>
  <si>
    <t>孤独的天才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</si>
  <si>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伏特加酒; 白酒; 朗姆酒; 威士忌; 果酒;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</si>
  <si>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桂雅致</t>
  </si>
  <si>
    <r>
      <t>盐</t>
    </r>
    <r>
      <rPr>
        <sz val="11"/>
        <color theme="1"/>
        <rFont val="ＭＳ Ｐゴシック"/>
        <family val="3"/>
        <charset val="128"/>
        <scheme val="minor"/>
      </rPr>
      <t>城市大丰区</t>
    </r>
    <r>
      <rPr>
        <sz val="11"/>
        <color theme="1"/>
        <rFont val="ＭＳ Ｐゴシック"/>
        <family val="3"/>
        <charset val="134"/>
        <scheme val="minor"/>
      </rPr>
      <t>谢</t>
    </r>
    <r>
      <rPr>
        <sz val="11"/>
        <color theme="1"/>
        <rFont val="ＭＳ Ｐゴシック"/>
        <family val="3"/>
        <charset val="128"/>
        <scheme val="minor"/>
      </rPr>
      <t>春桂食品</t>
    </r>
    <r>
      <rPr>
        <sz val="11"/>
        <color theme="1"/>
        <rFont val="ＭＳ Ｐゴシック"/>
        <family val="3"/>
        <charset val="134"/>
        <scheme val="minor"/>
      </rPr>
      <t>经营</t>
    </r>
    <r>
      <rPr>
        <sz val="11"/>
        <color theme="1"/>
        <rFont val="ＭＳ Ｐゴシック"/>
        <family val="3"/>
        <charset val="128"/>
        <scheme val="minor"/>
      </rPr>
      <t>部</t>
    </r>
  </si>
  <si>
    <r>
      <t>黄酒; 开胃酒;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</si>
  <si>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虾</t>
    </r>
    <r>
      <rPr>
        <sz val="11"/>
        <color theme="1"/>
        <rFont val="ＭＳ Ｐゴシック"/>
        <family val="3"/>
        <charset val="128"/>
        <scheme val="minor"/>
      </rPr>
      <t>鹿潜行</t>
    </r>
  </si>
  <si>
    <t>黄吉祥</t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</si>
  <si>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果酒（含酒精）; 清酒（日本米酒）; 开胃酒;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</si>
  <si>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林妹</t>
    </r>
  </si>
  <si>
    <r>
      <t>露酒;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</si>
  <si>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t>泰北仙品</t>
  </si>
  <si>
    <r>
      <t>济</t>
    </r>
    <r>
      <rPr>
        <sz val="11"/>
        <color theme="1"/>
        <rFont val="ＭＳ Ｐゴシック"/>
        <family val="3"/>
        <charset val="128"/>
        <scheme val="minor"/>
      </rPr>
      <t>南</t>
    </r>
    <r>
      <rPr>
        <sz val="11"/>
        <color theme="1"/>
        <rFont val="ＭＳ Ｐゴシック"/>
        <family val="3"/>
        <charset val="134"/>
        <scheme val="minor"/>
      </rPr>
      <t>颐</t>
    </r>
    <r>
      <rPr>
        <sz val="11"/>
        <color theme="1"/>
        <rFont val="ＭＳ Ｐゴシック"/>
        <family val="3"/>
        <charset val="128"/>
        <scheme val="minor"/>
      </rPr>
      <t>和苑酒水有限公司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</si>
  <si>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黄酒;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</si>
  <si>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JEFF</t>
  </si>
  <si>
    <r>
      <t>潍</t>
    </r>
    <r>
      <rPr>
        <sz val="11"/>
        <color theme="1"/>
        <rFont val="ＭＳ Ｐゴシック"/>
        <family val="3"/>
        <charset val="128"/>
        <scheme val="minor"/>
      </rPr>
      <t>坊米悦美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品牌管理有限公司</t>
    </r>
  </si>
  <si>
    <r>
      <t xml:space="preserve">葡萄酒; 伏特加酒; 果酒（含酒精）; 杜松子酒;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朗姆酒; 清酒（日本米酒）</t>
    </r>
  </si>
  <si>
    <t>吴果然</t>
  </si>
  <si>
    <r>
      <t>江西省蟠桃果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</si>
  <si>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水果汽酒;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果酒;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葡萄酒;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梨酒</t>
    </r>
  </si>
  <si>
    <r>
      <t>毕壶</t>
    </r>
    <r>
      <rPr>
        <sz val="11"/>
        <color theme="1"/>
        <rFont val="ＭＳ Ｐゴシック"/>
        <family val="3"/>
        <charset val="128"/>
        <scheme val="minor"/>
      </rPr>
      <t>春</t>
    </r>
  </si>
  <si>
    <r>
      <t>上海葡酒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</si>
  <si>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白酒; 葡萄酒;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青稞酒; 果酒（含酒精）</t>
    </r>
  </si>
  <si>
    <r>
      <t>适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9"/>
        <scheme val="minor"/>
      </rPr>
      <t>洁</t>
    </r>
  </si>
  <si>
    <t>焦洪霞</t>
  </si>
  <si>
    <r>
      <t>威士忌; 米酒; 利口酒; 黄酒;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</si>
  <si>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知子好</t>
    </r>
    <r>
      <rPr>
        <sz val="11"/>
        <color theme="1"/>
        <rFont val="ＭＳ Ｐゴシック"/>
        <family val="3"/>
        <charset val="134"/>
        <scheme val="minor"/>
      </rPr>
      <t>问</t>
    </r>
  </si>
  <si>
    <r>
      <t>四川君如愿商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信息咨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</si>
  <si>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</si>
  <si>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流踪</t>
  </si>
  <si>
    <r>
      <t>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朗姆酒; 葡萄酒; 伏特加酒; 威士忌; 白酒;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</si>
  <si>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原道</t>
    </r>
    <r>
      <rPr>
        <sz val="11"/>
        <color theme="1"/>
        <rFont val="ＭＳ Ｐゴシック"/>
        <family val="3"/>
        <charset val="134"/>
        <scheme val="minor"/>
      </rPr>
      <t>师说</t>
    </r>
  </si>
  <si>
    <r>
      <t>任</t>
    </r>
    <r>
      <rPr>
        <sz val="11"/>
        <color theme="1"/>
        <rFont val="ＭＳ Ｐゴシック"/>
        <family val="3"/>
        <charset val="134"/>
        <scheme val="minor"/>
      </rPr>
      <t>业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</si>
  <si>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白酒; 蒸煮提取物（利口酒和烈酒）; 黄酒; 伏特加酒</t>
    </r>
  </si>
  <si>
    <r>
      <t>师说</t>
    </r>
    <r>
      <rPr>
        <sz val="11"/>
        <color theme="1"/>
        <rFont val="ＭＳ Ｐゴシック"/>
        <family val="3"/>
        <charset val="128"/>
        <scheme val="minor"/>
      </rPr>
      <t>原道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</si>
  <si>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蒸煮提取物（利口酒和烈酒）; 食用酒精; 黄酒;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米酒</t>
    </r>
  </si>
  <si>
    <t>四川川酒股份有限公司</t>
  </si>
  <si>
    <r>
      <t>威士忌;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白干酒（中国白酒）; 清酒（日本米酒）;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</si>
  <si>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窄皇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</si>
  <si>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威士忌</t>
    </r>
  </si>
  <si>
    <t>年逐梦</t>
  </si>
  <si>
    <r>
      <t>泗洪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双沟彩印厂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</si>
  <si>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白酒; 葡萄酒; 果酒;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</si>
  <si>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t>意品姿</t>
  </si>
  <si>
    <r>
      <t>傅</t>
    </r>
    <r>
      <rPr>
        <sz val="11"/>
        <color theme="1"/>
        <rFont val="ＭＳ Ｐゴシック"/>
        <family val="3"/>
        <charset val="134"/>
        <scheme val="minor"/>
      </rPr>
      <t>肃</t>
    </r>
    <r>
      <rPr>
        <sz val="11"/>
        <color theme="1"/>
        <rFont val="ＭＳ Ｐゴシック"/>
        <family val="3"/>
        <charset val="128"/>
        <scheme val="minor"/>
      </rPr>
      <t>武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</si>
  <si>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</t>
    </r>
  </si>
  <si>
    <r>
      <t>宝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达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</si>
  <si>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州德厚祥精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酒庄有限公司</t>
    </r>
  </si>
  <si>
    <r>
      <t>果酒（含酒精）; 薄荷酒;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威士忌</t>
    </r>
  </si>
  <si>
    <t>ROCS DU BARRY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</si>
  <si>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</si>
  <si>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CHATEAU FLEUR TERRIEN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</si>
  <si>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</si>
  <si>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广志的酒</t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</si>
  <si>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春晨芬芳茶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</si>
  <si>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蜂蜜酒;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日本梅子酒; 薄荷酒;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含酒精的气泡水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</si>
  <si>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花囍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双囍牌 双囍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就要你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 双喜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一炮而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</si>
  <si>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中国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双喜集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</si>
  <si>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清酒; 烈酒;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</si>
  <si>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福宁成</t>
  </si>
  <si>
    <r>
      <t>陈</t>
    </r>
    <r>
      <rPr>
        <sz val="11"/>
        <color theme="1"/>
        <rFont val="ＭＳ Ｐゴシック"/>
        <family val="3"/>
        <charset val="128"/>
        <scheme val="minor"/>
      </rPr>
      <t>德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</si>
  <si>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 xml:space="preserve">伏特加酒;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威士忌;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</si>
  <si>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r>
      <t>夏</t>
    </r>
    <r>
      <rPr>
        <sz val="11"/>
        <color theme="1"/>
        <rFont val="ＭＳ Ｐゴシック"/>
        <family val="3"/>
        <charset val="134"/>
        <scheme val="minor"/>
      </rPr>
      <t>财</t>
    </r>
    <r>
      <rPr>
        <sz val="11"/>
        <color theme="1"/>
        <rFont val="ＭＳ Ｐゴシック"/>
        <family val="3"/>
        <charset val="128"/>
        <scheme val="minor"/>
      </rPr>
      <t>商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</si>
  <si>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夏</t>
    </r>
    <r>
      <rPr>
        <sz val="11"/>
        <color theme="1"/>
        <rFont val="ＭＳ Ｐゴシック"/>
        <family val="3"/>
        <charset val="134"/>
        <scheme val="minor"/>
      </rPr>
      <t>财</t>
    </r>
    <r>
      <rPr>
        <sz val="11"/>
        <color theme="1"/>
        <rFont val="ＭＳ Ｐゴシック"/>
        <family val="3"/>
        <charset val="128"/>
        <scheme val="minor"/>
      </rPr>
      <t>商（湖北）私募基金管理有限公司</t>
    </r>
  </si>
  <si>
    <r>
      <t>葡萄酒; 苦艾酒; 白酒; 梅酒; 水果汽酒; 含牛奶的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伏特加酒; 阿蒙蒂拉多白葡萄酒;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</si>
  <si>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行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（上海）品牌管理有限公司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</si>
  <si>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</si>
  <si>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穗九洲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</si>
  <si>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州茅不易商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</si>
  <si>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果酒（含酒精）; 葡萄酒</t>
    </r>
  </si>
  <si>
    <t>黑土娃</t>
  </si>
  <si>
    <t>李朋来</t>
  </si>
  <si>
    <r>
      <t>果酒（含酒精）;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威士忌; 葡萄酒;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高粱酒</t>
    </r>
  </si>
  <si>
    <t>炳丰</t>
  </si>
  <si>
    <r>
      <t>荣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</si>
  <si>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</si>
  <si>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修有福</t>
  </si>
  <si>
    <r>
      <t>中奕佳</t>
    </r>
    <r>
      <rPr>
        <sz val="11"/>
        <color theme="1"/>
        <rFont val="ＭＳ Ｐゴシック"/>
        <family val="3"/>
        <charset val="134"/>
        <scheme val="minor"/>
      </rPr>
      <t>腾</t>
    </r>
    <r>
      <rPr>
        <sz val="11"/>
        <color theme="1"/>
        <rFont val="ＭＳ Ｐゴシック"/>
        <family val="3"/>
        <charset val="128"/>
        <scheme val="minor"/>
      </rPr>
      <t>健康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</si>
  <si>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蝮蛇酒;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白干酒（中国白酒）;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</si>
  <si>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圣</t>
    </r>
    <r>
      <rPr>
        <sz val="11"/>
        <color theme="1"/>
        <rFont val="ＭＳ Ｐゴシック"/>
        <family val="3"/>
        <charset val="134"/>
        <scheme val="minor"/>
      </rPr>
      <t>阅</t>
    </r>
  </si>
  <si>
    <t>何世江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</si>
  <si>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威士忌; 白酒; 葡萄酒</t>
    </r>
  </si>
  <si>
    <t>焚山</t>
  </si>
  <si>
    <r>
      <t>上海一</t>
    </r>
    <r>
      <rPr>
        <sz val="11"/>
        <color theme="1"/>
        <rFont val="ＭＳ Ｐゴシック"/>
        <family val="3"/>
        <charset val="134"/>
        <scheme val="minor"/>
      </rPr>
      <t>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</si>
  <si>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威士忌; 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</si>
  <si>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t>椰牛</t>
  </si>
  <si>
    <t>海南新大食品有限公司</t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</si>
  <si>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</t>
    </r>
  </si>
  <si>
    <t>巴家火</t>
  </si>
  <si>
    <r>
      <t>湖北丰</t>
    </r>
    <r>
      <rPr>
        <sz val="11"/>
        <color theme="1"/>
        <rFont val="ＭＳ Ｐゴシック"/>
        <family val="3"/>
        <charset val="134"/>
        <scheme val="minor"/>
      </rPr>
      <t>乐圆</t>
    </r>
    <r>
      <rPr>
        <sz val="11"/>
        <color theme="1"/>
        <rFont val="ＭＳ Ｐゴシック"/>
        <family val="3"/>
        <charset val="128"/>
        <scheme val="minor"/>
      </rPr>
      <t>生物科技集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</si>
  <si>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蒸煮提取物（利口酒和烈酒）; 以朗姆酒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品;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</si>
  <si>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邡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窖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</si>
  <si>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市十</t>
    </r>
    <r>
      <rPr>
        <sz val="11"/>
        <color theme="1"/>
        <rFont val="ＭＳ Ｐゴシック"/>
        <family val="3"/>
        <charset val="134"/>
        <scheme val="minor"/>
      </rPr>
      <t>叁</t>
    </r>
    <r>
      <rPr>
        <sz val="11"/>
        <color theme="1"/>
        <rFont val="ＭＳ Ｐゴシック"/>
        <family val="3"/>
        <charset val="128"/>
        <scheme val="minor"/>
      </rPr>
      <t>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</si>
  <si>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高粱酒; 汽酒; 烈酒; 果酒; 葡萄酒</t>
    </r>
  </si>
  <si>
    <r>
      <t>富</t>
    </r>
    <r>
      <rPr>
        <sz val="11"/>
        <color theme="1"/>
        <rFont val="ＭＳ Ｐゴシック"/>
        <family val="3"/>
        <charset val="134"/>
        <scheme val="minor"/>
      </rPr>
      <t>骄</t>
    </r>
  </si>
  <si>
    <t>刘春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</si>
  <si>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黄酒; 白酒;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威士忌</t>
    </r>
  </si>
  <si>
    <r>
      <t>江口醇</t>
    </r>
    <r>
      <rPr>
        <sz val="11"/>
        <color theme="1"/>
        <rFont val="ＭＳ Ｐゴシック"/>
        <family val="3"/>
        <charset val="134"/>
        <scheme val="minor"/>
      </rPr>
      <t>龙坛</t>
    </r>
  </si>
  <si>
    <r>
      <t>四川江口醇隆鼎酒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</si>
  <si>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清酒（日本米酒）; 利口酒; 果酒（含酒精）; 开胃酒;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</si>
  <si>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音</t>
    </r>
  </si>
  <si>
    <r>
      <t>宿迁中</t>
    </r>
    <r>
      <rPr>
        <sz val="11"/>
        <color theme="1"/>
        <rFont val="ＭＳ Ｐゴシック"/>
        <family val="3"/>
        <charset val="134"/>
        <scheme val="minor"/>
      </rPr>
      <t>绵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</si>
  <si>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蜂蜜酒;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果酒（含酒精）</t>
    </r>
  </si>
  <si>
    <r>
      <t>美酩</t>
    </r>
    <r>
      <rPr>
        <sz val="11"/>
        <color theme="1"/>
        <rFont val="ＭＳ Ｐゴシック"/>
        <family val="3"/>
        <charset val="134"/>
        <scheme val="minor"/>
      </rPr>
      <t>绝顶</t>
    </r>
  </si>
  <si>
    <t>李浩浩</t>
  </si>
  <si>
    <r>
      <t xml:space="preserve">白干酒（中国白酒）; 清酒（日本米酒）;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高粱酒; 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米酒</t>
    </r>
  </si>
  <si>
    <t>汪裕泰</t>
  </si>
  <si>
    <r>
      <t>职</t>
    </r>
    <r>
      <rPr>
        <sz val="11"/>
        <color theme="1"/>
        <rFont val="ＭＳ Ｐゴシック"/>
        <family val="3"/>
        <charset val="128"/>
        <scheme val="minor"/>
      </rPr>
      <t>易升（深圳）教育科技有限公司</t>
    </r>
  </si>
  <si>
    <r>
      <t xml:space="preserve">白酒; 烈酒; 白干酒（中国白酒）;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高粱酒</t>
    </r>
  </si>
  <si>
    <t>稷聿</t>
  </si>
  <si>
    <r>
      <t>姜</t>
    </r>
    <r>
      <rPr>
        <sz val="11"/>
        <color theme="1"/>
        <rFont val="ＭＳ Ｐゴシック"/>
        <family val="3"/>
        <charset val="134"/>
        <scheme val="minor"/>
      </rPr>
      <t>树贵</t>
    </r>
  </si>
  <si>
    <r>
      <t>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伏特加酒; 葡萄酒; 白酒;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朗姆酒; 黄酒; 果酒（含酒精）</t>
    </r>
  </si>
  <si>
    <t>拾薪</t>
  </si>
  <si>
    <r>
      <t>黄酒; 食用酒精;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果酒（含酒精）</t>
    </r>
  </si>
  <si>
    <r>
      <t>蒲</t>
    </r>
    <r>
      <rPr>
        <sz val="11"/>
        <color theme="1"/>
        <rFont val="ＭＳ Ｐゴシック"/>
        <family val="3"/>
        <charset val="134"/>
        <scheme val="minor"/>
      </rPr>
      <t>鸠</t>
    </r>
  </si>
  <si>
    <t>常州志坷研磨材料有限公司</t>
  </si>
  <si>
    <r>
      <t xml:space="preserve">米酒; 白酒; 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果酒（含酒精）;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</t>
    </r>
  </si>
  <si>
    <t>GLYCO-</t>
  </si>
  <si>
    <r>
      <t>甘</t>
    </r>
    <r>
      <rPr>
        <sz val="11"/>
        <color theme="1"/>
        <rFont val="ＭＳ Ｐゴシック"/>
        <family val="3"/>
        <charset val="134"/>
        <scheme val="minor"/>
      </rPr>
      <t>阅</t>
    </r>
  </si>
  <si>
    <r>
      <t>开胃酒; 葡萄酒; 清酒（日本米酒）; 威士忌;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餐后酒（利口酒和烈酒）;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</si>
  <si>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r>
      <t>华传</t>
    </r>
    <r>
      <rPr>
        <sz val="11"/>
        <color theme="1"/>
        <rFont val="ＭＳ Ｐゴシック"/>
        <family val="3"/>
        <charset val="128"/>
        <scheme val="minor"/>
      </rPr>
      <t>启</t>
    </r>
  </si>
  <si>
    <r>
      <t>孙</t>
    </r>
    <r>
      <rPr>
        <sz val="11"/>
        <color theme="1"/>
        <rFont val="ＭＳ Ｐゴシック"/>
        <family val="3"/>
        <charset val="128"/>
        <scheme val="minor"/>
      </rPr>
      <t>妙融</t>
    </r>
  </si>
  <si>
    <r>
      <t xml:space="preserve">薄荷酒; 白葡萄酒;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清酒（日本米酒）; 白酒; 烈酒; 青稞酒; 果酒（含酒精）; 黄酒; 水果汽酒</t>
    </r>
  </si>
  <si>
    <t>巽宇宙</t>
  </si>
  <si>
    <r>
      <t>巽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科技（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州）有限公司</t>
    </r>
  </si>
  <si>
    <r>
      <t>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含酒精的气泡水; 米酒</t>
    </r>
  </si>
  <si>
    <t>朴仙</t>
  </si>
  <si>
    <r>
      <t>武夷山泰斗</t>
    </r>
    <r>
      <rPr>
        <sz val="11"/>
        <color theme="1"/>
        <rFont val="ＭＳ Ｐゴシック"/>
        <family val="3"/>
        <charset val="134"/>
        <scheme val="minor"/>
      </rPr>
      <t>问</t>
    </r>
    <r>
      <rPr>
        <sz val="11"/>
        <color theme="1"/>
        <rFont val="ＭＳ Ｐゴシック"/>
        <family val="3"/>
        <charset val="128"/>
        <scheme val="minor"/>
      </rPr>
      <t>山茶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</si>
  <si>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</si>
  <si>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氏良玖</t>
    </r>
  </si>
  <si>
    <r>
      <t>李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英</t>
    </r>
  </si>
  <si>
    <r>
      <t xml:space="preserve">米酒;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威士忌;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</si>
  <si>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江口醇蛟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</si>
  <si>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米酒; 果酒（含酒精）; 开胃酒;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</si>
  <si>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</si>
  <si>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t>BISAI</t>
  </si>
  <si>
    <r>
      <t>彼</t>
    </r>
    <r>
      <rPr>
        <sz val="11"/>
        <color theme="1"/>
        <rFont val="ＭＳ Ｐゴシック"/>
        <family val="3"/>
        <charset val="134"/>
        <scheme val="minor"/>
      </rPr>
      <t>赛</t>
    </r>
    <r>
      <rPr>
        <sz val="11"/>
        <color theme="1"/>
        <rFont val="ＭＳ Ｐゴシック"/>
        <family val="3"/>
        <charset val="128"/>
        <scheme val="minor"/>
      </rPr>
      <t>科技(佛山市)有限公司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</si>
  <si>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果酒（含酒精）; 米酒; 威士忌</t>
    </r>
  </si>
  <si>
    <t>侑威</t>
  </si>
  <si>
    <r>
      <t>帝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吉欧洋酒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易（上海）有限公司</t>
    </r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</si>
  <si>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含酒精的气泡水</t>
    </r>
  </si>
  <si>
    <r>
      <t>古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恒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</si>
  <si>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州市盒品会包装制品有限公司</t>
    </r>
  </si>
  <si>
    <r>
      <t xml:space="preserve">果酒（含酒精）;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</si>
  <si>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有</t>
    </r>
    <r>
      <rPr>
        <sz val="11"/>
        <color theme="1"/>
        <rFont val="ＭＳ Ｐゴシック"/>
        <family val="3"/>
        <charset val="134"/>
        <scheme val="minor"/>
      </rPr>
      <t>陉</t>
    </r>
    <r>
      <rPr>
        <sz val="11"/>
        <color theme="1"/>
        <rFont val="ＭＳ Ｐゴシック"/>
        <family val="3"/>
        <charset val="128"/>
        <scheme val="minor"/>
      </rPr>
      <t>有</t>
    </r>
    <r>
      <rPr>
        <sz val="11"/>
        <color theme="1"/>
        <rFont val="ＭＳ Ｐゴシック"/>
        <family val="3"/>
        <charset val="134"/>
        <scheme val="minor"/>
      </rPr>
      <t>穑</t>
    </r>
  </si>
  <si>
    <r>
      <t>河北楷里</t>
    </r>
    <r>
      <rPr>
        <sz val="11"/>
        <color theme="1"/>
        <rFont val="ＭＳ Ｐゴシック"/>
        <family val="3"/>
        <charset val="134"/>
        <scheme val="minor"/>
      </rPr>
      <t>归</t>
    </r>
    <r>
      <rPr>
        <sz val="11"/>
        <color theme="1"/>
        <rFont val="ＭＳ Ｐゴシック"/>
        <family val="3"/>
        <charset val="128"/>
        <scheme val="minor"/>
      </rPr>
      <t>壹生物科技有限公司</t>
    </r>
  </si>
  <si>
    <r>
      <t>葡萄酒;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果酒（含酒精）; 米酒</t>
    </r>
  </si>
  <si>
    <t>湘晶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</si>
  <si>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开胃酒; 米酒; 黄酒;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利口酒</t>
    </r>
  </si>
  <si>
    <t>每食先生</t>
  </si>
  <si>
    <t>中山市力秋食品有限公司</t>
  </si>
  <si>
    <r>
      <t xml:space="preserve">苹果酒;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</t>
    </r>
  </si>
  <si>
    <r>
      <t>江口醇盛世</t>
    </r>
    <r>
      <rPr>
        <sz val="11"/>
        <color theme="1"/>
        <rFont val="ＭＳ Ｐゴシック"/>
        <family val="3"/>
        <charset val="134"/>
        <scheme val="minor"/>
      </rPr>
      <t>腾龙</t>
    </r>
  </si>
  <si>
    <r>
      <t xml:space="preserve">利口酒;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葡萄酒;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果酒（含酒精）</t>
    </r>
  </si>
  <si>
    <t>客都山禾</t>
  </si>
  <si>
    <r>
      <t>黄春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</si>
  <si>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清酒（日本米酒）;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蜂蜜酒; 白酒</t>
    </r>
  </si>
  <si>
    <t>复岳</t>
  </si>
  <si>
    <r>
      <t>泰安泰合大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房有限公司</t>
    </r>
  </si>
  <si>
    <r>
      <t xml:space="preserve">米酒; 葡萄酒; 含酒精的气泡水; 果酒; 白葡萄酒;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</si>
  <si>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箕裘</t>
  </si>
  <si>
    <r>
      <t>郑</t>
    </r>
    <r>
      <rPr>
        <sz val="11"/>
        <color theme="1"/>
        <rFont val="ＭＳ Ｐゴシック"/>
        <family val="3"/>
        <charset val="128"/>
        <scheme val="minor"/>
      </rPr>
      <t>玉佰</t>
    </r>
  </si>
  <si>
    <r>
      <t xml:space="preserve">黄酒; 清酒; 高粱酒;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露酒;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烈酒</t>
    </r>
  </si>
  <si>
    <r>
      <t>瓷醉</t>
    </r>
    <r>
      <rPr>
        <sz val="11"/>
        <color theme="1"/>
        <rFont val="ＭＳ Ｐゴシック"/>
        <family val="3"/>
        <charset val="134"/>
        <scheme val="minor"/>
      </rPr>
      <t>经</t>
    </r>
    <r>
      <rPr>
        <sz val="11"/>
        <color theme="1"/>
        <rFont val="ＭＳ Ｐゴシック"/>
        <family val="3"/>
        <charset val="128"/>
        <scheme val="minor"/>
      </rPr>
      <t>典</t>
    </r>
  </si>
  <si>
    <t>李俊梅</t>
  </si>
  <si>
    <r>
      <t>白干酒（中国白酒）;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威士忌;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汽酒; 黄酒;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</si>
  <si>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墨黎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雷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</si>
  <si>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恩普拉</t>
    </r>
    <r>
      <rPr>
        <sz val="11"/>
        <color theme="1"/>
        <rFont val="ＭＳ Ｐゴシック"/>
        <family val="3"/>
        <charset val="134"/>
        <scheme val="minor"/>
      </rPr>
      <t>图</t>
    </r>
    <r>
      <rPr>
        <sz val="11"/>
        <color theme="1"/>
        <rFont val="ＭＳ Ｐゴシック"/>
        <family val="3"/>
        <charset val="128"/>
        <scheme val="minor"/>
      </rPr>
      <t>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</si>
  <si>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伏特加酒;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利口酒; 烈酒; 威士忌</t>
    </r>
  </si>
  <si>
    <r>
      <t>巽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元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</si>
  <si>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含酒精的气泡水;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</si>
  <si>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昱商品</t>
    </r>
    <r>
      <rPr>
        <sz val="11"/>
        <color theme="1"/>
        <rFont val="ＭＳ Ｐゴシック"/>
        <family val="3"/>
        <charset val="134"/>
        <scheme val="minor"/>
      </rPr>
      <t>鉴</t>
    </r>
  </si>
  <si>
    <t>王会珍</t>
  </si>
  <si>
    <r>
      <t xml:space="preserve">果酒; 米酒; 黄酒;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</t>
    </r>
  </si>
  <si>
    <t>渭井坊</t>
  </si>
  <si>
    <r>
      <t>顾</t>
    </r>
    <r>
      <rPr>
        <sz val="11"/>
        <color theme="1"/>
        <rFont val="ＭＳ Ｐゴシック"/>
        <family val="3"/>
        <charset val="128"/>
        <scheme val="minor"/>
      </rPr>
      <t>平</t>
    </r>
  </si>
  <si>
    <r>
      <t>高粱酒;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果酒; 青稞酒</t>
    </r>
  </si>
  <si>
    <t>韵染</t>
  </si>
  <si>
    <r>
      <t>鸡泽县</t>
    </r>
    <r>
      <rPr>
        <sz val="11"/>
        <color theme="1"/>
        <rFont val="ＭＳ Ｐゴシック"/>
        <family val="3"/>
        <charset val="128"/>
        <scheme val="minor"/>
      </rPr>
      <t>墨韵印刷厂</t>
    </r>
  </si>
  <si>
    <r>
      <t>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黄酒; 米酒; 威士忌;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开胃酒</t>
    </r>
  </si>
  <si>
    <r>
      <t>江口醇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尊</t>
    </r>
  </si>
  <si>
    <r>
      <t>果酒（含酒精）; 利口酒; 米酒;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清酒（日本米酒）; 白酒</t>
    </r>
  </si>
  <si>
    <r>
      <t>山</t>
    </r>
    <r>
      <rPr>
        <sz val="11"/>
        <color theme="1"/>
        <rFont val="ＭＳ Ｐゴシック"/>
        <family val="3"/>
        <charset val="129"/>
        <scheme val="minor"/>
      </rPr>
      <t>崳</t>
    </r>
  </si>
  <si>
    <r>
      <t>烟台吉斯波</t>
    </r>
    <r>
      <rPr>
        <sz val="11"/>
        <color theme="1"/>
        <rFont val="ＭＳ Ｐゴシック"/>
        <family val="3"/>
        <charset val="134"/>
        <scheme val="minor"/>
      </rPr>
      <t>尔酿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</si>
  <si>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>朗姆酒; 伏特加酒; 果酒; 黄酒; 威士忌; 白酒; 汽酒; 米酒; 杜松子酒; 清酒;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</si>
  <si>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品岳</t>
  </si>
  <si>
    <t>徐州睢物信息科技有限公司</t>
  </si>
  <si>
    <r>
      <t>利口酒; 果酒（含酒精）; 葡萄酒; 蒸煮提取物（利口酒和烈酒）;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开胃酒;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</si>
  <si>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照花</t>
    </r>
    <r>
      <rPr>
        <sz val="11"/>
        <color theme="1"/>
        <rFont val="ＭＳ Ｐゴシック"/>
        <family val="3"/>
        <charset val="134"/>
        <scheme val="minor"/>
      </rPr>
      <t>颜</t>
    </r>
  </si>
  <si>
    <r>
      <t>广州合</t>
    </r>
    <r>
      <rPr>
        <sz val="11"/>
        <color theme="1"/>
        <rFont val="ＭＳ Ｐゴシック"/>
        <family val="3"/>
        <charset val="134"/>
        <scheme val="minor"/>
      </rPr>
      <t>颜</t>
    </r>
    <r>
      <rPr>
        <sz val="11"/>
        <color theme="1"/>
        <rFont val="ＭＳ Ｐゴシック"/>
        <family val="3"/>
        <charset val="128"/>
        <scheme val="minor"/>
      </rPr>
      <t>和美生物工程有限公司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</si>
  <si>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白干酒（中国白酒）;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白酒; 果酒（含酒精）; 利口酒; 开胃酒</t>
    </r>
  </si>
  <si>
    <t>江口醇 J 60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</si>
  <si>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利口酒; 白酒; 清酒（日本米酒）; 果酒（含酒精）; 葡萄酒</t>
    </r>
  </si>
  <si>
    <t>誉璟匠酒</t>
  </si>
  <si>
    <r>
      <t>李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波</t>
    </r>
  </si>
  <si>
    <r>
      <t>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露酒; 果酒（含酒精）; 食用酒精;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白酒;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</si>
  <si>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宛德美</t>
  </si>
  <si>
    <t>南阳市和善油脂食品有限公司</t>
  </si>
  <si>
    <r>
      <t xml:space="preserve">白酒; 米酒; 果酒（含酒精）;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利口酒; 黄酒; 葡萄酒</t>
    </r>
  </si>
  <si>
    <r>
      <t>巽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游</t>
    </r>
  </si>
  <si>
    <r>
      <t>果酒（含酒精）; 含酒精的气泡水;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</si>
  <si>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湖美</t>
    </r>
  </si>
  <si>
    <r>
      <t>美醉（武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）文化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</si>
  <si>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蒸煮提取物（利口酒和烈酒）;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蜂蜜酒; 开胃酒; 汽酒;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</si>
  <si>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OKH 欧</t>
    </r>
    <r>
      <rPr>
        <sz val="11"/>
        <color theme="1"/>
        <rFont val="ＭＳ Ｐゴシック"/>
        <family val="3"/>
        <charset val="134"/>
        <scheme val="minor"/>
      </rPr>
      <t>恺红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</si>
  <si>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州旺德包装印刷有限公司</t>
    </r>
  </si>
  <si>
    <r>
      <t xml:space="preserve">葡萄酒; 米酒;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苹果酒; 梨酒;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威士忌</t>
    </r>
  </si>
  <si>
    <r>
      <t>伯</t>
    </r>
    <r>
      <rPr>
        <sz val="11"/>
        <color theme="1"/>
        <rFont val="ＭＳ Ｐゴシック"/>
        <family val="3"/>
        <charset val="134"/>
        <scheme val="minor"/>
      </rPr>
      <t>伦贝尔</t>
    </r>
  </si>
  <si>
    <r>
      <t>连</t>
    </r>
    <r>
      <rPr>
        <sz val="11"/>
        <color theme="1"/>
        <rFont val="ＭＳ Ｐゴシック"/>
        <family val="3"/>
        <charset val="128"/>
        <scheme val="minor"/>
      </rPr>
      <t>云港市</t>
    </r>
    <r>
      <rPr>
        <sz val="11"/>
        <color theme="1"/>
        <rFont val="ＭＳ Ｐゴシック"/>
        <family val="3"/>
        <charset val="134"/>
        <scheme val="minor"/>
      </rPr>
      <t>伟</t>
    </r>
    <r>
      <rPr>
        <sz val="11"/>
        <color theme="1"/>
        <rFont val="ＭＳ Ｐゴシック"/>
        <family val="3"/>
        <charset val="128"/>
        <scheme val="minor"/>
      </rPr>
      <t>信</t>
    </r>
    <r>
      <rPr>
        <sz val="11"/>
        <color theme="1"/>
        <rFont val="ＭＳ Ｐゴシック"/>
        <family val="3"/>
        <charset val="134"/>
        <scheme val="minor"/>
      </rPr>
      <t>经贸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</si>
  <si>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朗姆酒; 葡萄酒; 清酒; 果酒（含酒精）; 米酒;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</t>
    </r>
  </si>
  <si>
    <r>
      <t>纪晓</t>
    </r>
    <r>
      <rPr>
        <sz val="11"/>
        <color theme="1"/>
        <rFont val="ＭＳ Ｐゴシック"/>
        <family val="3"/>
        <charset val="128"/>
        <scheme val="minor"/>
      </rPr>
      <t>咪</t>
    </r>
  </si>
  <si>
    <t>王国英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</si>
  <si>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利口酒; 白酒;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甜酒;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</si>
  <si>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沐</t>
    </r>
    <r>
      <rPr>
        <sz val="11"/>
        <color theme="1"/>
        <rFont val="ＭＳ Ｐゴシック"/>
        <family val="3"/>
        <charset val="134"/>
        <scheme val="minor"/>
      </rPr>
      <t>锐</t>
    </r>
    <r>
      <rPr>
        <sz val="11"/>
        <color theme="1"/>
        <rFont val="ＭＳ Ｐゴシック"/>
        <family val="3"/>
        <charset val="128"/>
        <scheme val="minor"/>
      </rPr>
      <t>煊城</t>
    </r>
  </si>
  <si>
    <r>
      <t>武安市山河酒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</si>
  <si>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苹果酒;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威士忌; 黄酒; 果酒（含酒精）; 葡萄酒; 利口酒; 米酒</t>
    </r>
  </si>
  <si>
    <t>花无崖</t>
  </si>
  <si>
    <r>
      <t>日照紫旭庄园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</si>
  <si>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黄酒; 高粱酒;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露酒; 米酒; 白酒;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</si>
  <si>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酤之韵</t>
  </si>
  <si>
    <r>
      <t>郑</t>
    </r>
    <r>
      <rPr>
        <sz val="11"/>
        <color theme="1"/>
        <rFont val="ＭＳ Ｐゴシック"/>
        <family val="3"/>
        <charset val="128"/>
        <scheme val="minor"/>
      </rPr>
      <t>州众天睿商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</si>
  <si>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开胃酒; 黄酒; 白酒; 酸酒（低等葡萄酒）;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汽酒</t>
    </r>
  </si>
  <si>
    <t>吾艾令</t>
  </si>
  <si>
    <r>
      <t>安徽古云</t>
    </r>
    <r>
      <rPr>
        <sz val="11"/>
        <color theme="1"/>
        <rFont val="ＭＳ Ｐゴシック"/>
        <family val="3"/>
        <charset val="134"/>
        <scheme val="minor"/>
      </rPr>
      <t>边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</si>
  <si>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黄酒; 开胃酒;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蒸煮提取物（利口酒和烈酒）;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</si>
  <si>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皖燕</t>
    </r>
    <r>
      <rPr>
        <sz val="11"/>
        <color theme="1"/>
        <rFont val="ＭＳ Ｐゴシック"/>
        <family val="3"/>
        <charset val="134"/>
        <scheme val="minor"/>
      </rPr>
      <t>饮</t>
    </r>
  </si>
  <si>
    <r>
      <t>合肥燕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堂酒店管理有限公司</t>
    </r>
  </si>
  <si>
    <r>
      <t>薄荷酒; 茴芹酒（利口酒）;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 xml:space="preserve">力酒; 苦味酒;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茴香酒（利口酒）; 苹果酒</t>
    </r>
  </si>
  <si>
    <t>MOSIIMORII</t>
  </si>
  <si>
    <r>
      <t>杭州炫奥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</si>
  <si>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葡萄酒;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</si>
  <si>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由威</t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</si>
  <si>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含酒精的气泡水;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</si>
  <si>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郡氿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</si>
  <si>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省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平</t>
    </r>
    <r>
      <rPr>
        <sz val="11"/>
        <color theme="1"/>
        <rFont val="ＭＳ Ｐゴシック"/>
        <family val="3"/>
        <charset val="134"/>
        <scheme val="minor"/>
      </rPr>
      <t>县鲁</t>
    </r>
    <r>
      <rPr>
        <sz val="11"/>
        <color theme="1"/>
        <rFont val="ＭＳ Ｐゴシック"/>
        <family val="3"/>
        <charset val="128"/>
        <scheme val="minor"/>
      </rPr>
      <t>泰阳光影</t>
    </r>
    <r>
      <rPr>
        <sz val="11"/>
        <color theme="1"/>
        <rFont val="ＭＳ Ｐゴシック"/>
        <family val="3"/>
        <charset val="134"/>
        <scheme val="minor"/>
      </rPr>
      <t>视传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</si>
  <si>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黄酒; 食用酒精;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</si>
  <si>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山沟小韵</t>
  </si>
  <si>
    <t>赵宪宾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</si>
  <si>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黄酒; 食用酒精;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</si>
  <si>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绵</t>
    </r>
    <r>
      <rPr>
        <sz val="11"/>
        <color theme="1"/>
        <rFont val="ＭＳ Ｐゴシック"/>
        <family val="3"/>
        <charset val="128"/>
        <scheme val="minor"/>
      </rPr>
      <t>亭</t>
    </r>
  </si>
  <si>
    <t>郭捷</t>
  </si>
  <si>
    <r>
      <t>清酒（日本米酒）;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高粱酒; 白干酒（中国白酒）; 日本梅子酒; 蒸煮提取物（利口酒和烈酒）; 果酒（含酒精）;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</si>
  <si>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謇</t>
    </r>
    <r>
      <rPr>
        <sz val="11"/>
        <color theme="1"/>
        <rFont val="ＭＳ Ｐゴシック"/>
        <family val="3"/>
        <charset val="134"/>
        <scheme val="minor"/>
      </rPr>
      <t>赐</t>
    </r>
    <r>
      <rPr>
        <sz val="11"/>
        <color theme="1"/>
        <rFont val="ＭＳ Ｐゴシック"/>
        <family val="3"/>
        <charset val="128"/>
        <scheme val="minor"/>
      </rPr>
      <t>福</t>
    </r>
  </si>
  <si>
    <r>
      <t>南通一箭工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</si>
  <si>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利口酒; 汽酒; 白酒; 高粱酒; 蜂蜜酒; 清酒（日本米酒）; 黄酒; 米酒; 果酒（含酒精）</t>
    </r>
  </si>
  <si>
    <t>超凡兔</t>
  </si>
  <si>
    <t>食尚金典（北京）文化科技有限公司</t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</si>
  <si>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白酒; 米酒; 葡萄酒</t>
    </r>
  </si>
  <si>
    <t>冰川峰</t>
  </si>
  <si>
    <r>
      <t>家道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(广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)健康科技有限公司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</si>
  <si>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蒸煮提取物（利口酒和烈酒）; 白干酒（中国白酒）; 米酒; 威士忌;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</si>
  <si>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r>
      <t>也七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品</t>
    </r>
  </si>
  <si>
    <r>
      <t>南安市也大七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</si>
  <si>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葡萄酒; 威士忌; 汽酒; 果酒（含酒精）;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</si>
  <si>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江口醇滴滴情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</si>
  <si>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清酒（日本米酒）;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果酒（含酒精）; 开胃酒; 利口酒</t>
    </r>
  </si>
  <si>
    <r>
      <t>荟</t>
    </r>
    <r>
      <rPr>
        <sz val="11"/>
        <color theme="1"/>
        <rFont val="ＭＳ Ｐゴシック"/>
        <family val="3"/>
        <charset val="128"/>
        <scheme val="minor"/>
      </rPr>
      <t>昌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</si>
  <si>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成都菜小二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</si>
  <si>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葡萄酒; 清酒; 果酒; 朗姆酒;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</t>
    </r>
  </si>
  <si>
    <t>照水</t>
  </si>
  <si>
    <t>刘洪</t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</si>
  <si>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蒸煮提取物（利口酒和烈酒）;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</si>
  <si>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安犇城</t>
  </si>
  <si>
    <r>
      <t>安徽徽之圩企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</si>
  <si>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果酒（含酒精）;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汽酒;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</si>
  <si>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威酌</t>
    </r>
    <r>
      <rPr>
        <sz val="11"/>
        <color theme="1"/>
        <rFont val="ＭＳ Ｐゴシック"/>
        <family val="3"/>
        <charset val="134"/>
        <scheme val="minor"/>
      </rPr>
      <t>岛</t>
    </r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</si>
  <si>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利口酒;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含酒精的气泡水;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</si>
  <si>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君逸玖和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</si>
  <si>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州君逸和康养运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</si>
  <si>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葡萄酒; 果酒（含酒精）;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</si>
  <si>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t>君可思</t>
  </si>
  <si>
    <r>
      <t>宜昌青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海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品有限公司</t>
    </r>
  </si>
  <si>
    <r>
      <t xml:space="preserve">白酒; 含酒精的气泡水;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威士忌; 黄酒; 米酒; 食用酒精</t>
    </r>
  </si>
  <si>
    <r>
      <t>宋天</t>
    </r>
    <r>
      <rPr>
        <sz val="11"/>
        <color theme="1"/>
        <rFont val="ＭＳ Ｐゴシック"/>
        <family val="3"/>
        <charset val="134"/>
        <scheme val="minor"/>
      </rPr>
      <t>时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</si>
  <si>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延</t>
    </r>
    <r>
      <rPr>
        <sz val="11"/>
        <color theme="1"/>
        <rFont val="ＭＳ Ｐゴシック"/>
        <family val="3"/>
        <charset val="134"/>
        <scheme val="minor"/>
      </rPr>
      <t>阁</t>
    </r>
  </si>
  <si>
    <r>
      <t>利口酒;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</si>
  <si>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京海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</si>
  <si>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黄</t>
    </r>
    <r>
      <rPr>
        <sz val="11"/>
        <color theme="1"/>
        <rFont val="ＭＳ Ｐゴシック"/>
        <family val="3"/>
        <charset val="134"/>
        <scheme val="minor"/>
      </rPr>
      <t>维</t>
    </r>
    <r>
      <rPr>
        <sz val="11"/>
        <color theme="1"/>
        <rFont val="ＭＳ Ｐゴシック"/>
        <family val="3"/>
        <charset val="128"/>
        <scheme val="minor"/>
      </rPr>
      <t>安</t>
    </r>
  </si>
  <si>
    <r>
      <t>果酒（含酒精）; 蜂蜜酒;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</si>
  <si>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谯</t>
    </r>
    <r>
      <rPr>
        <sz val="11"/>
        <color theme="1"/>
        <rFont val="ＭＳ Ｐゴシック"/>
        <family val="3"/>
        <charset val="128"/>
        <scheme val="minor"/>
      </rPr>
      <t>宇坤</t>
    </r>
  </si>
  <si>
    <r>
      <t>杭州宇坤会</t>
    </r>
    <r>
      <rPr>
        <sz val="11"/>
        <color theme="1"/>
        <rFont val="ＭＳ Ｐゴシック"/>
        <family val="3"/>
        <charset val="134"/>
        <scheme val="minor"/>
      </rPr>
      <t>议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</si>
  <si>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黄酒; 青稞酒; 葡萄酒</t>
    </r>
  </si>
  <si>
    <r>
      <t>津玊良</t>
    </r>
    <r>
      <rPr>
        <sz val="11"/>
        <color theme="1"/>
        <rFont val="ＭＳ Ｐゴシック"/>
        <family val="3"/>
        <charset val="134"/>
        <scheme val="minor"/>
      </rPr>
      <t>缘</t>
    </r>
  </si>
  <si>
    <r>
      <t>宁津泰达酒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</si>
  <si>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</si>
  <si>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溥莘</t>
  </si>
  <si>
    <r>
      <t>上海澄穆</t>
    </r>
    <r>
      <rPr>
        <sz val="11"/>
        <color theme="1"/>
        <rFont val="ＭＳ Ｐゴシック"/>
        <family val="3"/>
        <charset val="134"/>
        <scheme val="minor"/>
      </rPr>
      <t>实业发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</si>
  <si>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伏特加酒</t>
    </r>
  </si>
  <si>
    <t>杏粹朝</t>
  </si>
  <si>
    <r>
      <t>鲁</t>
    </r>
    <r>
      <rPr>
        <sz val="11"/>
        <color theme="1"/>
        <rFont val="ＭＳ Ｐゴシック"/>
        <family val="3"/>
        <charset val="128"/>
        <scheme val="minor"/>
      </rPr>
      <t>欣雨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</si>
  <si>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白酒; 黄酒</t>
    </r>
  </si>
  <si>
    <r>
      <t>抚</t>
    </r>
    <r>
      <rPr>
        <sz val="11"/>
        <color theme="1"/>
        <rFont val="ＭＳ Ｐゴシック"/>
        <family val="3"/>
        <charset val="128"/>
        <scheme val="minor"/>
      </rPr>
      <t>琴吟</t>
    </r>
  </si>
  <si>
    <t>王彩霞</t>
  </si>
  <si>
    <r>
      <t>白酒; 食用酒精; 汽酒; 米酒; 蒸煮提取物（利口酒和烈酒）;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葡萄酒; 烈酒; 果酒</t>
    </r>
  </si>
  <si>
    <r>
      <t>岱</t>
    </r>
    <r>
      <rPr>
        <sz val="11"/>
        <color theme="1"/>
        <rFont val="ＭＳ Ｐゴシック"/>
        <family val="3"/>
        <charset val="134"/>
        <scheme val="minor"/>
      </rPr>
      <t>鳌龙</t>
    </r>
  </si>
  <si>
    <r>
      <t>安徽岱</t>
    </r>
    <r>
      <rPr>
        <sz val="11"/>
        <color theme="1"/>
        <rFont val="ＭＳ Ｐゴシック"/>
        <family val="3"/>
        <charset val="134"/>
        <scheme val="minor"/>
      </rPr>
      <t>鳌</t>
    </r>
    <r>
      <rPr>
        <sz val="11"/>
        <color theme="1"/>
        <rFont val="ＭＳ Ｐゴシック"/>
        <family val="3"/>
        <charset val="128"/>
        <scheme val="minor"/>
      </rPr>
      <t>山文化旅游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</si>
  <si>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蜂蜜酒; 黄酒; 白酒; 果酒（含酒精）;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</t>
    </r>
  </si>
  <si>
    <r>
      <t>州匠</t>
    </r>
    <r>
      <rPr>
        <sz val="11"/>
        <color theme="1"/>
        <rFont val="ＭＳ Ｐゴシック"/>
        <family val="3"/>
        <charset val="134"/>
        <scheme val="minor"/>
      </rPr>
      <t>标样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</si>
  <si>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州粹匠酒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</si>
  <si>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高粱酒</t>
    </r>
  </si>
  <si>
    <r>
      <t>缑</t>
    </r>
    <r>
      <rPr>
        <sz val="11"/>
        <color theme="1"/>
        <rFont val="ＭＳ Ｐゴシック"/>
        <family val="3"/>
        <charset val="128"/>
        <scheme val="minor"/>
      </rPr>
      <t>城</t>
    </r>
    <r>
      <rPr>
        <sz val="11"/>
        <color theme="1"/>
        <rFont val="ＭＳ Ｐゴシック"/>
        <family val="3"/>
        <charset val="134"/>
        <scheme val="minor"/>
      </rPr>
      <t>忆</t>
    </r>
  </si>
  <si>
    <r>
      <t>宁海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文化旅游集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</si>
  <si>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果酒; 食用酒精;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甜酒</t>
    </r>
  </si>
  <si>
    <r>
      <t>贵师</t>
    </r>
    <r>
      <rPr>
        <sz val="11"/>
        <color theme="1"/>
        <rFont val="ＭＳ Ｐゴシック"/>
        <family val="3"/>
        <charset val="128"/>
        <scheme val="minor"/>
      </rPr>
      <t>酒庄</t>
    </r>
  </si>
  <si>
    <r>
      <t>深圳市博海供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管理股份公司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</si>
  <si>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苹果酒;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餐后酒（利口酒和烈酒）; 葡萄酒; 露酒</t>
    </r>
  </si>
  <si>
    <t>博海荣耀</t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</si>
  <si>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餐后酒（利口酒和烈酒）;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白酒; 露酒; 苹果酒</t>
    </r>
  </si>
  <si>
    <t>云儿湾</t>
  </si>
  <si>
    <r>
      <t>青海云儿湾酒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</si>
  <si>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白酒; 葡萄酒; 白干酒（中国白酒）;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青稞酒; 果酒; 高粱酒</t>
    </r>
  </si>
  <si>
    <r>
      <t>程阿幼</t>
    </r>
    <r>
      <rPr>
        <sz val="11"/>
        <color theme="1"/>
        <rFont val="ＭＳ Ｐゴシック"/>
        <family val="3"/>
        <charset val="134"/>
        <scheme val="minor"/>
      </rPr>
      <t>凤</t>
    </r>
  </si>
  <si>
    <t>广州黔草堂生物科技有限公司</t>
  </si>
  <si>
    <r>
      <t xml:space="preserve">果酒（含酒精）; 黄酒; 米酒;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开胃酒; 葡萄酒; 利口酒</t>
    </r>
  </si>
  <si>
    <t>文武醉候</t>
  </si>
  <si>
    <r>
      <t>云南国恩企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</si>
  <si>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米酒;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威士忌;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</si>
  <si>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t>傅食</t>
  </si>
  <si>
    <t>傅小松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</si>
  <si>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苹果酒;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</si>
  <si>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惠窖邦</t>
  </si>
  <si>
    <r>
      <t>刘</t>
    </r>
    <r>
      <rPr>
        <sz val="11"/>
        <color theme="1"/>
        <rFont val="ＭＳ Ｐゴシック"/>
        <family val="3"/>
        <charset val="134"/>
        <scheme val="minor"/>
      </rPr>
      <t>畅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</si>
  <si>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高粱酒;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葡萄酒; 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</si>
  <si>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r>
      <t>贵师</t>
    </r>
    <r>
      <rPr>
        <sz val="11"/>
        <color theme="1"/>
        <rFont val="ＭＳ Ｐゴシック"/>
        <family val="3"/>
        <charset val="128"/>
        <scheme val="minor"/>
      </rPr>
      <t>韵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</si>
  <si>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>露酒; 苹果酒; 葡萄酒; 餐后酒（利口酒和烈酒）;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果酒（含酒精）;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</si>
  <si>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藏禄台</t>
  </si>
  <si>
    <t>刘彪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</si>
  <si>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高粱酒;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米酒; 黄酒</t>
    </r>
  </si>
  <si>
    <r>
      <t>迈</t>
    </r>
    <r>
      <rPr>
        <sz val="11"/>
        <color theme="1"/>
        <rFont val="ＭＳ Ｐゴシック"/>
        <family val="3"/>
        <charset val="128"/>
        <scheme val="minor"/>
      </rPr>
      <t>吉很吉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</si>
  <si>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东迈</t>
    </r>
    <r>
      <rPr>
        <sz val="11"/>
        <color theme="1"/>
        <rFont val="ＭＳ Ｐゴシック"/>
        <family val="3"/>
        <charset val="128"/>
        <scheme val="minor"/>
      </rPr>
      <t>豆广告有限公司</t>
    </r>
  </si>
  <si>
    <r>
      <t>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开胃酒;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</si>
  <si>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r>
      <t>琴</t>
    </r>
    <r>
      <rPr>
        <sz val="11"/>
        <color theme="1"/>
        <rFont val="ＭＳ Ｐゴシック"/>
        <family val="3"/>
        <charset val="134"/>
        <scheme val="minor"/>
      </rPr>
      <t>箫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</si>
  <si>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烈酒; 果酒; 葡萄酒; 食用酒精;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蒸煮提取物（利口酒和烈酒）; 汽酒; 黄酒; 白酒</t>
    </r>
  </si>
  <si>
    <t>公侯将晋酒</t>
  </si>
  <si>
    <r>
      <t>果酒; 食用酒精;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蒸煮提取物（利口酒和烈酒）; 黄酒; 米酒; 葡萄酒; 烈酒; 汽酒</t>
    </r>
  </si>
  <si>
    <r>
      <t>窖父窖</t>
    </r>
    <r>
      <rPr>
        <sz val="11"/>
        <color theme="1"/>
        <rFont val="ＭＳ Ｐゴシック"/>
        <family val="3"/>
        <charset val="134"/>
        <scheme val="minor"/>
      </rPr>
      <t>玺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</si>
  <si>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赖</t>
    </r>
    <r>
      <rPr>
        <sz val="11"/>
        <color theme="1"/>
        <rFont val="ＭＳ Ｐゴシック"/>
        <family val="3"/>
        <charset val="128"/>
        <scheme val="minor"/>
      </rPr>
      <t>族酒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</si>
  <si>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伏特加酒;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朗姆酒; 威士忌; 青稞酒; 白酒</t>
    </r>
  </si>
  <si>
    <r>
      <t>煞</t>
    </r>
    <r>
      <rPr>
        <sz val="11"/>
        <color theme="1"/>
        <rFont val="ＭＳ Ｐゴシック"/>
        <family val="3"/>
        <charset val="134"/>
        <scheme val="minor"/>
      </rPr>
      <t>贡员</t>
    </r>
    <r>
      <rPr>
        <sz val="11"/>
        <color theme="1"/>
        <rFont val="ＭＳ Ｐゴシック"/>
        <family val="3"/>
        <charset val="128"/>
        <scheme val="minor"/>
      </rPr>
      <t>台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</si>
  <si>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煞</t>
    </r>
    <r>
      <rPr>
        <sz val="11"/>
        <color theme="1"/>
        <rFont val="ＭＳ Ｐゴシック"/>
        <family val="3"/>
        <charset val="134"/>
        <scheme val="minor"/>
      </rPr>
      <t>贡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</si>
  <si>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酸酒（低等葡萄酒）</t>
    </r>
  </si>
  <si>
    <t>梦都中</t>
  </si>
  <si>
    <t>周翠翠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</si>
  <si>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</si>
  <si>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r>
      <t>汶尚</t>
    </r>
    <r>
      <rPr>
        <sz val="11"/>
        <color theme="1"/>
        <rFont val="ＭＳ Ｐゴシック"/>
        <family val="3"/>
        <charset val="134"/>
        <scheme val="minor"/>
      </rPr>
      <t>缘</t>
    </r>
  </si>
  <si>
    <r>
      <t>食用酒精;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</si>
  <si>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杏江淮</t>
  </si>
  <si>
    <r>
      <t>张</t>
    </r>
    <r>
      <rPr>
        <sz val="11"/>
        <color theme="1"/>
        <rFont val="ＭＳ Ｐゴシック"/>
        <family val="3"/>
        <charset val="128"/>
        <scheme val="minor"/>
      </rPr>
      <t>阳</t>
    </r>
  </si>
  <si>
    <r>
      <t>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高粱酒;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白酒</t>
    </r>
  </si>
  <si>
    <r>
      <t>蕴蒖</t>
    </r>
    <r>
      <rPr>
        <sz val="11"/>
        <color theme="1"/>
        <rFont val="ＭＳ Ｐゴシック"/>
        <family val="3"/>
        <charset val="128"/>
        <scheme val="minor"/>
      </rPr>
      <t>虂</t>
    </r>
  </si>
  <si>
    <r>
      <t>延</t>
    </r>
    <r>
      <rPr>
        <sz val="11"/>
        <color theme="1"/>
        <rFont val="ＭＳ Ｐゴシック"/>
        <family val="3"/>
        <charset val="134"/>
        <scheme val="minor"/>
      </rPr>
      <t>边</t>
    </r>
    <r>
      <rPr>
        <sz val="11"/>
        <color theme="1"/>
        <rFont val="ＭＳ Ｐゴシック"/>
        <family val="3"/>
        <charset val="128"/>
        <scheme val="minor"/>
      </rPr>
      <t>嘉燕国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</si>
  <si>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葡萄酒; 清酒; 米酒; 威士忌;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</si>
  <si>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盈樽郁</t>
  </si>
  <si>
    <r>
      <t>中山市盈樽商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</si>
  <si>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蒸煮提取物（利口酒和烈酒）; 利口酒;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</si>
  <si>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精</t>
    </r>
    <r>
      <rPr>
        <sz val="11"/>
        <color theme="1"/>
        <rFont val="ＭＳ Ｐゴシック"/>
        <family val="3"/>
        <charset val="134"/>
        <scheme val="minor"/>
      </rPr>
      <t>靓</t>
    </r>
    <r>
      <rPr>
        <sz val="11"/>
        <color theme="1"/>
        <rFont val="ＭＳ Ｐゴシック"/>
        <family val="3"/>
        <charset val="128"/>
        <scheme val="minor"/>
      </rPr>
      <t>臻品</t>
    </r>
  </si>
  <si>
    <t>卢亚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</si>
  <si>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</si>
  <si>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r>
      <t>大</t>
    </r>
    <r>
      <rPr>
        <sz val="11"/>
        <color theme="1"/>
        <rFont val="ＭＳ Ｐゴシック"/>
        <family val="3"/>
        <charset val="134"/>
        <scheme val="minor"/>
      </rPr>
      <t>贤</t>
    </r>
    <r>
      <rPr>
        <sz val="11"/>
        <color theme="1"/>
        <rFont val="ＭＳ Ｐゴシック"/>
        <family val="3"/>
        <charset val="128"/>
        <scheme val="minor"/>
      </rPr>
      <t>吟</t>
    </r>
  </si>
  <si>
    <r>
      <t>葡萄酒; 汽酒; 黄酒; 食用酒精; 蒸煮提取物（利口酒和烈酒）; 米酒; 果酒; 烈酒;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</si>
  <si>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行</t>
    </r>
  </si>
  <si>
    <r>
      <t>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白酒; 汽酒; 蒸煮提取物（利口酒和烈酒）; 黄酒; 葡萄酒; 食用酒精; 烈酒</t>
    </r>
  </si>
  <si>
    <t>气功熊猫</t>
  </si>
  <si>
    <r>
      <t>中</t>
    </r>
    <r>
      <rPr>
        <sz val="11"/>
        <color theme="1"/>
        <rFont val="ＭＳ Ｐゴシック"/>
        <family val="3"/>
        <charset val="134"/>
        <scheme val="minor"/>
      </rPr>
      <t>视</t>
    </r>
    <r>
      <rPr>
        <sz val="11"/>
        <color theme="1"/>
        <rFont val="ＭＳ Ｐゴシック"/>
        <family val="3"/>
        <charset val="128"/>
        <scheme val="minor"/>
      </rPr>
      <t>熊猫控股有限公司</t>
    </r>
  </si>
  <si>
    <r>
      <t>朗姆酒;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葡萄酒; 蜂蜜酒;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</si>
  <si>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优</t>
    </r>
    <r>
      <rPr>
        <sz val="11"/>
        <color theme="1"/>
        <rFont val="ＭＳ Ｐゴシック"/>
        <family val="3"/>
        <charset val="128"/>
        <scheme val="minor"/>
      </rPr>
      <t>享</t>
    </r>
    <r>
      <rPr>
        <sz val="11"/>
        <color theme="1"/>
        <rFont val="ＭＳ Ｐゴシック"/>
        <family val="3"/>
        <charset val="134"/>
        <scheme val="minor"/>
      </rPr>
      <t>顶</t>
    </r>
  </si>
  <si>
    <r>
      <t>谢</t>
    </r>
    <r>
      <rPr>
        <sz val="11"/>
        <color theme="1"/>
        <rFont val="ＭＳ Ｐゴシック"/>
        <family val="3"/>
        <charset val="128"/>
        <scheme val="minor"/>
      </rPr>
      <t>建</t>
    </r>
    <r>
      <rPr>
        <sz val="11"/>
        <color theme="1"/>
        <rFont val="ＭＳ Ｐゴシック"/>
        <family val="3"/>
        <charset val="134"/>
        <scheme val="minor"/>
      </rPr>
      <t>杨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</si>
  <si>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白酒; 蜂蜜酒; 果酒（含酒精）; 食用酒精;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米酒</t>
    </r>
  </si>
  <si>
    <t>太液湖</t>
  </si>
  <si>
    <r>
      <t>云南妙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</si>
  <si>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米酒;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苹果酒;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烈性干酒;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</si>
  <si>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仁密</t>
  </si>
  <si>
    <r>
      <t>屈耿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</si>
  <si>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 xml:space="preserve">黄酒; 开胃酒; 清酒（日本米酒）;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梨酒; 米酒; 白酒; 青稞酒; 葡萄酒</t>
    </r>
  </si>
  <si>
    <t>柔密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</si>
  <si>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梨酒; 青稞酒; 黄酒; 开胃酒; 利口酒; 米酒; 清酒（日本米酒）</t>
    </r>
  </si>
  <si>
    <r>
      <t>船</t>
    </r>
    <r>
      <rPr>
        <sz val="11"/>
        <color theme="1"/>
        <rFont val="ＭＳ Ｐゴシック"/>
        <family val="3"/>
        <charset val="134"/>
        <scheme val="minor"/>
      </rPr>
      <t>锦资</t>
    </r>
    <r>
      <rPr>
        <sz val="11"/>
        <color theme="1"/>
        <rFont val="ＭＳ Ｐゴシック"/>
        <family val="3"/>
        <charset val="128"/>
        <scheme val="minor"/>
      </rPr>
      <t>州宴</t>
    </r>
  </si>
  <si>
    <r>
      <t>四川船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蓉和餐</t>
    </r>
    <r>
      <rPr>
        <sz val="11"/>
        <color theme="1"/>
        <rFont val="ＭＳ Ｐゴシック"/>
        <family val="3"/>
        <charset val="134"/>
        <scheme val="minor"/>
      </rPr>
      <t>饮娱乐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</si>
  <si>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烈酒; 葡萄酒;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食用酒精; 果酒（含酒精）; 白酒; 蒸煮提取物（利口酒和烈酒）</t>
    </r>
  </si>
  <si>
    <r>
      <t>喜君</t>
    </r>
    <r>
      <rPr>
        <sz val="11"/>
        <color theme="1"/>
        <rFont val="ＭＳ Ｐゴシック"/>
        <family val="3"/>
        <charset val="134"/>
        <scheme val="minor"/>
      </rPr>
      <t>涧</t>
    </r>
  </si>
  <si>
    <r>
      <t xml:space="preserve">高粱酒;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</si>
  <si>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贵师</t>
    </r>
    <r>
      <rPr>
        <sz val="11"/>
        <color theme="1"/>
        <rFont val="ＭＳ Ｐゴシック"/>
        <family val="3"/>
        <charset val="128"/>
        <scheme val="minor"/>
      </rPr>
      <t>年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</si>
  <si>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露酒; 苹果酒; 米酒; 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</si>
  <si>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一心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</si>
  <si>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泸</t>
    </r>
    <r>
      <rPr>
        <sz val="11"/>
        <color theme="1"/>
        <rFont val="ＭＳ Ｐゴシック"/>
        <family val="3"/>
        <charset val="128"/>
        <scheme val="minor"/>
      </rPr>
      <t>一心酒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</si>
  <si>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苦味酒; 食用酒精;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蒸煮提取物（利口酒和烈酒）</t>
    </r>
  </si>
  <si>
    <t>樽行径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</si>
  <si>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州一品樽商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</si>
  <si>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白干酒（中国白酒）;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白酒</t>
    </r>
  </si>
  <si>
    <t>君台·原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</si>
  <si>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州君台厚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</si>
  <si>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朗姆酒;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</si>
  <si>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藏</t>
    </r>
    <r>
      <rPr>
        <sz val="11"/>
        <color theme="1"/>
        <rFont val="ＭＳ Ｐゴシック"/>
        <family val="3"/>
        <charset val="134"/>
        <scheme val="minor"/>
      </rPr>
      <t>壶玺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</si>
  <si>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安波</t>
    </r>
  </si>
  <si>
    <r>
      <t>白酒; 果酒（含酒精）; 高粱酒;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黄酒</t>
    </r>
  </si>
  <si>
    <r>
      <t>贵师</t>
    </r>
    <r>
      <rPr>
        <sz val="11"/>
        <color theme="1"/>
        <rFont val="ＭＳ Ｐゴシック"/>
        <family val="3"/>
        <charset val="128"/>
        <scheme val="minor"/>
      </rPr>
      <t>礼</t>
    </r>
    <r>
      <rPr>
        <sz val="11"/>
        <color theme="1"/>
        <rFont val="ＭＳ Ｐゴシック"/>
        <family val="3"/>
        <charset val="134"/>
        <scheme val="minor"/>
      </rPr>
      <t>宾</t>
    </r>
  </si>
  <si>
    <r>
      <t>餐后酒（利口酒和烈酒）;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苹果酒;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露酒</t>
    </r>
  </si>
  <si>
    <t>九仙笑</t>
  </si>
  <si>
    <t>深圳市德聚宝科技有限公司</t>
  </si>
  <si>
    <r>
      <t xml:space="preserve">葡萄酒; 白酒; 果酒（含酒精）;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汽酒; 蜂蜜酒;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</si>
  <si>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微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增福</t>
    </r>
  </si>
  <si>
    <r>
      <t>深圳市微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信用支付科技有限公司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</si>
  <si>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伏特加酒; 清酒;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朗姆酒;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果酒（含酒精）</t>
    </r>
  </si>
  <si>
    <r>
      <t>传</t>
    </r>
    <r>
      <rPr>
        <sz val="11"/>
        <color theme="1"/>
        <rFont val="ＭＳ Ｐゴシック"/>
        <family val="3"/>
        <charset val="128"/>
        <scheme val="minor"/>
      </rPr>
      <t>奇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将</t>
    </r>
  </si>
  <si>
    <r>
      <t>欧阳双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</si>
  <si>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黄酒; 甜酒; 米酒; 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烈酒;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白酒</t>
    </r>
  </si>
  <si>
    <t>文醉候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</si>
  <si>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威士忌; 白酒</t>
    </r>
  </si>
  <si>
    <t>息洲喜园</t>
  </si>
  <si>
    <t>李园园</t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</si>
  <si>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含酒精的气泡水;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</si>
  <si>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r>
      <t>上海</t>
    </r>
    <r>
      <rPr>
        <sz val="11"/>
        <color theme="1"/>
        <rFont val="ＭＳ Ｐゴシック"/>
        <family val="3"/>
        <charset val="134"/>
        <scheme val="minor"/>
      </rPr>
      <t>莲晓</t>
    </r>
    <r>
      <rPr>
        <sz val="11"/>
        <color theme="1"/>
        <rFont val="ＭＳ Ｐゴシック"/>
        <family val="3"/>
        <charset val="128"/>
        <scheme val="minor"/>
      </rPr>
      <t>健康科技集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</si>
  <si>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甜果酒;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甜酒; 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</si>
  <si>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r>
      <t>友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食所</t>
    </r>
  </si>
  <si>
    <t>高晶晶</t>
  </si>
  <si>
    <r>
      <t>清酒; 日本梅子酒; 米酒; 白酒; 朗姆酒;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日式甜米酒; 果酒（含酒精）</t>
    </r>
  </si>
  <si>
    <r>
      <t>筑音台</t>
    </r>
    <r>
      <rPr>
        <sz val="11"/>
        <color theme="1"/>
        <rFont val="ＭＳ Ｐゴシック"/>
        <family val="3"/>
        <charset val="134"/>
        <scheme val="minor"/>
      </rPr>
      <t>标样</t>
    </r>
  </si>
  <si>
    <r>
      <t>高粱酒; 白干酒（中国白酒）;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</si>
  <si>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富</t>
    </r>
    <r>
      <rPr>
        <sz val="11"/>
        <color theme="1"/>
        <rFont val="ＭＳ Ｐゴシック"/>
        <family val="3"/>
        <charset val="134"/>
        <scheme val="minor"/>
      </rPr>
      <t>贵岁</t>
    </r>
    <r>
      <rPr>
        <sz val="11"/>
        <color theme="1"/>
        <rFont val="ＭＳ Ｐゴシック"/>
        <family val="3"/>
        <charset val="128"/>
        <scheme val="minor"/>
      </rPr>
      <t>月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</si>
  <si>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青稞酒; 烈酒; 葡萄酒; 米酒;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甜酒; 白酒</t>
    </r>
  </si>
  <si>
    <t>金六彩</t>
  </si>
  <si>
    <r>
      <t>新疆伊小柔酒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</si>
  <si>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开胃酒; 米酒;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汽酒; 苹果酒; 利口酒;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</si>
  <si>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兜耀</t>
  </si>
  <si>
    <t>沈裕</t>
  </si>
  <si>
    <r>
      <t>朗姆酒; 伏特加酒;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白酒; 食用酒精;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烈酒; 黄酒</t>
    </r>
  </si>
  <si>
    <r>
      <t>和心</t>
    </r>
    <r>
      <rPr>
        <sz val="11"/>
        <color theme="1"/>
        <rFont val="ＭＳ Ｐゴシック"/>
        <family val="3"/>
        <charset val="134"/>
        <scheme val="minor"/>
      </rPr>
      <t>亿</t>
    </r>
  </si>
  <si>
    <r>
      <t>四川和心</t>
    </r>
    <r>
      <rPr>
        <sz val="11"/>
        <color theme="1"/>
        <rFont val="ＭＳ Ｐゴシック"/>
        <family val="3"/>
        <charset val="134"/>
        <scheme val="minor"/>
      </rPr>
      <t>亿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</si>
  <si>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酸酒（低等葡萄酒）;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</si>
  <si>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t>海大欧壹</t>
  </si>
  <si>
    <r>
      <t>金</t>
    </r>
    <r>
      <rPr>
        <sz val="11"/>
        <color theme="1"/>
        <rFont val="ＭＳ Ｐゴシック"/>
        <family val="3"/>
        <charset val="134"/>
        <scheme val="minor"/>
      </rPr>
      <t>诚</t>
    </r>
    <r>
      <rPr>
        <sz val="11"/>
        <color theme="1"/>
        <rFont val="ＭＳ Ｐゴシック"/>
        <family val="3"/>
        <charset val="128"/>
        <scheme val="minor"/>
      </rPr>
      <t>（</t>
    </r>
    <r>
      <rPr>
        <sz val="11"/>
        <color theme="1"/>
        <rFont val="ＭＳ Ｐゴシック"/>
        <family val="3"/>
        <charset val="134"/>
        <scheme val="minor"/>
      </rPr>
      <t>远东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</si>
  <si>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伏特加酒; 青稞酒; 果酒; 葡萄酒; 白酒; 威士忌; 米酒; 黄酒</t>
    </r>
  </si>
  <si>
    <t>君台·初</t>
  </si>
  <si>
    <r>
      <t xml:space="preserve">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朗姆酒;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</si>
  <si>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巴渝瓦肆</t>
  </si>
  <si>
    <r>
      <t>河南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</si>
  <si>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 xml:space="preserve">葡萄酒; 果酒; 汽酒; 白酒; 烈酒; 露酒;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清酒</t>
    </r>
  </si>
  <si>
    <r>
      <t>金黄</t>
    </r>
    <r>
      <rPr>
        <sz val="11"/>
        <color theme="1"/>
        <rFont val="ＭＳ Ｐゴシック"/>
        <family val="3"/>
        <charset val="134"/>
        <scheme val="minor"/>
      </rPr>
      <t>鹂</t>
    </r>
    <r>
      <rPr>
        <sz val="11"/>
        <color theme="1"/>
        <rFont val="ＭＳ Ｐゴシック"/>
        <family val="3"/>
        <charset val="128"/>
        <scheme val="minor"/>
      </rPr>
      <t>庄园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</si>
  <si>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澳</t>
    </r>
    <r>
      <rPr>
        <sz val="11"/>
        <color theme="1"/>
        <rFont val="ＭＳ Ｐゴシック"/>
        <family val="3"/>
        <charset val="134"/>
        <scheme val="minor"/>
      </rPr>
      <t>兰顿</t>
    </r>
    <r>
      <rPr>
        <sz val="11"/>
        <color theme="1"/>
        <rFont val="ＭＳ Ｐゴシック"/>
        <family val="3"/>
        <charset val="128"/>
        <scheme val="minor"/>
      </rPr>
      <t>酒庄有限公司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</si>
  <si>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伏特加酒; 黄酒; 威士忌;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</si>
  <si>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贡</t>
    </r>
    <r>
      <rPr>
        <sz val="11"/>
        <color theme="1"/>
        <rFont val="ＭＳ Ｐゴシック"/>
        <family val="3"/>
        <charset val="128"/>
        <scheme val="minor"/>
      </rPr>
      <t>列窖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</si>
  <si>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高粱酒;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米酒; 白酒; 果酒（含酒精）</t>
    </r>
  </si>
  <si>
    <t>首倡哥妹</t>
  </si>
  <si>
    <r>
      <t>湖南十八洞村集体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</si>
  <si>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烈酒; 伏特加酒; 葡萄酒; 蒸煮提取物（利口酒和烈酒）; 白酒; 威士忌; 食用酒精;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</si>
  <si>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敬亭吟</t>
  </si>
  <si>
    <r>
      <t>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蒸煮提取物（利口酒和烈酒）; 汽酒; 黄酒; 果酒; 烈酒; 食用酒精; 米酒; 葡萄酒</t>
    </r>
  </si>
  <si>
    <r>
      <t>飞</t>
    </r>
    <r>
      <rPr>
        <sz val="11"/>
        <color theme="1"/>
        <rFont val="ＭＳ Ｐゴシック"/>
        <family val="3"/>
        <charset val="128"/>
        <scheme val="minor"/>
      </rPr>
      <t>小竹</t>
    </r>
  </si>
  <si>
    <t>吴端位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</si>
  <si>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开胃酒; 蜂蜜酒; 葡萄酒; 果酒（含酒精）; 清酒（日本米酒）;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</si>
  <si>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众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寰宇</t>
    </r>
  </si>
  <si>
    <r>
      <t>银</t>
    </r>
    <r>
      <rPr>
        <sz val="11"/>
        <color theme="1"/>
        <rFont val="ＭＳ Ｐゴシック"/>
        <family val="3"/>
        <charset val="128"/>
        <scheme val="minor"/>
      </rPr>
      <t>川众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大健康</t>
    </r>
    <r>
      <rPr>
        <sz val="11"/>
        <color theme="1"/>
        <rFont val="ＭＳ Ｐゴシック"/>
        <family val="3"/>
        <charset val="134"/>
        <scheme val="minor"/>
      </rPr>
      <t>产业发</t>
    </r>
    <r>
      <rPr>
        <sz val="11"/>
        <color theme="1"/>
        <rFont val="ＭＳ Ｐゴシック"/>
        <family val="3"/>
        <charset val="128"/>
        <scheme val="minor"/>
      </rPr>
      <t>展集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</si>
  <si>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清酒（日本米酒）;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米酒; 威士忌;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</si>
  <si>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向</t>
    </r>
    <r>
      <rPr>
        <sz val="11"/>
        <color theme="1"/>
        <rFont val="ＭＳ Ｐゴシック"/>
        <family val="3"/>
        <charset val="134"/>
        <scheme val="minor"/>
      </rPr>
      <t>顺烧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</si>
  <si>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文翔</t>
    </r>
  </si>
  <si>
    <r>
      <t>餐后酒（利口酒和烈酒）;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黄酒; 白酒; 果酒（含酒精）</t>
    </r>
  </si>
  <si>
    <r>
      <t>贡</t>
    </r>
    <r>
      <rPr>
        <sz val="11"/>
        <color theme="1"/>
        <rFont val="ＭＳ Ｐゴシック"/>
        <family val="3"/>
        <charset val="128"/>
        <scheme val="minor"/>
      </rPr>
      <t>喜梁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</si>
  <si>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</t>
    </r>
  </si>
  <si>
    <r>
      <t>龙</t>
    </r>
    <r>
      <rPr>
        <sz val="11"/>
        <color theme="1"/>
        <rFont val="ＭＳ Ｐゴシック"/>
        <family val="3"/>
        <charset val="129"/>
        <scheme val="minor"/>
      </rPr>
      <t>龘</t>
    </r>
    <r>
      <rPr>
        <sz val="11"/>
        <color theme="1"/>
        <rFont val="ＭＳ Ｐゴシック"/>
        <family val="3"/>
        <charset val="128"/>
        <scheme val="minor"/>
      </rPr>
      <t>湾</t>
    </r>
  </si>
  <si>
    <r>
      <t>武夷山百越春茶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</si>
  <si>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蒸煮提取物（利口酒和烈酒）;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苦味酒; 食用酒精; 苹果酒; 白酒</t>
    </r>
  </si>
  <si>
    <t>霸天鹿</t>
  </si>
  <si>
    <r>
      <t>颜</t>
    </r>
    <r>
      <rPr>
        <sz val="11"/>
        <color theme="1"/>
        <rFont val="ＭＳ Ｐゴシック"/>
        <family val="3"/>
        <charset val="128"/>
        <scheme val="minor"/>
      </rPr>
      <t>杰</t>
    </r>
  </si>
  <si>
    <r>
      <t>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蜂蜜酒;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开胃酒; 白酒</t>
    </r>
  </si>
  <si>
    <t>福泰茂</t>
  </si>
  <si>
    <r>
      <t>南通深</t>
    </r>
    <r>
      <rPr>
        <sz val="11"/>
        <color theme="1"/>
        <rFont val="ＭＳ Ｐゴシック"/>
        <family val="3"/>
        <charset val="134"/>
        <scheme val="minor"/>
      </rPr>
      <t>蓝</t>
    </r>
    <r>
      <rPr>
        <sz val="11"/>
        <color theme="1"/>
        <rFont val="ＭＳ Ｐゴシック"/>
        <family val="3"/>
        <charset val="128"/>
        <scheme val="minor"/>
      </rPr>
      <t>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</si>
  <si>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果酒（含酒精）; 米酒; 葡萄酒; 黄酒; 白干酒（中国白酒）;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</t>
    </r>
  </si>
  <si>
    <r>
      <t>锦</t>
    </r>
    <r>
      <rPr>
        <sz val="11"/>
        <color theme="1"/>
        <rFont val="ＭＳ Ｐゴシック"/>
        <family val="3"/>
        <charset val="128"/>
        <scheme val="minor"/>
      </rPr>
      <t>悦和</t>
    </r>
  </si>
  <si>
    <t>携泰健康科技股份有限公司</t>
  </si>
  <si>
    <r>
      <t>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米酒; 果酒（含酒精）; 含酒精的气泡水;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</t>
    </r>
  </si>
  <si>
    <r>
      <t>有</t>
    </r>
    <r>
      <rPr>
        <sz val="11"/>
        <color theme="1"/>
        <rFont val="ＭＳ Ｐゴシック"/>
        <family val="3"/>
        <charset val="134"/>
        <scheme val="minor"/>
      </rPr>
      <t>鳌</t>
    </r>
  </si>
  <si>
    <r>
      <t>赣</t>
    </r>
    <r>
      <rPr>
        <sz val="11"/>
        <color theme="1"/>
        <rFont val="ＭＳ Ｐゴシック"/>
        <family val="3"/>
        <charset val="129"/>
        <scheme val="minor"/>
      </rPr>
      <t>榆</t>
    </r>
    <r>
      <rPr>
        <sz val="11"/>
        <color theme="1"/>
        <rFont val="ＭＳ Ｐゴシック"/>
        <family val="3"/>
        <charset val="128"/>
        <scheme val="minor"/>
      </rPr>
      <t>区青口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有</t>
    </r>
    <r>
      <rPr>
        <sz val="11"/>
        <color theme="1"/>
        <rFont val="ＭＳ Ｐゴシック"/>
        <family val="3"/>
        <charset val="134"/>
        <scheme val="minor"/>
      </rPr>
      <t>鳌</t>
    </r>
    <r>
      <rPr>
        <sz val="11"/>
        <color theme="1"/>
        <rFont val="ＭＳ Ｐゴシック"/>
        <family val="3"/>
        <charset val="128"/>
        <scheme val="minor"/>
      </rPr>
      <t>百</t>
    </r>
    <r>
      <rPr>
        <sz val="11"/>
        <color theme="1"/>
        <rFont val="ＭＳ Ｐゴシック"/>
        <family val="3"/>
        <charset val="134"/>
        <scheme val="minor"/>
      </rPr>
      <t>货经营</t>
    </r>
    <r>
      <rPr>
        <sz val="11"/>
        <color theme="1"/>
        <rFont val="ＭＳ Ｐゴシック"/>
        <family val="3"/>
        <charset val="128"/>
        <scheme val="minor"/>
      </rPr>
      <t>部（个体工商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</si>
  <si>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 xml:space="preserve">苹果酒; 梨酒; 清酒（日本米酒）; 葡萄酒; 米酒; 青稞酒; 白酒; 蜂蜜酒; 果酒（含酒精）;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</t>
    </r>
  </si>
  <si>
    <t>策今鼓</t>
  </si>
  <si>
    <r>
      <t xml:space="preserve">葡萄酒;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高粱酒; 果酒（含酒精）</t>
    </r>
  </si>
  <si>
    <t>涌遵台</t>
  </si>
  <si>
    <r>
      <t>葡萄酒; 果酒（含酒精）; 高粱酒;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</si>
  <si>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喜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天</t>
    </r>
  </si>
  <si>
    <r>
      <t>章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晟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</si>
  <si>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白酒; 开胃酒; 清酒（日本米酒）;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威士忌; 米酒</t>
    </r>
  </si>
  <si>
    <r>
      <t>传</t>
    </r>
    <r>
      <rPr>
        <sz val="11"/>
        <color theme="1"/>
        <rFont val="ＭＳ Ｐゴシック"/>
        <family val="3"/>
        <charset val="128"/>
        <scheme val="minor"/>
      </rPr>
      <t>世塔</t>
    </r>
  </si>
  <si>
    <r>
      <t>云和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恒益生</t>
    </r>
    <r>
      <rPr>
        <sz val="11"/>
        <color theme="1"/>
        <rFont val="ＭＳ Ｐゴシック"/>
        <family val="3"/>
        <charset val="134"/>
        <scheme val="minor"/>
      </rPr>
      <t>态农业发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</si>
  <si>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威士忌; 果酒（含酒精）; 米酒;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</t>
    </r>
  </si>
  <si>
    <r>
      <t>绣</t>
    </r>
    <r>
      <rPr>
        <sz val="11"/>
        <color theme="1"/>
        <rFont val="ＭＳ Ｐゴシック"/>
        <family val="3"/>
        <charset val="128"/>
        <scheme val="minor"/>
      </rPr>
      <t>樽台</t>
    </r>
  </si>
  <si>
    <r>
      <t>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白酒</t>
    </r>
  </si>
  <si>
    <r>
      <t>䨻</t>
    </r>
    <r>
      <rPr>
        <sz val="11"/>
        <color theme="1"/>
        <rFont val="ＭＳ Ｐゴシック"/>
        <family val="3"/>
        <charset val="129"/>
        <scheme val="minor"/>
      </rPr>
      <t>浵</t>
    </r>
  </si>
  <si>
    <r>
      <t>内蒙古久酒香酒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</si>
  <si>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烈酒;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白干酒（中国白酒）; 白酒;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</si>
  <si>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钓</t>
    </r>
    <r>
      <rPr>
        <sz val="11"/>
        <color theme="1"/>
        <rFont val="ＭＳ Ｐゴシック"/>
        <family val="3"/>
        <charset val="128"/>
        <scheme val="minor"/>
      </rPr>
      <t>庭春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</si>
  <si>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高粱酒; 米酒; 白酒; 葡萄酒</t>
    </r>
  </si>
  <si>
    <t>极白云泉</t>
  </si>
  <si>
    <t>安吉极白白茶有限公司</t>
  </si>
  <si>
    <r>
      <t xml:space="preserve">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蒸煮提取物（利口酒和烈酒）; 白酒</t>
    </r>
  </si>
  <si>
    <t>小金堆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</si>
  <si>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省大富</t>
    </r>
    <r>
      <rPr>
        <sz val="11"/>
        <color theme="1"/>
        <rFont val="ＭＳ Ｐゴシック"/>
        <family val="3"/>
        <charset val="134"/>
        <scheme val="minor"/>
      </rPr>
      <t>龙农业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</si>
  <si>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青稞酒;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食用酒精;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汽酒</t>
    </r>
  </si>
  <si>
    <r>
      <t>唐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来</t>
    </r>
  </si>
  <si>
    <r>
      <t>亳州市井泰</t>
    </r>
    <r>
      <rPr>
        <sz val="11"/>
        <color theme="1"/>
        <rFont val="ＭＳ Ｐゴシック"/>
        <family val="3"/>
        <charset val="134"/>
        <scheme val="minor"/>
      </rPr>
      <t>蓝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</si>
  <si>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</si>
  <si>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r>
      <t>兔</t>
    </r>
    <r>
      <rPr>
        <sz val="11"/>
        <color theme="1"/>
        <rFont val="ＭＳ Ｐゴシック"/>
        <family val="3"/>
        <charset val="134"/>
        <scheme val="minor"/>
      </rPr>
      <t>讲</t>
    </r>
    <r>
      <rPr>
        <sz val="11"/>
        <color theme="1"/>
        <rFont val="ＭＳ Ｐゴシック"/>
        <family val="3"/>
        <charset val="128"/>
        <scheme val="minor"/>
      </rPr>
      <t>究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</si>
  <si>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州福晶园企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</si>
  <si>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果酒（含酒精）; 朗姆酒; 蜂蜜酒;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米酒;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薄荷酒</t>
    </r>
  </si>
  <si>
    <r>
      <t>尧</t>
    </r>
    <r>
      <rPr>
        <sz val="11"/>
        <color theme="1"/>
        <rFont val="ＭＳ Ｐゴシック"/>
        <family val="3"/>
        <charset val="128"/>
        <scheme val="minor"/>
      </rPr>
      <t>一</t>
    </r>
    <r>
      <rPr>
        <sz val="11"/>
        <color theme="1"/>
        <rFont val="ＭＳ Ｐゴシック"/>
        <family val="3"/>
        <charset val="134"/>
        <scheme val="minor"/>
      </rPr>
      <t>烧</t>
    </r>
  </si>
  <si>
    <r>
      <t>亢海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</si>
  <si>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>葡萄酒;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</t>
    </r>
  </si>
  <si>
    <r>
      <t>义</t>
    </r>
    <r>
      <rPr>
        <sz val="11"/>
        <color theme="1"/>
        <rFont val="ＭＳ Ｐゴシック"/>
        <family val="3"/>
        <charset val="128"/>
        <scheme val="minor"/>
      </rPr>
      <t>宴君</t>
    </r>
  </si>
  <si>
    <t>邹鹏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</si>
  <si>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餐后酒（利口酒和烈酒）;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黄酒</t>
    </r>
  </si>
  <si>
    <t>池鼓台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</si>
  <si>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米酒; 果酒（含酒精）;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</si>
  <si>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满</t>
    </r>
    <r>
      <rPr>
        <sz val="11"/>
        <color theme="1"/>
        <rFont val="ＭＳ Ｐゴシック"/>
        <family val="3"/>
        <charset val="128"/>
        <scheme val="minor"/>
      </rPr>
      <t>堂派</t>
    </r>
    <r>
      <rPr>
        <sz val="11"/>
        <color theme="1"/>
        <rFont val="ＭＳ Ｐゴシック"/>
        <family val="3"/>
        <charset val="134"/>
        <scheme val="minor"/>
      </rPr>
      <t>头</t>
    </r>
    <r>
      <rPr>
        <sz val="11"/>
        <color theme="1"/>
        <rFont val="ＭＳ Ｐゴシック"/>
        <family val="3"/>
        <charset val="128"/>
        <scheme val="minor"/>
      </rPr>
      <t>街</t>
    </r>
  </si>
  <si>
    <r>
      <t>南京</t>
    </r>
    <r>
      <rPr>
        <sz val="11"/>
        <color theme="1"/>
        <rFont val="ＭＳ Ｐゴシック"/>
        <family val="3"/>
        <charset val="134"/>
        <scheme val="minor"/>
      </rPr>
      <t>满</t>
    </r>
    <r>
      <rPr>
        <sz val="11"/>
        <color theme="1"/>
        <rFont val="ＭＳ Ｐゴシック"/>
        <family val="3"/>
        <charset val="128"/>
        <scheme val="minor"/>
      </rPr>
      <t>堂文</t>
    </r>
    <r>
      <rPr>
        <sz val="11"/>
        <color theme="1"/>
        <rFont val="ＭＳ Ｐゴシック"/>
        <family val="3"/>
        <charset val="134"/>
        <scheme val="minor"/>
      </rPr>
      <t>娱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</si>
  <si>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果酒（含酒精）</t>
    </r>
  </si>
  <si>
    <r>
      <t>特</t>
    </r>
    <r>
      <rPr>
        <sz val="11"/>
        <color theme="1"/>
        <rFont val="ＭＳ Ｐゴシック"/>
        <family val="3"/>
        <charset val="134"/>
        <scheme val="minor"/>
      </rPr>
      <t>卤</t>
    </r>
    <r>
      <rPr>
        <sz val="11"/>
        <color theme="1"/>
        <rFont val="ＭＳ Ｐゴシック"/>
        <family val="3"/>
        <charset val="128"/>
        <scheme val="minor"/>
      </rPr>
      <t>力</t>
    </r>
  </si>
  <si>
    <r>
      <t>陇</t>
    </r>
    <r>
      <rPr>
        <sz val="11"/>
        <color theme="1"/>
        <rFont val="ＭＳ Ｐゴシック"/>
        <family val="3"/>
        <charset val="128"/>
        <scheme val="minor"/>
      </rPr>
      <t>南</t>
    </r>
    <r>
      <rPr>
        <sz val="11"/>
        <color theme="1"/>
        <rFont val="ＭＳ Ｐゴシック"/>
        <family val="3"/>
        <charset val="134"/>
        <scheme val="minor"/>
      </rPr>
      <t>陇</t>
    </r>
    <r>
      <rPr>
        <sz val="11"/>
        <color theme="1"/>
        <rFont val="ＭＳ Ｐゴシック"/>
        <family val="3"/>
        <charset val="128"/>
        <scheme val="minor"/>
      </rPr>
      <t>放下餐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</si>
  <si>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果酒（含酒精）;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薄荷酒;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</si>
  <si>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伴春山</t>
  </si>
  <si>
    <r>
      <t>五指山印象水</t>
    </r>
    <r>
      <rPr>
        <sz val="11"/>
        <color theme="1"/>
        <rFont val="ＭＳ Ｐゴシック"/>
        <family val="3"/>
        <charset val="134"/>
        <scheme val="minor"/>
      </rPr>
      <t>满</t>
    </r>
    <r>
      <rPr>
        <sz val="11"/>
        <color theme="1"/>
        <rFont val="ＭＳ Ｐゴシック"/>
        <family val="3"/>
        <charset val="128"/>
        <scheme val="minor"/>
      </rPr>
      <t>茶叶</t>
    </r>
    <r>
      <rPr>
        <sz val="11"/>
        <color theme="1"/>
        <rFont val="ＭＳ Ｐゴシック"/>
        <family val="3"/>
        <charset val="134"/>
        <scheme val="minor"/>
      </rPr>
      <t>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</si>
  <si>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葡萄酒; 白酒; 薄荷酒;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威士忌</t>
    </r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</si>
  <si>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汽酒; 葡萄酒; 黄酒; 果酒（含酒精）; 蜂蜜酒;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</si>
  <si>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福鼎市随园康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运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</si>
  <si>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葡萄酒; 伏特加酒; 威士忌;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</si>
  <si>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妃常关</t>
    </r>
    <r>
      <rPr>
        <sz val="11"/>
        <color theme="1"/>
        <rFont val="ＭＳ Ｐゴシック"/>
        <family val="3"/>
        <charset val="129"/>
        <scheme val="minor"/>
      </rPr>
      <t>怀</t>
    </r>
  </si>
  <si>
    <t>艾植播（深圳）科技有限公司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</si>
  <si>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甜酒; 米酒;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青梅酒; 黄酒</t>
    </r>
  </si>
  <si>
    <t>朔状元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</si>
  <si>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高粱酒; 葡萄酒; 米酒</t>
    </r>
  </si>
  <si>
    <t>逍酩豪</t>
  </si>
  <si>
    <r>
      <t>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高粱酒;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</si>
  <si>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三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大家</t>
    </r>
  </si>
  <si>
    <r>
      <t>中航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星（北京）航空服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</si>
  <si>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清酒（日本米酒）;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</si>
  <si>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仁九州</t>
  </si>
  <si>
    <r>
      <t>青稞酒;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黄酒; 米酒; 烈酒; 白酒; 甜酒</t>
    </r>
  </si>
  <si>
    <t>卯墨</t>
  </si>
  <si>
    <r>
      <t>青</t>
    </r>
    <r>
      <rPr>
        <sz val="11"/>
        <color theme="1"/>
        <rFont val="ＭＳ Ｐゴシック"/>
        <family val="3"/>
        <charset val="134"/>
        <scheme val="minor"/>
      </rPr>
      <t>岛润</t>
    </r>
    <r>
      <rPr>
        <sz val="11"/>
        <color theme="1"/>
        <rFont val="ＭＳ Ｐゴシック"/>
        <family val="3"/>
        <charset val="128"/>
        <scheme val="minor"/>
      </rPr>
      <t>墨酒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</si>
  <si>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烈酒; 果酒（含酒精）;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主的开胃酒;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米酒; 干型苹果酒;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甜果酒; 黄酒</t>
    </r>
  </si>
  <si>
    <t>止川</t>
  </si>
  <si>
    <r>
      <t>贺兰</t>
    </r>
    <r>
      <rPr>
        <sz val="11"/>
        <color theme="1"/>
        <rFont val="ＭＳ Ｐゴシック"/>
        <family val="3"/>
        <charset val="128"/>
        <scheme val="minor"/>
      </rPr>
      <t>山宿集（宁夏）酒庄有限公司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</si>
  <si>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白葡萄酒; 果酒（含酒精）;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葡萄酒; 酸酒（低等葡萄酒）; 伏特加酒</t>
    </r>
  </si>
  <si>
    <t>愉君酌</t>
  </si>
  <si>
    <r>
      <t>食用酒精; 蒸煮提取物（利口酒和烈酒）; 白酒; 葡萄酒; 黄酒; 米酒; 烈酒; 果酒; 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</si>
  <si>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梁鑫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尊</t>
    </r>
  </si>
  <si>
    <r>
      <t>上海醉梁鑫酒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</si>
  <si>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果酒; 白酒; 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米酒</t>
    </r>
  </si>
  <si>
    <r>
      <t>昭喜</t>
    </r>
    <r>
      <rPr>
        <sz val="11"/>
        <color theme="1"/>
        <rFont val="ＭＳ Ｐゴシック"/>
        <family val="3"/>
        <charset val="134"/>
        <scheme val="minor"/>
      </rPr>
      <t>凤</t>
    </r>
  </si>
  <si>
    <r>
      <t>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米酒</t>
    </r>
  </si>
  <si>
    <t>YULONGHAO</t>
  </si>
  <si>
    <r>
      <t>张</t>
    </r>
    <r>
      <rPr>
        <sz val="11"/>
        <color theme="1"/>
        <rFont val="ＭＳ Ｐゴシック"/>
        <family val="3"/>
        <charset val="128"/>
        <scheme val="minor"/>
      </rPr>
      <t>家口品</t>
    </r>
    <r>
      <rPr>
        <sz val="11"/>
        <color theme="1"/>
        <rFont val="ＭＳ Ｐゴシック"/>
        <family val="3"/>
        <charset val="134"/>
        <scheme val="minor"/>
      </rPr>
      <t>诺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</si>
  <si>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朗姆酒;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杜松子酒; 葡萄酒; 白酒;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威士忌</t>
    </r>
  </si>
  <si>
    <r>
      <t>堇</t>
    </r>
    <r>
      <rPr>
        <sz val="11"/>
        <color theme="1"/>
        <rFont val="ＭＳ Ｐゴシック"/>
        <family val="3"/>
        <charset val="128"/>
        <scheme val="minor"/>
      </rPr>
      <t>居</t>
    </r>
  </si>
  <si>
    <t>山西居天下酒店管理有限公司</t>
  </si>
  <si>
    <r>
      <t>米酒; 白酒; 青梅酒;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开胃酒; 餐后酒（利口酒和烈酒）;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露酒</t>
    </r>
  </si>
  <si>
    <t>皮市街</t>
  </si>
  <si>
    <r>
      <t>王</t>
    </r>
    <r>
      <rPr>
        <sz val="11"/>
        <color theme="1"/>
        <rFont val="ＭＳ Ｐゴシック"/>
        <family val="3"/>
        <charset val="134"/>
        <scheme val="minor"/>
      </rPr>
      <t>岚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</si>
  <si>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</si>
  <si>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雷娃娃</t>
  </si>
  <si>
    <r>
      <t>上海雷允上</t>
    </r>
    <r>
      <rPr>
        <sz val="11"/>
        <color theme="1"/>
        <rFont val="ＭＳ Ｐゴシック"/>
        <family val="3"/>
        <charset val="134"/>
        <scheme val="minor"/>
      </rPr>
      <t>药业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</si>
  <si>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白酒; 汽酒; 果酒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</si>
  <si>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里古港</t>
    </r>
  </si>
  <si>
    <r>
      <t>谢</t>
    </r>
    <r>
      <rPr>
        <sz val="11"/>
        <color theme="1"/>
        <rFont val="ＭＳ Ｐゴシック"/>
        <family val="3"/>
        <charset val="128"/>
        <scheme val="minor"/>
      </rPr>
      <t>宏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</si>
  <si>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苦味酒; 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蜂蜜酒; 汽酒</t>
    </r>
  </si>
  <si>
    <t>呈喜</t>
  </si>
  <si>
    <r>
      <t>北京亨晟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</si>
  <si>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威士忌; 葡萄酒; 果酒（含酒精）;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</t>
    </r>
  </si>
  <si>
    <t>永玖莱</t>
  </si>
  <si>
    <r>
      <t>洛阳永玖食品有限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</si>
  <si>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苹果酒;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白酒; 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</si>
  <si>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康林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</si>
  <si>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冠宝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</si>
  <si>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烈酒; 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黄酒; 白酒; 青稞酒; 高粱酒;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青梅酒; 清酒; 食用酒精</t>
    </r>
  </si>
  <si>
    <r>
      <t>高建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</si>
  <si>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果酒; 白酒; 苹果酒;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葡萄酒</t>
    </r>
  </si>
  <si>
    <t>月桑园</t>
  </si>
  <si>
    <r>
      <t>桑索尼那</t>
    </r>
    <r>
      <rPr>
        <sz val="11"/>
        <color theme="1"/>
        <rFont val="ＭＳ Ｐゴシック"/>
        <family val="3"/>
        <charset val="134"/>
        <scheme val="minor"/>
      </rPr>
      <t>农产</t>
    </r>
    <r>
      <rPr>
        <sz val="11"/>
        <color theme="1"/>
        <rFont val="ＭＳ Ｐゴシック"/>
        <family val="3"/>
        <charset val="128"/>
        <scheme val="minor"/>
      </rPr>
      <t>品普斯派</t>
    </r>
    <r>
      <rPr>
        <sz val="11"/>
        <color theme="1"/>
        <rFont val="ＭＳ Ｐゴシック"/>
        <family val="3"/>
        <charset val="134"/>
        <scheme val="minor"/>
      </rPr>
      <t>罗</t>
    </r>
    <r>
      <rPr>
        <sz val="11"/>
        <color theme="1"/>
        <rFont val="ＭＳ Ｐゴシック"/>
        <family val="3"/>
        <charset val="128"/>
        <scheme val="minor"/>
      </rPr>
      <t>卡拉公司</t>
    </r>
  </si>
  <si>
    <r>
      <t>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</si>
  <si>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承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</si>
  <si>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</t>
    </r>
  </si>
  <si>
    <t>SWAN BOAT</t>
  </si>
  <si>
    <r>
      <t>安徽莱勒古堡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</si>
  <si>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果酒; 伏特加酒; 黄酒; 葡萄酒; 甜酒; 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白酒; 烈酒</t>
    </r>
  </si>
  <si>
    <r>
      <t>说</t>
    </r>
    <r>
      <rPr>
        <sz val="11"/>
        <color theme="1"/>
        <rFont val="ＭＳ Ｐゴシック"/>
        <family val="3"/>
        <charset val="128"/>
        <scheme val="minor"/>
      </rPr>
      <t>也</t>
    </r>
  </si>
  <si>
    <r>
      <t xml:space="preserve">米酒; 清酒（日本米酒）;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青稞酒; 葡萄酒</t>
    </r>
  </si>
  <si>
    <r>
      <t>黄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利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</si>
  <si>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料(啤酒除外); 米酒; 葡萄酒; 果酒(含酒精);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烈酒(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料)</t>
    </r>
  </si>
  <si>
    <r>
      <t>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青梅酒; 黄酒; 白酒; 烈酒; 米酒; 青稞酒; 梅酒; 食用酒精; 高粱酒;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</si>
  <si>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r>
      <t>执</t>
    </r>
    <r>
      <rPr>
        <sz val="11"/>
        <color theme="1"/>
        <rFont val="ＭＳ Ｐゴシック"/>
        <family val="3"/>
        <charset val="128"/>
        <scheme val="minor"/>
      </rPr>
      <t>得</t>
    </r>
  </si>
  <si>
    <r>
      <t>深圳百</t>
    </r>
    <r>
      <rPr>
        <sz val="11"/>
        <color theme="1"/>
        <rFont val="ＭＳ Ｐゴシック"/>
        <family val="3"/>
        <charset val="134"/>
        <scheme val="minor"/>
      </rPr>
      <t>纳</t>
    </r>
    <r>
      <rPr>
        <sz val="11"/>
        <color theme="1"/>
        <rFont val="ＭＳ Ｐゴシック"/>
        <family val="3"/>
        <charset val="128"/>
        <scheme val="minor"/>
      </rPr>
      <t>威达</t>
    </r>
    <r>
      <rPr>
        <sz val="11"/>
        <color theme="1"/>
        <rFont val="ＭＳ Ｐゴシック"/>
        <family val="3"/>
        <charset val="134"/>
        <scheme val="minor"/>
      </rPr>
      <t>设计</t>
    </r>
    <r>
      <rPr>
        <sz val="11"/>
        <color theme="1"/>
        <rFont val="ＭＳ Ｐゴシック"/>
        <family val="3"/>
        <charset val="128"/>
        <scheme val="minor"/>
      </rPr>
      <t>装</t>
    </r>
    <r>
      <rPr>
        <sz val="11"/>
        <color theme="1"/>
        <rFont val="ＭＳ Ｐゴシック"/>
        <family val="3"/>
        <charset val="134"/>
        <scheme val="minor"/>
      </rPr>
      <t>饰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</si>
  <si>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白酒; 白干酒（中国白酒）; 烈性干酒; 烈酒;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</si>
  <si>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r>
      <t>乾晟</t>
    </r>
    <r>
      <rPr>
        <sz val="11"/>
        <color theme="1"/>
        <rFont val="ＭＳ Ｐゴシック"/>
        <family val="3"/>
        <charset val="134"/>
        <scheme val="minor"/>
      </rPr>
      <t>锦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</si>
  <si>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</si>
  <si>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佩奇叮叮</t>
  </si>
  <si>
    <t>广州可其氏生物科技有限公司</t>
  </si>
  <si>
    <r>
      <t>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薄荷酒; 威士忌; 白酒; 黄酒</t>
    </r>
  </si>
  <si>
    <r>
      <t>枝</t>
    </r>
    <r>
      <rPr>
        <sz val="11"/>
        <color theme="1"/>
        <rFont val="ＭＳ Ｐゴシック"/>
        <family val="3"/>
        <charset val="134"/>
        <scheme val="minor"/>
      </rPr>
      <t>坛</t>
    </r>
  </si>
  <si>
    <r>
      <t>谭</t>
    </r>
    <r>
      <rPr>
        <sz val="11"/>
        <color theme="1"/>
        <rFont val="ＭＳ Ｐゴシック"/>
        <family val="3"/>
        <charset val="128"/>
        <scheme val="minor"/>
      </rPr>
      <t>建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</si>
  <si>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白干酒（中国白酒）; 烈酒; 利口酒;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餐后酒（利口酒和烈酒）;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</si>
  <si>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北京意</t>
    </r>
    <r>
      <rPr>
        <sz val="11"/>
        <color theme="1"/>
        <rFont val="ＭＳ Ｐゴシック"/>
        <family val="3"/>
        <charset val="134"/>
        <scheme val="minor"/>
      </rPr>
      <t>库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意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</si>
  <si>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伏特加酒; 黄酒; 葡萄酒; 朗姆酒; 白酒;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</si>
  <si>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楚灵</t>
    </r>
    <r>
      <rPr>
        <sz val="11"/>
        <color theme="1"/>
        <rFont val="ＭＳ Ｐゴシック"/>
        <family val="3"/>
        <charset val="134"/>
        <scheme val="minor"/>
      </rPr>
      <t>凤</t>
    </r>
  </si>
  <si>
    <r>
      <t>宜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鄂商商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</si>
  <si>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米酒; 伏特加酒;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</si>
  <si>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白酒; 米酒; 青梅酒; 清酒; 青稞酒; 高粱酒; 梅酒; 烈酒; 黄酒; 食用酒精;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</si>
  <si>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t>克拉若</t>
  </si>
  <si>
    <r>
      <t>克拉任斯·狄</t>
    </r>
    <r>
      <rPr>
        <sz val="11"/>
        <color theme="1"/>
        <rFont val="ＭＳ Ｐゴシック"/>
        <family val="3"/>
        <charset val="134"/>
        <scheme val="minor"/>
      </rPr>
      <t>伦</t>
    </r>
    <r>
      <rPr>
        <sz val="11"/>
        <color theme="1"/>
        <rFont val="ＭＳ Ｐゴシック"/>
        <family val="3"/>
        <charset val="128"/>
        <scheme val="minor"/>
      </rPr>
      <t>庄园</t>
    </r>
    <r>
      <rPr>
        <sz val="11"/>
        <color theme="1"/>
        <rFont val="ＭＳ Ｐゴシック"/>
        <family val="3"/>
        <charset val="134"/>
        <scheme val="minor"/>
      </rPr>
      <t>简</t>
    </r>
    <r>
      <rPr>
        <sz val="11"/>
        <color theme="1"/>
        <rFont val="ＭＳ Ｐゴシック"/>
        <family val="3"/>
        <charset val="128"/>
        <scheme val="minor"/>
      </rPr>
      <t>化股份有限公司</t>
    </r>
  </si>
  <si>
    <t>百嘉万安</t>
  </si>
  <si>
    <t>欧阳建平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</si>
  <si>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清酒（日本米酒）;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</si>
  <si>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r>
      <t>青木</t>
    </r>
    <r>
      <rPr>
        <sz val="11"/>
        <color theme="1"/>
        <rFont val="ＭＳ Ｐゴシック"/>
        <family val="3"/>
        <charset val="134"/>
        <scheme val="minor"/>
      </rPr>
      <t>栈</t>
    </r>
  </si>
  <si>
    <t>万启（香港）有限公司</t>
  </si>
  <si>
    <r>
      <t>果酒（含酒精）;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朗姆酒;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白酒</t>
    </r>
  </si>
  <si>
    <r>
      <t>维尔亚</t>
    </r>
    <r>
      <rPr>
        <sz val="11"/>
        <color theme="1"/>
        <rFont val="ＭＳ Ｐゴシック"/>
        <family val="3"/>
        <charset val="128"/>
        <scheme val="minor"/>
      </rPr>
      <t>冰</t>
    </r>
  </si>
  <si>
    <r>
      <t>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</si>
  <si>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富斟台</t>
  </si>
  <si>
    <t>江晁梅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</si>
  <si>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汽酒; 果酒; 葡萄酒; 清酒; 威士忌; 白酒</t>
    </r>
  </si>
  <si>
    <r>
      <t>深圳</t>
    </r>
    <r>
      <rPr>
        <sz val="11"/>
        <color theme="1"/>
        <rFont val="ＭＳ Ｐゴシック"/>
        <family val="3"/>
        <charset val="134"/>
        <scheme val="minor"/>
      </rPr>
      <t>亿</t>
    </r>
    <r>
      <rPr>
        <sz val="11"/>
        <color theme="1"/>
        <rFont val="ＭＳ Ｐゴシック"/>
        <family val="3"/>
        <charset val="128"/>
        <scheme val="minor"/>
      </rPr>
      <t>生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>健康科技有限公司</t>
    </r>
  </si>
  <si>
    <r>
      <t>黄酒; 白酒; 果酒（含酒精）; 清酒（日本米酒）;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甜酒</t>
    </r>
  </si>
  <si>
    <t>江淮禾之味</t>
  </si>
  <si>
    <r>
      <t>淮安禾之味酒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</si>
  <si>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葡萄酒;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五加皮酒（中国混合烈酒）;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食用酒精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</si>
  <si>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歪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</si>
  <si>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新火品牌管理有限公司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</si>
  <si>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烈酒;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汽酒; 米酒; 露酒;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</si>
  <si>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r>
      <t>四海</t>
    </r>
    <r>
      <rPr>
        <sz val="11"/>
        <color theme="1"/>
        <rFont val="ＭＳ Ｐゴシック"/>
        <family val="3"/>
        <charset val="134"/>
        <scheme val="minor"/>
      </rPr>
      <t>归</t>
    </r>
    <r>
      <rPr>
        <sz val="11"/>
        <color theme="1"/>
        <rFont val="ＭＳ Ｐゴシック"/>
        <family val="3"/>
        <charset val="128"/>
        <scheme val="minor"/>
      </rPr>
      <t>潮</t>
    </r>
  </si>
  <si>
    <r>
      <t>吴</t>
    </r>
    <r>
      <rPr>
        <sz val="11"/>
        <color theme="1"/>
        <rFont val="ＭＳ Ｐゴシック"/>
        <family val="3"/>
        <charset val="134"/>
        <scheme val="minor"/>
      </rPr>
      <t>锐</t>
    </r>
    <r>
      <rPr>
        <sz val="11"/>
        <color theme="1"/>
        <rFont val="ＭＳ Ｐゴシック"/>
        <family val="3"/>
        <charset val="128"/>
        <scheme val="minor"/>
      </rPr>
      <t>鑫</t>
    </r>
  </si>
  <si>
    <r>
      <t>白酒; 黄酒; 米酒; 梅酒; 果酒; 烈酒; 清酒; 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</si>
  <si>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福建九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山米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</si>
  <si>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果酒（含酒精）; 米酒; 黄酒; 清酒; 开胃酒; 青稞酒</t>
    </r>
  </si>
  <si>
    <r>
      <t>优</t>
    </r>
    <r>
      <rPr>
        <sz val="11"/>
        <color theme="1"/>
        <rFont val="ＭＳ Ｐゴシック"/>
        <family val="3"/>
        <charset val="128"/>
        <scheme val="minor"/>
      </rPr>
      <t>彩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 xml:space="preserve"> UNIONCOLOR</t>
    </r>
  </si>
  <si>
    <r>
      <t>上海竹叶春本草园中医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</si>
  <si>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果酒（含酒精）; 米酒;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</si>
  <si>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赣师</t>
    </r>
    <r>
      <rPr>
        <sz val="11"/>
        <color theme="1"/>
        <rFont val="ＭＳ Ｐゴシック"/>
        <family val="3"/>
        <charset val="128"/>
        <scheme val="minor"/>
      </rPr>
      <t>傅</t>
    </r>
  </si>
  <si>
    <r>
      <t>江西省酒友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</si>
  <si>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高粱酒</t>
    </r>
  </si>
  <si>
    <r>
      <t>鲲</t>
    </r>
    <r>
      <rPr>
        <sz val="11"/>
        <color theme="1"/>
        <rFont val="ＭＳ Ｐゴシック"/>
        <family val="3"/>
        <charset val="128"/>
        <scheme val="minor"/>
      </rPr>
      <t>曰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</si>
  <si>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季酒酒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</si>
  <si>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利口酒; 青梅酒; 露酒; 米酒; 白酒; 威士忌</t>
    </r>
  </si>
  <si>
    <r>
      <t>西安高科新</t>
    </r>
    <r>
      <rPr>
        <sz val="11"/>
        <color theme="1"/>
        <rFont val="ＭＳ Ｐゴシック"/>
        <family val="3"/>
        <charset val="134"/>
        <scheme val="minor"/>
      </rPr>
      <t>纪</t>
    </r>
    <r>
      <rPr>
        <sz val="11"/>
        <color theme="1"/>
        <rFont val="ＭＳ Ｐゴシック"/>
        <family val="3"/>
        <charset val="128"/>
        <scheme val="minor"/>
      </rPr>
      <t>元文旅有限公司</t>
    </r>
  </si>
  <si>
    <r>
      <t>食用酒精;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含酒精的气泡水; 白酒; 餐后酒（利口酒和烈酒）;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利口酒</t>
    </r>
  </si>
  <si>
    <r>
      <t>齐鲁</t>
    </r>
    <r>
      <rPr>
        <sz val="11"/>
        <color theme="1"/>
        <rFont val="ＭＳ Ｐゴシック"/>
        <family val="3"/>
        <charset val="128"/>
        <scheme val="minor"/>
      </rPr>
      <t>天下秀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</si>
  <si>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天下秀商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</si>
  <si>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黄酒; 清酒; 露酒;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开胃酒;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白酒</t>
    </r>
  </si>
  <si>
    <r>
      <t>隆晟</t>
    </r>
    <r>
      <rPr>
        <sz val="11"/>
        <color theme="1"/>
        <rFont val="ＭＳ Ｐゴシック"/>
        <family val="3"/>
        <charset val="134"/>
        <scheme val="minor"/>
      </rPr>
      <t>锦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</si>
  <si>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黄酒;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</si>
  <si>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添春色</t>
  </si>
  <si>
    <r>
      <t>央广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34"/>
        <scheme val="minor"/>
      </rPr>
      <t>选</t>
    </r>
    <r>
      <rPr>
        <sz val="11"/>
        <color theme="1"/>
        <rFont val="ＭＳ Ｐゴシック"/>
        <family val="3"/>
        <charset val="128"/>
        <scheme val="minor"/>
      </rPr>
      <t>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</si>
  <si>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米酒;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葡萄酒</t>
    </r>
  </si>
  <si>
    <t>礼益隆</t>
  </si>
  <si>
    <r>
      <t>武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茶</t>
    </r>
    <r>
      <rPr>
        <sz val="11"/>
        <color theme="1"/>
        <rFont val="ＭＳ Ｐゴシック"/>
        <family val="3"/>
        <charset val="134"/>
        <scheme val="minor"/>
      </rPr>
      <t>荟</t>
    </r>
    <r>
      <rPr>
        <sz val="11"/>
        <color theme="1"/>
        <rFont val="ＭＳ Ｐゴシック"/>
        <family val="3"/>
        <charset val="128"/>
        <scheme val="minor"/>
      </rPr>
      <t>酒店管理有限公司</t>
    </r>
  </si>
  <si>
    <r>
      <t>与花</t>
    </r>
    <r>
      <rPr>
        <sz val="11"/>
        <color theme="1"/>
        <rFont val="ＭＳ Ｐゴシック"/>
        <family val="3"/>
        <charset val="134"/>
        <scheme val="minor"/>
      </rPr>
      <t>细语</t>
    </r>
  </si>
  <si>
    <r>
      <t>广州二狗吃喝文化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意有限公司</t>
    </r>
  </si>
  <si>
    <r>
      <t xml:space="preserve">果酒（含酒精）; 青梅酒; 果酒; 甜果酒; 梅酒;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甜酒; 水果汽酒; 露酒</t>
    </r>
  </si>
  <si>
    <r>
      <t>七彩花</t>
    </r>
    <r>
      <rPr>
        <sz val="11"/>
        <color theme="1"/>
        <rFont val="ＭＳ Ｐゴシック"/>
        <family val="3"/>
        <charset val="134"/>
        <scheme val="minor"/>
      </rPr>
      <t>间</t>
    </r>
    <r>
      <rPr>
        <sz val="11"/>
        <color theme="1"/>
        <rFont val="ＭＳ Ｐゴシック"/>
        <family val="3"/>
        <charset val="128"/>
        <scheme val="minor"/>
      </rPr>
      <t>醉</t>
    </r>
  </si>
  <si>
    <r>
      <t>云南雅醉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</si>
  <si>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开胃酒; 葡萄酒; 梨酒; 米酒; 白酒;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蜂蜜酒</t>
    </r>
  </si>
  <si>
    <r>
      <t>月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照</t>
    </r>
  </si>
  <si>
    <r>
      <t>英科智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（上海）智能技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</si>
  <si>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高粱酒;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白干酒（中国白酒）; 白酒; 烈酒; 米酒; 黄酒; 青稞酒;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</si>
  <si>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慕</t>
    </r>
    <r>
      <rPr>
        <sz val="11"/>
        <color theme="1"/>
        <rFont val="ＭＳ Ｐゴシック"/>
        <family val="3"/>
        <charset val="134"/>
        <scheme val="minor"/>
      </rPr>
      <t>风</t>
    </r>
  </si>
  <si>
    <r>
      <t>国粹酒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(深圳)有限公司</t>
    </r>
  </si>
  <si>
    <r>
      <t>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</t>
    </r>
  </si>
  <si>
    <r>
      <t>艺</t>
    </r>
    <r>
      <rPr>
        <sz val="11"/>
        <color theme="1"/>
        <rFont val="ＭＳ Ｐゴシック"/>
        <family val="3"/>
        <charset val="128"/>
        <scheme val="minor"/>
      </rPr>
      <t>康</t>
    </r>
    <r>
      <rPr>
        <sz val="11"/>
        <color theme="1"/>
        <rFont val="ＭＳ Ｐゴシック"/>
        <family val="3"/>
        <charset val="129"/>
        <scheme val="minor"/>
      </rPr>
      <t>燊</t>
    </r>
  </si>
  <si>
    <r>
      <t>张兰</t>
    </r>
    <r>
      <rPr>
        <sz val="11"/>
        <color theme="1"/>
        <rFont val="ＭＳ Ｐゴシック"/>
        <family val="3"/>
        <charset val="128"/>
        <scheme val="minor"/>
      </rPr>
      <t>英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</si>
  <si>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</si>
  <si>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t>梨十三</t>
  </si>
  <si>
    <r>
      <t>陈</t>
    </r>
    <r>
      <rPr>
        <sz val="11"/>
        <color theme="1"/>
        <rFont val="ＭＳ Ｐゴシック"/>
        <family val="3"/>
        <charset val="128"/>
        <scheme val="minor"/>
      </rPr>
      <t>西康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</si>
  <si>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苹果酒;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</si>
  <si>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t>万帝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</si>
  <si>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花冠酒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</si>
  <si>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葡萄酒; 威士忌; 黄酒;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</si>
  <si>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乐</t>
    </r>
    <r>
      <rPr>
        <sz val="11"/>
        <color theme="1"/>
        <rFont val="ＭＳ Ｐゴシック"/>
        <family val="3"/>
        <charset val="128"/>
        <scheme val="minor"/>
      </rPr>
      <t>返盾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</si>
  <si>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州唐格斯生物科技有限公司</t>
    </r>
  </si>
  <si>
    <r>
      <t xml:space="preserve">葡萄酒; 利口酒; 黄酒; 白酒; 开胃酒; 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露酒;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</si>
  <si>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可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开</t>
    </r>
  </si>
  <si>
    <r>
      <t>北京渝都仁和餐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</si>
  <si>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黄酒;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</si>
  <si>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三</t>
    </r>
    <r>
      <rPr>
        <sz val="11"/>
        <color theme="1"/>
        <rFont val="ＭＳ Ｐゴシック"/>
        <family val="3"/>
        <charset val="129"/>
        <scheme val="minor"/>
      </rPr>
      <t>朵</t>
    </r>
    <r>
      <rPr>
        <sz val="11"/>
        <color theme="1"/>
        <rFont val="ＭＳ Ｐゴシック"/>
        <family val="3"/>
        <charset val="128"/>
        <scheme val="minor"/>
      </rPr>
      <t>物予 SANDO GIFT</t>
    </r>
  </si>
  <si>
    <r>
      <t>丽</t>
    </r>
    <r>
      <rPr>
        <sz val="11"/>
        <color theme="1"/>
        <rFont val="ＭＳ Ｐゴシック"/>
        <family val="3"/>
        <charset val="128"/>
        <scheme val="minor"/>
      </rPr>
      <t>江宏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</si>
  <si>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薄荷酒;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料（除啤酒外）; 果酒（含酒精）; 米酒;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</si>
  <si>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t>雷娃</t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</si>
  <si>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果酒; 葡萄酒; 汽酒</t>
    </r>
  </si>
  <si>
    <t>兆皇府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</si>
  <si>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东劲农</t>
    </r>
    <r>
      <rPr>
        <sz val="11"/>
        <color theme="1"/>
        <rFont val="ＭＳ Ｐゴシック"/>
        <family val="3"/>
        <charset val="128"/>
        <scheme val="minor"/>
      </rPr>
      <t>食品科技有限公司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</si>
  <si>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白酒; 葡萄酒; 米酒; 白干酒（中国白酒）; 果酒; 青梅酒;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</si>
  <si>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r>
      <t>壹</t>
    </r>
    <r>
      <rPr>
        <sz val="11"/>
        <color theme="1"/>
        <rFont val="ＭＳ Ｐゴシック"/>
        <family val="3"/>
        <charset val="134"/>
        <scheme val="minor"/>
      </rPr>
      <t>闲</t>
    </r>
    <r>
      <rPr>
        <sz val="11"/>
        <color theme="1"/>
        <rFont val="ＭＳ Ｐゴシック"/>
        <family val="3"/>
        <charset val="128"/>
        <scheme val="minor"/>
      </rPr>
      <t>人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</si>
  <si>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州壹</t>
    </r>
    <r>
      <rPr>
        <sz val="11"/>
        <color theme="1"/>
        <rFont val="ＭＳ Ｐゴシック"/>
        <family val="3"/>
        <charset val="134"/>
        <scheme val="minor"/>
      </rPr>
      <t>闲</t>
    </r>
    <r>
      <rPr>
        <sz val="11"/>
        <color theme="1"/>
        <rFont val="ＭＳ Ｐゴシック"/>
        <family val="3"/>
        <charset val="128"/>
        <scheme val="minor"/>
      </rPr>
      <t>人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</si>
  <si>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白酒; 苦味酒;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汽酒;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</si>
  <si>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隆运晟</t>
    </r>
    <r>
      <rPr>
        <sz val="11"/>
        <color theme="1"/>
        <rFont val="ＭＳ Ｐゴシック"/>
        <family val="3"/>
        <charset val="134"/>
        <scheme val="minor"/>
      </rPr>
      <t>锦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</si>
  <si>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黄酒; 白酒</t>
    </r>
  </si>
  <si>
    <r>
      <t>听桂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</si>
  <si>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淑桃</t>
    </r>
  </si>
  <si>
    <r>
      <t xml:space="preserve">葡萄酒; 黄酒; 果酒（含酒精）; 餐后酒（利口酒和烈酒）;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</si>
  <si>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逐明月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</si>
  <si>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果酒（含酒精）; 青稞酒;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</t>
    </r>
  </si>
  <si>
    <t>福大侠</t>
  </si>
  <si>
    <t>彭超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</si>
  <si>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利口酒;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餐后酒（利口酒和烈酒）; 烈酒;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白干酒（中国白酒）</t>
    </r>
  </si>
  <si>
    <t>溥天祥瑞</t>
  </si>
  <si>
    <r>
      <t>唐洪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</si>
  <si>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>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白酒; 食用酒精; 米酒; 露酒;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</si>
  <si>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垂</t>
    </r>
    <r>
      <rPr>
        <sz val="11"/>
        <color theme="1"/>
        <rFont val="ＭＳ Ｐゴシック"/>
        <family val="3"/>
        <charset val="134"/>
        <scheme val="minor"/>
      </rPr>
      <t>涏龙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</si>
  <si>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广子</t>
    </r>
  </si>
  <si>
    <r>
      <t xml:space="preserve">苦味酒; 茴香酒（利口酒）;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白酒; 苹果酒; 茴芹酒（利口酒）;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开胃酒; 青稞酒</t>
    </r>
  </si>
  <si>
    <t>朴溯</t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</si>
  <si>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麦德卡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化</t>
    </r>
    <r>
      <rPr>
        <sz val="11"/>
        <color theme="1"/>
        <rFont val="ＭＳ Ｐゴシック"/>
        <family val="3"/>
        <charset val="134"/>
        <scheme val="minor"/>
      </rPr>
      <t>妆</t>
    </r>
    <r>
      <rPr>
        <sz val="11"/>
        <color theme="1"/>
        <rFont val="ＭＳ Ｐゴシック"/>
        <family val="3"/>
        <charset val="128"/>
        <scheme val="minor"/>
      </rPr>
      <t>品有限公司</t>
    </r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</si>
  <si>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葡萄酒; 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清酒（日本米酒）;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</si>
  <si>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坤之凰</t>
  </si>
  <si>
    <r>
      <t>李春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</si>
  <si>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白干酒（中国白酒）; 葡萄酒; 黄酒; 白酒; 朗姆酒; 威士忌</t>
    </r>
  </si>
  <si>
    <t>帝尊侯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</si>
  <si>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葡萄酒; 汽酒; 清酒; 威士忌; 米酒</t>
    </r>
  </si>
  <si>
    <r>
      <t>唐</t>
    </r>
    <r>
      <rPr>
        <sz val="11"/>
        <color theme="1"/>
        <rFont val="ＭＳ Ｐゴシック"/>
        <family val="3"/>
        <charset val="134"/>
        <scheme val="minor"/>
      </rPr>
      <t>栈</t>
    </r>
  </si>
  <si>
    <r>
      <t>王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君</t>
    </r>
  </si>
  <si>
    <r>
      <t>米酒; 黄酒; 白干酒（中国白酒）;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</si>
  <si>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杜麦士</t>
  </si>
  <si>
    <t>吴思泳</t>
  </si>
  <si>
    <r>
      <t>米酒; 葡萄酒; 威士忌; 清酒; 烈酒;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</si>
  <si>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碧岳</t>
    </r>
    <r>
      <rPr>
        <sz val="11"/>
        <color theme="1"/>
        <rFont val="ＭＳ Ｐゴシック"/>
        <family val="3"/>
        <charset val="134"/>
        <scheme val="minor"/>
      </rPr>
      <t>苍</t>
    </r>
    <r>
      <rPr>
        <sz val="11"/>
        <color theme="1"/>
        <rFont val="ＭＳ Ｐゴシック"/>
        <family val="3"/>
        <charset val="128"/>
        <scheme val="minor"/>
      </rPr>
      <t>穹</t>
    </r>
  </si>
  <si>
    <t>殷勤</t>
  </si>
  <si>
    <r>
      <t>葡萄酒; 白酒; 清酒（日本米酒）;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</si>
  <si>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乾隆晟</t>
    </r>
    <r>
      <rPr>
        <sz val="11"/>
        <color theme="1"/>
        <rFont val="ＭＳ Ｐゴシック"/>
        <family val="3"/>
        <charset val="134"/>
        <scheme val="minor"/>
      </rPr>
      <t>锦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</si>
  <si>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葡萄酒; 米酒; 白酒</t>
    </r>
  </si>
  <si>
    <r>
      <t>朴隶</t>
    </r>
    <r>
      <rPr>
        <sz val="11"/>
        <color theme="1"/>
        <rFont val="ＭＳ Ｐゴシック"/>
        <family val="3"/>
        <charset val="134"/>
        <scheme val="minor"/>
      </rPr>
      <t>缘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</si>
  <si>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凌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</si>
  <si>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白酒; 葡萄酒; 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水果汽酒; 黄酒</t>
    </r>
  </si>
  <si>
    <r>
      <t>诗</t>
    </r>
    <r>
      <rPr>
        <sz val="11"/>
        <color theme="1"/>
        <rFont val="ＭＳ Ｐゴシック"/>
        <family val="3"/>
        <charset val="128"/>
        <scheme val="minor"/>
      </rPr>
      <t>醉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唐</t>
    </r>
  </si>
  <si>
    <r>
      <t>芝罘区黄</t>
    </r>
    <r>
      <rPr>
        <sz val="11"/>
        <color theme="1"/>
        <rFont val="ＭＳ Ｐゴシック"/>
        <family val="3"/>
        <charset val="134"/>
        <scheme val="minor"/>
      </rPr>
      <t>鹏</t>
    </r>
    <r>
      <rPr>
        <sz val="11"/>
        <color theme="1"/>
        <rFont val="ＭＳ Ｐゴシック"/>
        <family val="3"/>
        <charset val="128"/>
        <scheme val="minor"/>
      </rPr>
      <t>日用百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店(个体工商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)</t>
    </r>
  </si>
  <si>
    <r>
      <t>苹果酒; 葡萄酒;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餐后酒（利口酒和烈酒）; 果酒（含酒精）; 露酒</t>
    </r>
  </si>
  <si>
    <r>
      <t>意</t>
    </r>
    <r>
      <rPr>
        <sz val="11"/>
        <color theme="1"/>
        <rFont val="ＭＳ Ｐゴシック"/>
        <family val="3"/>
        <charset val="134"/>
        <scheme val="minor"/>
      </rPr>
      <t>库</t>
    </r>
    <r>
      <rPr>
        <sz val="11"/>
        <color theme="1"/>
        <rFont val="ＭＳ Ｐゴシック"/>
        <family val="3"/>
        <charset val="128"/>
        <scheme val="minor"/>
      </rPr>
      <t>山居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</si>
  <si>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白酒; 黄酒; 米酒; 朗姆酒; 开胃酒; 威士忌; 葡萄酒</t>
    </r>
  </si>
  <si>
    <t>吉傲</t>
  </si>
  <si>
    <r>
      <t>江山市</t>
    </r>
    <r>
      <rPr>
        <sz val="11"/>
        <color theme="1"/>
        <rFont val="ＭＳ Ｐゴシック"/>
        <family val="3"/>
        <charset val="134"/>
        <scheme val="minor"/>
      </rPr>
      <t>龙华</t>
    </r>
    <r>
      <rPr>
        <sz val="11"/>
        <color theme="1"/>
        <rFont val="ＭＳ Ｐゴシック"/>
        <family val="3"/>
        <charset val="128"/>
        <scheme val="minor"/>
      </rPr>
      <t>家庭</t>
    </r>
    <r>
      <rPr>
        <sz val="11"/>
        <color theme="1"/>
        <rFont val="ＭＳ Ｐゴシック"/>
        <family val="3"/>
        <charset val="134"/>
        <scheme val="minor"/>
      </rPr>
      <t>农场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</si>
  <si>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果酒（含酒精）; 米酒; 食用酒精; 汽酒; 白酒;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</si>
  <si>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忝崎</t>
  </si>
  <si>
    <r>
      <t>王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海</t>
    </r>
  </si>
  <si>
    <r>
      <t>葡萄酒; 清酒; 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</si>
  <si>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澳十八</t>
  </si>
  <si>
    <r>
      <t>山稻田国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控股（深圳）有限公司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</si>
  <si>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威士忌</t>
    </r>
  </si>
  <si>
    <r>
      <t>胖雪</t>
    </r>
    <r>
      <rPr>
        <sz val="11"/>
        <color theme="1"/>
        <rFont val="ＭＳ Ｐゴシック"/>
        <family val="3"/>
        <charset val="129"/>
        <scheme val="minor"/>
      </rPr>
      <t>妞</t>
    </r>
  </si>
  <si>
    <r>
      <t>昌</t>
    </r>
    <r>
      <rPr>
        <sz val="11"/>
        <color theme="1"/>
        <rFont val="ＭＳ Ｐゴシック"/>
        <family val="3"/>
        <charset val="134"/>
        <scheme val="minor"/>
      </rPr>
      <t>图县</t>
    </r>
    <r>
      <rPr>
        <sz val="11"/>
        <color theme="1"/>
        <rFont val="ＭＳ Ｐゴシック"/>
        <family val="3"/>
        <charset val="128"/>
        <scheme val="minor"/>
      </rPr>
      <t>古城酒厂</t>
    </r>
  </si>
  <si>
    <r>
      <t>果酒（含酒精）; 葡萄酒; 露酒;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</si>
  <si>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喜</t>
    </r>
    <r>
      <rPr>
        <sz val="11"/>
        <color theme="1"/>
        <rFont val="ＭＳ Ｐゴシック"/>
        <family val="3"/>
        <charset val="134"/>
        <scheme val="minor"/>
      </rPr>
      <t>纳</t>
    </r>
    <r>
      <rPr>
        <sz val="11"/>
        <color theme="1"/>
        <rFont val="ＭＳ Ｐゴシック"/>
        <family val="3"/>
        <charset val="128"/>
        <scheme val="minor"/>
      </rPr>
      <t>德</t>
    </r>
  </si>
  <si>
    <r>
      <t>浙江喜</t>
    </r>
    <r>
      <rPr>
        <sz val="11"/>
        <color theme="1"/>
        <rFont val="ＭＳ Ｐゴシック"/>
        <family val="3"/>
        <charset val="134"/>
        <scheme val="minor"/>
      </rPr>
      <t>纳</t>
    </r>
    <r>
      <rPr>
        <sz val="11"/>
        <color theme="1"/>
        <rFont val="ＭＳ Ｐゴシック"/>
        <family val="3"/>
        <charset val="128"/>
        <scheme val="minor"/>
      </rPr>
      <t>德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出口有限公司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</si>
  <si>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黄酒; 米酒; 果酒（含酒精）; 五加皮酒（中国混合烈酒）;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</si>
  <si>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荣臻</t>
    </r>
  </si>
  <si>
    <t>苗春平</t>
  </si>
  <si>
    <r>
      <t>苹果酒;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果酒（含酒精）; 开胃酒; 薄荷酒;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</t>
    </r>
  </si>
  <si>
    <r>
      <t>菠</t>
    </r>
    <r>
      <rPr>
        <sz val="11"/>
        <color theme="1"/>
        <rFont val="ＭＳ Ｐゴシック"/>
        <family val="3"/>
        <charset val="134"/>
        <scheme val="minor"/>
      </rPr>
      <t>萝</t>
    </r>
    <r>
      <rPr>
        <sz val="11"/>
        <color theme="1"/>
        <rFont val="ＭＳ Ｐゴシック"/>
        <family val="3"/>
        <charset val="128"/>
        <scheme val="minor"/>
      </rPr>
      <t>姐</t>
    </r>
  </si>
  <si>
    <r>
      <t>中</t>
    </r>
    <r>
      <rPr>
        <sz val="11"/>
        <color theme="1"/>
        <rFont val="ＭＳ Ｐゴシック"/>
        <family val="3"/>
        <charset val="134"/>
        <scheme val="minor"/>
      </rPr>
      <t>钐传</t>
    </r>
    <r>
      <rPr>
        <sz val="11"/>
        <color theme="1"/>
        <rFont val="ＭＳ Ｐゴシック"/>
        <family val="3"/>
        <charset val="128"/>
        <scheme val="minor"/>
      </rPr>
      <t>媒科技(深圳)有限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</si>
  <si>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</si>
  <si>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r>
      <t>古方民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</si>
  <si>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市古方民酒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</si>
  <si>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蜂蜜酒;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米酒; 白酒; 开胃酒; 梨酒;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</si>
  <si>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澳米</t>
    </r>
    <r>
      <rPr>
        <sz val="11"/>
        <color theme="1"/>
        <rFont val="ＭＳ Ｐゴシック"/>
        <family val="3"/>
        <charset val="134"/>
        <scheme val="minor"/>
      </rPr>
      <t>诺</t>
    </r>
  </si>
  <si>
    <r>
      <t>李佳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</si>
  <si>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 xml:space="preserve">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葡萄酒; 米酒; 果酒（含酒精）;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</si>
  <si>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暹泰</t>
    </r>
    <r>
      <rPr>
        <sz val="11"/>
        <color theme="1"/>
        <rFont val="ＭＳ Ｐゴシック"/>
        <family val="3"/>
        <charset val="134"/>
        <scheme val="minor"/>
      </rPr>
      <t>谣</t>
    </r>
  </si>
  <si>
    <r>
      <t>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市暹泰酒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</si>
  <si>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果酒; 葡萄酒; 白干酒（中国白酒）</t>
    </r>
  </si>
  <si>
    <t>浣园</t>
  </si>
  <si>
    <r>
      <t>天津市静海区</t>
    </r>
    <r>
      <rPr>
        <sz val="11"/>
        <color theme="1"/>
        <rFont val="ＭＳ Ｐゴシック"/>
        <family val="3"/>
        <charset val="134"/>
        <scheme val="minor"/>
      </rPr>
      <t>颐</t>
    </r>
    <r>
      <rPr>
        <sz val="11"/>
        <color theme="1"/>
        <rFont val="ＭＳ Ｐゴシック"/>
        <family val="3"/>
        <charset val="128"/>
        <scheme val="minor"/>
      </rPr>
      <t>合谷物种植家庭</t>
    </r>
    <r>
      <rPr>
        <sz val="11"/>
        <color theme="1"/>
        <rFont val="ＭＳ Ｐゴシック"/>
        <family val="3"/>
        <charset val="134"/>
        <scheme val="minor"/>
      </rPr>
      <t>农场</t>
    </r>
  </si>
  <si>
    <r>
      <t>果酒; 葡萄酒; 白酒; 水果汽酒; 含酒精的气泡水;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</si>
  <si>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梦思达</t>
  </si>
  <si>
    <r>
      <t>韩</t>
    </r>
    <r>
      <rPr>
        <sz val="11"/>
        <color theme="1"/>
        <rFont val="ＭＳ Ｐゴシック"/>
        <family val="3"/>
        <charset val="128"/>
        <scheme val="minor"/>
      </rPr>
      <t>殿毅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</si>
  <si>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白酒; 苹果酒;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梨酒;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</si>
  <si>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绍见</t>
  </si>
  <si>
    <r>
      <t>浙江富俊酒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</si>
  <si>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白酒; 葡萄酒;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黄酒; 伏特加酒;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</si>
  <si>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深圳市知</t>
    </r>
    <r>
      <rPr>
        <sz val="11"/>
        <color theme="1"/>
        <rFont val="ＭＳ Ｐゴシック"/>
        <family val="3"/>
        <charset val="134"/>
        <scheme val="minor"/>
      </rPr>
      <t>见</t>
    </r>
    <r>
      <rPr>
        <sz val="11"/>
        <color theme="1"/>
        <rFont val="ＭＳ Ｐゴシック"/>
        <family val="3"/>
        <charset val="128"/>
        <scheme val="minor"/>
      </rPr>
      <t>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</si>
  <si>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清酒（日本米酒）; 白酒</t>
    </r>
  </si>
  <si>
    <t>求彩</t>
  </si>
  <si>
    <t>董振</t>
  </si>
  <si>
    <r>
      <t>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蒸煮提取物（利口酒和烈酒）; 葡萄酒; 黄酒</t>
    </r>
  </si>
  <si>
    <r>
      <t>顽</t>
    </r>
    <r>
      <rPr>
        <sz val="11"/>
        <color theme="1"/>
        <rFont val="ＭＳ Ｐゴシック"/>
        <family val="3"/>
        <charset val="128"/>
        <scheme val="minor"/>
      </rPr>
      <t>仙</t>
    </r>
    <r>
      <rPr>
        <sz val="11"/>
        <color theme="1"/>
        <rFont val="ＭＳ Ｐゴシック"/>
        <family val="3"/>
        <charset val="134"/>
        <scheme val="minor"/>
      </rPr>
      <t>庐</t>
    </r>
    <r>
      <rPr>
        <sz val="11"/>
        <color theme="1"/>
        <rFont val="ＭＳ Ｐゴシック"/>
        <family val="3"/>
        <charset val="128"/>
        <scheme val="minor"/>
      </rPr>
      <t>眉公</t>
    </r>
  </si>
  <si>
    <r>
      <t>醉春秋酒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(上海)有限公司</t>
    </r>
  </si>
  <si>
    <r>
      <t xml:space="preserve">烈酒; 白酒; 米酒; 果酒; 清酒;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葡萄酒; 黄酒</t>
    </r>
  </si>
  <si>
    <t>无人区果燃</t>
  </si>
  <si>
    <t>施宇</t>
  </si>
  <si>
    <r>
      <t>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果酒; 烈酒; 露酒; 葡萄酒; 水果汽酒;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蜂蜜酒</t>
    </r>
  </si>
  <si>
    <t>楸村</t>
  </si>
  <si>
    <r>
      <t>吉林省北方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谷生</t>
    </r>
    <r>
      <rPr>
        <sz val="11"/>
        <color theme="1"/>
        <rFont val="ＭＳ Ｐゴシック"/>
        <family val="3"/>
        <charset val="134"/>
        <scheme val="minor"/>
      </rPr>
      <t>态</t>
    </r>
    <r>
      <rPr>
        <sz val="11"/>
        <color theme="1"/>
        <rFont val="ＭＳ Ｐゴシック"/>
        <family val="3"/>
        <charset val="128"/>
        <scheme val="minor"/>
      </rPr>
      <t>康养有限公司</t>
    </r>
  </si>
  <si>
    <r>
      <t xml:space="preserve">果酒（含酒精）; 葡萄酒; 高粱酒;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</t>
    </r>
  </si>
  <si>
    <t>悠露</t>
  </si>
  <si>
    <r>
      <t>欧海世</t>
    </r>
    <r>
      <rPr>
        <sz val="11"/>
        <color theme="1"/>
        <rFont val="ＭＳ Ｐゴシック"/>
        <family val="3"/>
        <charset val="134"/>
        <scheme val="minor"/>
      </rPr>
      <t>纪</t>
    </r>
    <r>
      <rPr>
        <sz val="11"/>
        <color theme="1"/>
        <rFont val="ＭＳ Ｐゴシック"/>
        <family val="3"/>
        <charset val="128"/>
        <scheme val="minor"/>
      </rPr>
      <t>（四川）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</si>
  <si>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白酒; 米酒;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</si>
  <si>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麟</t>
    </r>
    <r>
      <rPr>
        <sz val="11"/>
        <color theme="1"/>
        <rFont val="ＭＳ Ｐゴシック"/>
        <family val="3"/>
        <charset val="129"/>
        <scheme val="minor"/>
      </rPr>
      <t>褔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</si>
  <si>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松松</t>
    </r>
  </si>
  <si>
    <r>
      <t>高粱酒;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果酒;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米酒; 葡萄酒</t>
    </r>
  </si>
  <si>
    <r>
      <t>上古宗</t>
    </r>
    <r>
      <rPr>
        <sz val="11"/>
        <color theme="1"/>
        <rFont val="ＭＳ Ｐゴシック"/>
        <family val="3"/>
        <charset val="134"/>
        <scheme val="minor"/>
      </rPr>
      <t>师</t>
    </r>
  </si>
  <si>
    <t>何杰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</si>
  <si>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甜酒; 葡萄酒; 米酒;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</t>
    </r>
  </si>
  <si>
    <t>PEOMOHO</t>
  </si>
  <si>
    <r>
      <t>热</t>
    </r>
    <r>
      <rPr>
        <sz val="11"/>
        <color theme="1"/>
        <rFont val="ＭＳ Ｐゴシック"/>
        <family val="3"/>
        <charset val="128"/>
        <scheme val="minor"/>
      </rPr>
      <t>利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斯科娃·季安娜·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利</t>
    </r>
    <r>
      <rPr>
        <sz val="11"/>
        <color theme="1"/>
        <rFont val="ＭＳ Ｐゴシック"/>
        <family val="3"/>
        <charset val="134"/>
        <scheme val="minor"/>
      </rPr>
      <t>诺</t>
    </r>
    <r>
      <rPr>
        <sz val="11"/>
        <color theme="1"/>
        <rFont val="ＭＳ Ｐゴシック"/>
        <family val="3"/>
        <charset val="128"/>
        <scheme val="minor"/>
      </rPr>
      <t>夫娜</t>
    </r>
  </si>
  <si>
    <r>
      <t xml:space="preserve">果酒（含酒精）; 葡萄酒;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朗姆酒; 米酒; 开胃酒;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</si>
  <si>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舜帝之都</t>
  </si>
  <si>
    <r>
      <t>诸</t>
    </r>
    <r>
      <rPr>
        <sz val="11"/>
        <color theme="1"/>
        <rFont val="ＭＳ Ｐゴシック"/>
        <family val="3"/>
        <charset val="128"/>
        <scheme val="minor"/>
      </rPr>
      <t>城市瑞昌堂咨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</si>
  <si>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</si>
  <si>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十八酒坊</t>
    </r>
  </si>
  <si>
    <r>
      <t>天津御福隆酒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</si>
  <si>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葡萄酒; 开胃酒; 汽酒;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</si>
  <si>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京酒夫</t>
  </si>
  <si>
    <r>
      <t>沈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祥</t>
    </r>
  </si>
  <si>
    <r>
      <t>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薄荷酒; 葡萄酒; 烈酒;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餐后酒（利口酒和烈酒）;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</si>
  <si>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日</t>
    </r>
    <r>
      <rPr>
        <sz val="11"/>
        <color theme="1"/>
        <rFont val="ＭＳ Ｐゴシック"/>
        <family val="3"/>
        <charset val="134"/>
        <scheme val="minor"/>
      </rPr>
      <t>辉</t>
    </r>
  </si>
  <si>
    <t>席丹******************</t>
  </si>
  <si>
    <r>
      <t xml:space="preserve">米酒; 白酒; 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</si>
  <si>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畲台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</si>
  <si>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青稞酒;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白酒; 食用酒精</t>
    </r>
  </si>
  <si>
    <r>
      <t>唐</t>
    </r>
    <r>
      <rPr>
        <sz val="11"/>
        <color theme="1"/>
        <rFont val="ＭＳ Ｐゴシック"/>
        <family val="3"/>
        <charset val="134"/>
        <scheme val="minor"/>
      </rPr>
      <t>芈</t>
    </r>
    <r>
      <rPr>
        <sz val="11"/>
        <color theme="1"/>
        <rFont val="ＭＳ Ｐゴシック"/>
        <family val="3"/>
        <charset val="128"/>
        <scheme val="minor"/>
      </rPr>
      <t>青</t>
    </r>
  </si>
  <si>
    <r>
      <t>绍兴</t>
    </r>
    <r>
      <rPr>
        <sz val="11"/>
        <color theme="1"/>
        <rFont val="ＭＳ Ｐゴシック"/>
        <family val="3"/>
        <charset val="128"/>
        <scheme val="minor"/>
      </rPr>
      <t>江老汗酒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</si>
  <si>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葡萄酒; 黄酒; 露酒; 果酒;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开胃酒</t>
    </r>
  </si>
  <si>
    <r>
      <t>帝川</t>
    </r>
    <r>
      <rPr>
        <sz val="11"/>
        <color theme="1"/>
        <rFont val="ＭＳ Ｐゴシック"/>
        <family val="3"/>
        <charset val="134"/>
        <scheme val="minor"/>
      </rPr>
      <t>浔</t>
    </r>
  </si>
  <si>
    <t>刘佳</t>
  </si>
  <si>
    <r>
      <t xml:space="preserve">黄酒; 米酒;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青稞酒; 白酒; 葡萄酒; 蝮蛇酒;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</si>
  <si>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吉全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光</t>
    </r>
  </si>
  <si>
    <t>田素英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</si>
  <si>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高粱酒; 食用酒精; 清酒; 黄酒; 米酒;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</si>
  <si>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洺</t>
    </r>
    <r>
      <rPr>
        <sz val="11"/>
        <color theme="1"/>
        <rFont val="ＭＳ Ｐゴシック"/>
        <family val="3"/>
        <charset val="128"/>
        <scheme val="minor"/>
      </rPr>
      <t>河之畔</t>
    </r>
  </si>
  <si>
    <r>
      <t>河南</t>
    </r>
    <r>
      <rPr>
        <sz val="11"/>
        <color theme="1"/>
        <rFont val="ＭＳ Ｐゴシック"/>
        <family val="3"/>
        <charset val="129"/>
        <scheme val="minor"/>
      </rPr>
      <t>洺</t>
    </r>
    <r>
      <rPr>
        <sz val="11"/>
        <color theme="1"/>
        <rFont val="ＭＳ Ｐゴシック"/>
        <family val="3"/>
        <charset val="128"/>
        <scheme val="minor"/>
      </rPr>
      <t>河酒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</si>
  <si>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食用酒精; 威士忌; 白酒; 米酒; 黄酒;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</si>
  <si>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徽春博</t>
  </si>
  <si>
    <r>
      <t>安徽曲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</si>
  <si>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威士忌; 白酒;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朗姆酒;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黄酒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</si>
  <si>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氏世荣</t>
    </r>
  </si>
  <si>
    <t>赵刚</t>
  </si>
  <si>
    <r>
      <t xml:space="preserve">果酒（含酒精）; 白干酒（中国白酒）; 米酒; 松叶酒; 蜂蜜酒; 杜松子酒; 露酒;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</si>
  <si>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天禧梦</t>
  </si>
  <si>
    <r>
      <t>潍</t>
    </r>
    <r>
      <rPr>
        <sz val="11"/>
        <color theme="1"/>
        <rFont val="ＭＳ Ｐゴシック"/>
        <family val="3"/>
        <charset val="128"/>
        <scheme val="minor"/>
      </rPr>
      <t>坊玖第街商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</si>
  <si>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白酒; 食用酒精; 威士忌; 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</si>
  <si>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千市多</t>
  </si>
  <si>
    <r>
      <t>陕</t>
    </r>
    <r>
      <rPr>
        <sz val="11"/>
        <color theme="1"/>
        <rFont val="ＭＳ Ｐゴシック"/>
        <family val="3"/>
        <charset val="128"/>
        <scheme val="minor"/>
      </rPr>
      <t>西中荣餐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</si>
  <si>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烈酒; 高粱酒;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</si>
  <si>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招露</t>
  </si>
  <si>
    <t>柯学群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</si>
  <si>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食用酒精; 清酒; 茴香酒; 果酒;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黄酒; 白酒; 蒸煮提取物（利口酒和烈酒）</t>
    </r>
  </si>
  <si>
    <t>漆德文</t>
  </si>
  <si>
    <r>
      <t xml:space="preserve">果酒（含酒精）; 利口酒;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甜酒; 葡萄酒; 黄酒</t>
    </r>
  </si>
  <si>
    <t>绿畅</t>
  </si>
  <si>
    <r>
      <t>捷程（青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）信息技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</si>
  <si>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青稞酒; 果酒（含酒精）;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食用酒精; 葡萄酒; 米酒; 白酒; 黄酒</t>
    </r>
  </si>
  <si>
    <r>
      <t>羕</t>
    </r>
    <r>
      <rPr>
        <sz val="11"/>
        <color theme="1"/>
        <rFont val="ＭＳ Ｐゴシック"/>
        <family val="3"/>
        <charset val="128"/>
        <scheme val="minor"/>
      </rPr>
      <t>镹</t>
    </r>
  </si>
  <si>
    <r>
      <t>南京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柳生物科技有限公司</t>
    </r>
  </si>
  <si>
    <r>
      <t xml:space="preserve">白酒;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米酒; 青稞酒; 黄酒; 葡萄酒; 开胃酒; 利口酒</t>
    </r>
  </si>
  <si>
    <r>
      <t>韶</t>
    </r>
    <r>
      <rPr>
        <sz val="11"/>
        <color theme="1"/>
        <rFont val="ＭＳ Ｐゴシック"/>
        <family val="3"/>
        <charset val="134"/>
        <scheme val="minor"/>
      </rPr>
      <t>华倾负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</si>
  <si>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万洲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</si>
  <si>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利口酒;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</si>
  <si>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本源</t>
    </r>
    <r>
      <rPr>
        <sz val="11"/>
        <color theme="1"/>
        <rFont val="ＭＳ Ｐゴシック"/>
        <family val="3"/>
        <charset val="134"/>
        <scheme val="minor"/>
      </rPr>
      <t>芈</t>
    </r>
    <r>
      <rPr>
        <sz val="11"/>
        <color theme="1"/>
        <rFont val="ＭＳ Ｐゴシック"/>
        <family val="3"/>
        <charset val="128"/>
        <scheme val="minor"/>
      </rPr>
      <t>青</t>
    </r>
  </si>
  <si>
    <r>
      <t>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开胃酒;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露酒; 黄酒; 果酒</t>
    </r>
  </si>
  <si>
    <t>SALUTE ALWAYS</t>
  </si>
  <si>
    <t>思彤醇想（北京）品牌管理有限公司</t>
  </si>
  <si>
    <r>
      <t>杜松子酒;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加烈葡萄酒;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烈酒; 露酒; 利口酒;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</si>
  <si>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羕</t>
    </r>
    <r>
      <rPr>
        <sz val="11"/>
        <color theme="1"/>
        <rFont val="ＭＳ Ｐゴシック"/>
        <family val="3"/>
        <charset val="128"/>
        <scheme val="minor"/>
      </rPr>
      <t>歆</t>
    </r>
  </si>
  <si>
    <r>
      <t xml:space="preserve">开胃酒; 葡萄酒; 果酒（含酒精）; 白酒; 食用酒精; 利口酒; 米酒; 青稞酒;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</si>
  <si>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恭达雅致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</si>
  <si>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州恭达酒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</si>
  <si>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</si>
  <si>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t>奥滴</t>
  </si>
  <si>
    <t>石宝宝</t>
  </si>
  <si>
    <r>
      <t>黄酒; 白酒;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烈酒;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</si>
  <si>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正泰</t>
    </r>
  </si>
  <si>
    <t>李智勇</t>
  </si>
  <si>
    <r>
      <t xml:space="preserve">清酒（日本米酒）; 白葡萄酒;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果酒（含酒精）; 白酒; 水果汽酒; 青稞酒; 黄酒; 烈酒; 薄荷酒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</si>
  <si>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淮安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旅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</si>
  <si>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食用酒精;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黄酒; 米酒; 白酒; 果酒（含酒精）;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</si>
  <si>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北魏</t>
    </r>
    <r>
      <rPr>
        <sz val="11"/>
        <color theme="1"/>
        <rFont val="ＭＳ Ｐゴシック"/>
        <family val="3"/>
        <charset val="134"/>
        <scheme val="minor"/>
      </rPr>
      <t>冯</t>
    </r>
    <r>
      <rPr>
        <sz val="11"/>
        <color theme="1"/>
        <rFont val="ＭＳ Ｐゴシック"/>
        <family val="3"/>
        <charset val="128"/>
        <scheme val="minor"/>
      </rPr>
      <t>太后</t>
    </r>
  </si>
  <si>
    <r>
      <t>千年花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文化旅游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展（大同）有限公司</t>
    </r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</si>
  <si>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葡萄酒; 黄酒; 果酒（含酒精）</t>
    </r>
  </si>
  <si>
    <t>晋棕台</t>
  </si>
  <si>
    <r>
      <t>米酒;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清酒; 青稞酒;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蝮蛇酒</t>
    </r>
  </si>
  <si>
    <r>
      <t>饭</t>
    </r>
    <r>
      <rPr>
        <sz val="11"/>
        <color theme="1"/>
        <rFont val="ＭＳ Ｐゴシック"/>
        <family val="3"/>
        <charset val="128"/>
        <scheme val="minor"/>
      </rPr>
      <t>爸爸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</si>
  <si>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饭</t>
    </r>
    <r>
      <rPr>
        <sz val="11"/>
        <color theme="1"/>
        <rFont val="ＭＳ Ｐゴシック"/>
        <family val="3"/>
        <charset val="128"/>
        <scheme val="minor"/>
      </rPr>
      <t>爸爸餐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</si>
  <si>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黄酒; 白酒;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高粱酒; 葡萄酒;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</si>
  <si>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r>
      <t>吉善春（浙江）茶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</si>
  <si>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餐后酒（利口酒和烈酒）;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米酒（泡盛酒）; 清酒;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白葡萄酒;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</si>
  <si>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r>
      <t>九</t>
    </r>
    <r>
      <rPr>
        <sz val="11"/>
        <color theme="1"/>
        <rFont val="ＭＳ Ｐゴシック"/>
        <family val="3"/>
        <charset val="134"/>
        <scheme val="minor"/>
      </rPr>
      <t>雏</t>
    </r>
  </si>
  <si>
    <r>
      <t>北京荣誉</t>
    </r>
    <r>
      <rPr>
        <sz val="11"/>
        <color theme="1"/>
        <rFont val="ＭＳ Ｐゴシック"/>
        <family val="3"/>
        <charset val="134"/>
        <scheme val="minor"/>
      </rPr>
      <t>环</t>
    </r>
    <r>
      <rPr>
        <sz val="11"/>
        <color theme="1"/>
        <rFont val="ＭＳ Ｐゴシック"/>
        <family val="3"/>
        <charset val="128"/>
        <scheme val="minor"/>
      </rPr>
      <t>球科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</si>
  <si>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清酒（日本米酒）; 葡萄酒</t>
    </r>
  </si>
  <si>
    <t>杜莎克</t>
  </si>
  <si>
    <t>蔡隆</t>
  </si>
  <si>
    <r>
      <t>白酒;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薄荷酒;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葡萄酒</t>
    </r>
  </si>
  <si>
    <t>杞道豆康</t>
  </si>
  <si>
    <r>
      <t>贾</t>
    </r>
    <r>
      <rPr>
        <sz val="11"/>
        <color theme="1"/>
        <rFont val="ＭＳ Ｐゴシック"/>
        <family val="3"/>
        <charset val="128"/>
        <scheme val="minor"/>
      </rPr>
      <t>宗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</si>
  <si>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葡萄酒; 白酒; 高粱酒; 露酒;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</si>
  <si>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刃甲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</si>
  <si>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米酒; 汽酒; 白酒; 食用酒精;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黄酒</t>
    </r>
  </si>
  <si>
    <t>湘羽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</si>
  <si>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开胃酒; 葡萄酒;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利口酒</t>
    </r>
  </si>
  <si>
    <r>
      <t>绍</t>
    </r>
    <r>
      <rPr>
        <sz val="11"/>
        <color theme="1"/>
        <rFont val="ＭＳ Ｐゴシック"/>
        <family val="3"/>
        <charset val="128"/>
        <scheme val="minor"/>
      </rPr>
      <t>壮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</si>
  <si>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伏特加酒;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威士忌; 米酒;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</si>
  <si>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t>棘伴</t>
  </si>
  <si>
    <t>太原棘伴科技有限公司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</si>
  <si>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蒸煮提取物（利口酒和烈酒）; 葡萄酒; 白酒;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果酒; 蜂蜜酒; 开胃酒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</si>
  <si>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葡萄酒; 米酒;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</si>
  <si>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琪勒斯</t>
  </si>
  <si>
    <r>
      <t>醇运供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管理（上海）有限公司</t>
    </r>
  </si>
  <si>
    <r>
      <t>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蒸煮提取物（利口酒和烈酒）; 黄酒; 清酒; 威士忌; 米酒</t>
    </r>
  </si>
  <si>
    <t>寿古坊</t>
  </si>
  <si>
    <r>
      <t>泉州市丰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区</t>
    </r>
    <r>
      <rPr>
        <sz val="11"/>
        <color theme="1"/>
        <rFont val="ＭＳ Ｐゴシック"/>
        <family val="3"/>
        <charset val="134"/>
        <scheme val="minor"/>
      </rPr>
      <t>简觅贸</t>
    </r>
    <r>
      <rPr>
        <sz val="11"/>
        <color theme="1"/>
        <rFont val="ＭＳ Ｐゴシック"/>
        <family val="3"/>
        <charset val="128"/>
        <scheme val="minor"/>
      </rPr>
      <t>易商行(个体工商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)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</si>
  <si>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开胃酒; 白酒; 葡萄酒; 餐后酒（利口酒和烈酒）; 米酒;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苦味酒</t>
    </r>
  </si>
  <si>
    <r>
      <t>晓</t>
    </r>
    <r>
      <rPr>
        <sz val="11"/>
        <color theme="1"/>
        <rFont val="ＭＳ Ｐゴシック"/>
        <family val="3"/>
        <charset val="128"/>
        <scheme val="minor"/>
      </rPr>
      <t>姮</t>
    </r>
  </si>
  <si>
    <r>
      <t>张晓</t>
    </r>
    <r>
      <rPr>
        <sz val="11"/>
        <color theme="1"/>
        <rFont val="ＭＳ Ｐゴシック"/>
        <family val="3"/>
        <charset val="128"/>
        <scheme val="minor"/>
      </rPr>
      <t>姮</t>
    </r>
  </si>
  <si>
    <r>
      <t>伏特加酒; 食用酒精;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威士忌; 葡萄酒; 清酒; 黄酒; 果酒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</si>
  <si>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黄酒; 米酒; 果酒; 清酒（日本米酒）</t>
    </r>
  </si>
  <si>
    <t>老丈人瑞草</t>
  </si>
  <si>
    <t>秦柔君</t>
  </si>
  <si>
    <r>
      <t>果酒（含酒精）; 苦味酒;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薄荷酒; 威士忌; 白酒; 朗姆酒;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</si>
  <si>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时间树</t>
    </r>
    <r>
      <rPr>
        <sz val="11"/>
        <color theme="1"/>
        <rFont val="ＭＳ Ｐゴシック"/>
        <family val="3"/>
        <charset val="128"/>
        <scheme val="minor"/>
      </rPr>
      <t>下</t>
    </r>
  </si>
  <si>
    <r>
      <t>菏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千蕊牡丹生物科技有限公司</t>
    </r>
  </si>
  <si>
    <r>
      <t>高粱酒; 白酒;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烈酒; 白干酒（中国白酒）;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</t>
    </r>
  </si>
  <si>
    <r>
      <t>兰</t>
    </r>
    <r>
      <rPr>
        <sz val="11"/>
        <color theme="1"/>
        <rFont val="ＭＳ Ｐゴシック"/>
        <family val="3"/>
        <charset val="128"/>
        <scheme val="minor"/>
      </rPr>
      <t>台鹿</t>
    </r>
  </si>
  <si>
    <r>
      <t>林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月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</si>
  <si>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威士忌; 薄荷酒; 蜂蜜酒; 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苹果酒;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</si>
  <si>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维</t>
    </r>
    <r>
      <rPr>
        <sz val="11"/>
        <color theme="1"/>
        <rFont val="ＭＳ Ｐゴシック"/>
        <family val="3"/>
        <charset val="128"/>
        <scheme val="minor"/>
      </rPr>
      <t>加欣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</si>
  <si>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沙</t>
    </r>
    <r>
      <rPr>
        <sz val="11"/>
        <color theme="1"/>
        <rFont val="ＭＳ Ｐゴシック"/>
        <family val="3"/>
        <charset val="134"/>
        <scheme val="minor"/>
      </rPr>
      <t>绿</t>
    </r>
    <r>
      <rPr>
        <sz val="11"/>
        <color theme="1"/>
        <rFont val="ＭＳ Ｐゴシック"/>
        <family val="3"/>
        <charset val="128"/>
        <scheme val="minor"/>
      </rPr>
      <t>叶生物科技有限公司</t>
    </r>
  </si>
  <si>
    <r>
      <t xml:space="preserve">开胃酒;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清酒;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</si>
  <si>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羕</t>
    </r>
    <r>
      <rPr>
        <sz val="11"/>
        <color theme="1"/>
        <rFont val="ＭＳ Ｐゴシック"/>
        <family val="3"/>
        <charset val="128"/>
        <scheme val="minor"/>
      </rPr>
      <t>和</t>
    </r>
  </si>
  <si>
    <r>
      <t xml:space="preserve">果酒（含酒精）; 开胃酒;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黄酒; 葡萄酒; 利口酒; 青稞酒; 米酒</t>
    </r>
  </si>
  <si>
    <t>王鼎江湖</t>
  </si>
  <si>
    <t>黄俊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</si>
  <si>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果酒; 白酒; 米酒; 葡萄酒; 开胃酒</t>
    </r>
  </si>
  <si>
    <t>辰邑</t>
  </si>
  <si>
    <r>
      <t>顺</t>
    </r>
    <r>
      <rPr>
        <sz val="11"/>
        <color theme="1"/>
        <rFont val="ＭＳ Ｐゴシック"/>
        <family val="3"/>
        <charset val="128"/>
        <scheme val="minor"/>
      </rPr>
      <t>邑国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品牌管理（深圳）有限公司</t>
    </r>
  </si>
  <si>
    <r>
      <t>烈酒;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混合威士忌酒;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伏特加酒; 葡萄酒</t>
    </r>
  </si>
  <si>
    <r>
      <t>鑫玉</t>
    </r>
    <r>
      <rPr>
        <sz val="11"/>
        <color theme="1"/>
        <rFont val="ＭＳ Ｐゴシック"/>
        <family val="3"/>
        <charset val="134"/>
        <scheme val="minor"/>
      </rPr>
      <t>玺</t>
    </r>
  </si>
  <si>
    <r>
      <t>君理（上海）国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</si>
  <si>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清酒（日本米酒）; 果酒（含酒精）; 葡萄酒; 白酒; 黄酒; 威士忌</t>
    </r>
  </si>
  <si>
    <t>慧台工匠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</si>
  <si>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州慧台酒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</si>
  <si>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薄荷酒;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白酒; 食用酒精; 米酒; 开胃酒; 青稞酒; 黄酒; 葡萄酒</t>
    </r>
  </si>
  <si>
    <r>
      <t>洒云</t>
    </r>
    <r>
      <rPr>
        <sz val="11"/>
        <color theme="1"/>
        <rFont val="ＭＳ Ｐゴシック"/>
        <family val="3"/>
        <charset val="134"/>
        <scheme val="minor"/>
      </rPr>
      <t>涧</t>
    </r>
  </si>
  <si>
    <r>
      <t>马书</t>
    </r>
    <r>
      <rPr>
        <sz val="11"/>
        <color theme="1"/>
        <rFont val="ＭＳ Ｐゴシック"/>
        <family val="3"/>
        <charset val="128"/>
        <scheme val="minor"/>
      </rPr>
      <t>行******************</t>
    </r>
  </si>
  <si>
    <r>
      <t>威士忌; 米酒;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</t>
    </r>
  </si>
  <si>
    <r>
      <t>骉骑</t>
    </r>
    <r>
      <rPr>
        <sz val="11"/>
        <color theme="1"/>
        <rFont val="ＭＳ Ｐゴシック"/>
        <family val="3"/>
        <charset val="128"/>
        <scheme val="minor"/>
      </rPr>
      <t>道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</si>
  <si>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潘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</si>
  <si>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朗姆酒; 果酒; 威士忌;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</t>
    </r>
  </si>
  <si>
    <r>
      <t>孝</t>
    </r>
    <r>
      <rPr>
        <sz val="11"/>
        <color theme="1"/>
        <rFont val="ＭＳ Ｐゴシック"/>
        <family val="3"/>
        <charset val="134"/>
        <scheme val="minor"/>
      </rPr>
      <t>贤</t>
    </r>
    <r>
      <rPr>
        <sz val="11"/>
        <color theme="1"/>
        <rFont val="ＭＳ Ｐゴシック"/>
        <family val="3"/>
        <charset val="128"/>
        <scheme val="minor"/>
      </rPr>
      <t>隆源</t>
    </r>
  </si>
  <si>
    <r>
      <t>屈</t>
    </r>
    <r>
      <rPr>
        <sz val="11"/>
        <color theme="1"/>
        <rFont val="ＭＳ Ｐゴシック"/>
        <family val="3"/>
        <charset val="134"/>
        <scheme val="minor"/>
      </rPr>
      <t>贤贤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</si>
  <si>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高粱酒;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清酒; 白酒; 米酒; 烈酒</t>
    </r>
  </si>
  <si>
    <t>儒卜</t>
  </si>
  <si>
    <t>刘文航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</si>
  <si>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白酒; 清酒;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刺五加酒</t>
    </r>
  </si>
  <si>
    <t>福酩山</t>
  </si>
  <si>
    <r>
      <t>陆</t>
    </r>
    <r>
      <rPr>
        <sz val="11"/>
        <color theme="1"/>
        <rFont val="ＭＳ Ｐゴシック"/>
        <family val="3"/>
        <charset val="128"/>
        <scheme val="minor"/>
      </rPr>
      <t>芳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</si>
  <si>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食用酒精; 白酒; 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</si>
  <si>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魔侠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</si>
  <si>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魔匣科技有限公司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</si>
  <si>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</si>
  <si>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t>PEOMONO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</si>
  <si>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朗姆酒; 威士忌;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开胃酒; 葡萄酒</t>
    </r>
  </si>
  <si>
    <t>逾凡</t>
  </si>
  <si>
    <r>
      <t>原阳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超越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机</t>
    </r>
    <r>
      <rPr>
        <sz val="11"/>
        <color theme="1"/>
        <rFont val="ＭＳ Ｐゴシック"/>
        <family val="3"/>
        <charset val="134"/>
        <scheme val="minor"/>
      </rPr>
      <t>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</si>
  <si>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>葡萄酒; 食用酒精;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蒸煮提取物（利口酒和烈酒）;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</si>
  <si>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飞</t>
    </r>
    <r>
      <rPr>
        <sz val="11"/>
        <color theme="1"/>
        <rFont val="ＭＳ Ｐゴシック"/>
        <family val="3"/>
        <charset val="128"/>
        <scheme val="minor"/>
      </rPr>
      <t>小</t>
    </r>
    <r>
      <rPr>
        <sz val="11"/>
        <color theme="1"/>
        <rFont val="ＭＳ Ｐゴシック"/>
        <family val="3"/>
        <charset val="134"/>
        <scheme val="minor"/>
      </rPr>
      <t>钻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</si>
  <si>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清酒（日本米酒）</t>
    </r>
  </si>
  <si>
    <t>RAOPINGGUO</t>
  </si>
  <si>
    <r>
      <t>饶</t>
    </r>
    <r>
      <rPr>
        <sz val="11"/>
        <color theme="1"/>
        <rFont val="ＭＳ Ｐゴシック"/>
        <family val="3"/>
        <charset val="128"/>
        <scheme val="minor"/>
      </rPr>
      <t>平国平</t>
    </r>
    <r>
      <rPr>
        <sz val="11"/>
        <color theme="1"/>
        <rFont val="ＭＳ Ｐゴシック"/>
        <family val="3"/>
        <charset val="134"/>
        <scheme val="minor"/>
      </rPr>
      <t>饶贸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</si>
  <si>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黄酒; 烈酒; 威士忌;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</t>
    </r>
  </si>
  <si>
    <t>万峰里</t>
  </si>
  <si>
    <r>
      <t>钱</t>
    </r>
    <r>
      <rPr>
        <sz val="11"/>
        <color theme="1"/>
        <rFont val="ＭＳ Ｐゴシック"/>
        <family val="3"/>
        <charset val="128"/>
        <scheme val="minor"/>
      </rPr>
      <t>程浩</t>
    </r>
  </si>
  <si>
    <r>
      <t>白酒; 露酒;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高粱酒; 葡萄酒;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</si>
  <si>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吟升</t>
    </r>
  </si>
  <si>
    <r>
      <t>宁夏埃金工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</si>
  <si>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</si>
  <si>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山王林下</t>
  </si>
  <si>
    <t>吉林省山王食品有限公司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</si>
  <si>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露酒;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朗姆酒;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</t>
    </r>
  </si>
  <si>
    <t>杰星原</t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</si>
  <si>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金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信生物科技有限公司</t>
    </r>
  </si>
  <si>
    <r>
      <t>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</si>
  <si>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樱</t>
    </r>
    <r>
      <rPr>
        <sz val="11"/>
        <color theme="1"/>
        <rFont val="ＭＳ Ｐゴシック"/>
        <family val="3"/>
        <charset val="128"/>
        <scheme val="minor"/>
      </rPr>
      <t>天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</si>
  <si>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白干酒（中国白酒）;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烈酒; 米酒</t>
    </r>
  </si>
  <si>
    <t>越霍韵</t>
  </si>
  <si>
    <r>
      <t>张伟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</si>
  <si>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青稞酒; 蜂蜜酒; 黄酒; 米酒;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利口酒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</si>
  <si>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三</t>
    </r>
    <r>
      <rPr>
        <sz val="11"/>
        <color theme="1"/>
        <rFont val="ＭＳ Ｐゴシック"/>
        <family val="3"/>
        <charset val="134"/>
        <scheme val="minor"/>
      </rPr>
      <t>岁</t>
    </r>
  </si>
  <si>
    <r>
      <t>肖江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</si>
  <si>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 xml:space="preserve">葡萄酒;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果酒（含酒精）; 开胃酒; 黄酒</t>
    </r>
  </si>
  <si>
    <r>
      <t>广西南宁小熊商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合伙企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（有限合伙））</t>
    </r>
  </si>
  <si>
    <r>
      <t>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青稞酒;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</t>
    </r>
  </si>
  <si>
    <r>
      <t>福六</t>
    </r>
    <r>
      <rPr>
        <sz val="11"/>
        <color theme="1"/>
        <rFont val="ＭＳ Ｐゴシック"/>
        <family val="3"/>
        <charset val="134"/>
        <scheme val="minor"/>
      </rPr>
      <t>鲤</t>
    </r>
  </si>
  <si>
    <r>
      <t>广州方元文化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</si>
  <si>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葡萄酒; 黄酒; 食用酒精</t>
    </r>
  </si>
  <si>
    <t>隋唐山河</t>
  </si>
  <si>
    <r>
      <t>杨</t>
    </r>
    <r>
      <rPr>
        <sz val="11"/>
        <color theme="1"/>
        <rFont val="ＭＳ Ｐゴシック"/>
        <family val="3"/>
        <charset val="128"/>
        <scheme val="minor"/>
      </rPr>
      <t>斌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</si>
  <si>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露酒; 苹果酒; 葡萄酒; 餐后酒（利口酒和烈酒）; 果酒（含酒精）; 白酒;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</si>
  <si>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泉</t>
    </r>
    <r>
      <rPr>
        <sz val="11"/>
        <color theme="1"/>
        <rFont val="ＭＳ Ｐゴシック"/>
        <family val="3"/>
        <charset val="134"/>
        <scheme val="minor"/>
      </rPr>
      <t>忆</t>
    </r>
    <r>
      <rPr>
        <sz val="11"/>
        <color theme="1"/>
        <rFont val="ＭＳ Ｐゴシック"/>
        <family val="3"/>
        <charset val="128"/>
        <scheme val="minor"/>
      </rPr>
      <t>鑫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</si>
  <si>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可心</t>
    </r>
  </si>
  <si>
    <r>
      <t>开胃酒;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葡萄酒; 白酒</t>
    </r>
  </si>
  <si>
    <r>
      <t>LOUISVICTOR 路易·</t>
    </r>
    <r>
      <rPr>
        <sz val="11"/>
        <color theme="1"/>
        <rFont val="ＭＳ Ｐゴシック"/>
        <family val="3"/>
        <charset val="134"/>
        <scheme val="minor"/>
      </rPr>
      <t>维</t>
    </r>
    <r>
      <rPr>
        <sz val="11"/>
        <color theme="1"/>
        <rFont val="ＭＳ Ｐゴシック"/>
        <family val="3"/>
        <charset val="128"/>
        <scheme val="minor"/>
      </rPr>
      <t>克多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</si>
  <si>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倩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</si>
  <si>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威士忌</t>
    </r>
  </si>
  <si>
    <r>
      <t>若</t>
    </r>
    <r>
      <rPr>
        <sz val="11"/>
        <color theme="1"/>
        <rFont val="ＭＳ Ｐゴシック"/>
        <family val="3"/>
        <charset val="129"/>
        <scheme val="minor"/>
      </rPr>
      <t>怀</t>
    </r>
  </si>
  <si>
    <r>
      <t>程小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</si>
  <si>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 xml:space="preserve">开胃酒; 果酒（含酒精）; 黄酒;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</si>
  <si>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t>杜酩福</t>
  </si>
  <si>
    <t>沈盈</t>
  </si>
  <si>
    <r>
      <t>黄酒; 开胃酒; 白酒; 清酒（日本米酒）; 果酒（含酒精）;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</t>
    </r>
  </si>
  <si>
    <t>黎亭白</t>
  </si>
  <si>
    <r>
      <t>山西神州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</si>
  <si>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威士忌;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</t>
    </r>
  </si>
  <si>
    <r>
      <t>忆</t>
    </r>
    <r>
      <rPr>
        <sz val="11"/>
        <color theme="1"/>
        <rFont val="ＭＳ Ｐゴシック"/>
        <family val="3"/>
        <charset val="128"/>
        <scheme val="minor"/>
      </rPr>
      <t>酒五六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</si>
  <si>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开胃酒;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利口酒</t>
    </r>
  </si>
  <si>
    <r>
      <t>米掌</t>
    </r>
    <r>
      <rPr>
        <sz val="11"/>
        <color theme="1"/>
        <rFont val="ＭＳ Ｐゴシック"/>
        <family val="3"/>
        <charset val="134"/>
        <scheme val="minor"/>
      </rPr>
      <t>门</t>
    </r>
  </si>
  <si>
    <r>
      <t>汤</t>
    </r>
    <r>
      <rPr>
        <sz val="11"/>
        <color theme="1"/>
        <rFont val="ＭＳ Ｐゴシック"/>
        <family val="3"/>
        <charset val="128"/>
        <scheme val="minor"/>
      </rPr>
      <t>全福</t>
    </r>
  </si>
  <si>
    <r>
      <t xml:space="preserve">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烈酒; 果酒（含酒精）; 黄酒; 露酒; 米酒; 高粱酒</t>
    </r>
  </si>
  <si>
    <r>
      <t>桐梓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九</t>
    </r>
    <r>
      <rPr>
        <sz val="11"/>
        <color theme="1"/>
        <rFont val="ＭＳ Ｐゴシック"/>
        <family val="3"/>
        <charset val="134"/>
        <scheme val="minor"/>
      </rPr>
      <t>坝镇</t>
    </r>
    <r>
      <rPr>
        <sz val="11"/>
        <color theme="1"/>
        <rFont val="ＭＳ Ｐゴシック"/>
        <family val="3"/>
        <charset val="128"/>
        <scheme val="minor"/>
      </rPr>
      <t>聚福宇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家</t>
    </r>
    <r>
      <rPr>
        <sz val="11"/>
        <color theme="1"/>
        <rFont val="ＭＳ Ｐゴシック"/>
        <family val="3"/>
        <charset val="134"/>
        <scheme val="minor"/>
      </rPr>
      <t>乐</t>
    </r>
  </si>
  <si>
    <r>
      <t>五加皮酒（中国混合烈酒）;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朗姆酒; 露酒; 果酒; 黄酒; 葡萄酒; 清酒（日本米酒）;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</si>
  <si>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喜小妮</t>
  </si>
  <si>
    <r>
      <t>沧</t>
    </r>
    <r>
      <rPr>
        <sz val="11"/>
        <color theme="1"/>
        <rFont val="ＭＳ Ｐゴシック"/>
        <family val="3"/>
        <charset val="128"/>
        <scheme val="minor"/>
      </rPr>
      <t>州牛油果企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</si>
  <si>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伏特加酒; 米酒; 清酒（日本米酒）; 青稞酒</t>
    </r>
  </si>
  <si>
    <r>
      <t>醇</t>
    </r>
    <r>
      <rPr>
        <sz val="11"/>
        <color theme="1"/>
        <rFont val="ＭＳ Ｐゴシック"/>
        <family val="3"/>
        <charset val="134"/>
        <scheme val="minor"/>
      </rPr>
      <t>硕</t>
    </r>
    <r>
      <rPr>
        <sz val="11"/>
        <color theme="1"/>
        <rFont val="ＭＳ Ｐゴシック"/>
        <family val="3"/>
        <charset val="128"/>
        <scheme val="minor"/>
      </rPr>
      <t>年</t>
    </r>
  </si>
  <si>
    <r>
      <t>深圳市达慕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（个人独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</si>
  <si>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 xml:space="preserve">烈酒; 果酒（含酒精）;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薄荷酒; 威士忌; 米酒</t>
    </r>
  </si>
  <si>
    <t>嫦誉</t>
  </si>
  <si>
    <r>
      <t>广州居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家塑料制品有限公司</t>
    </r>
  </si>
  <si>
    <r>
      <t>果酒（含酒精）;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汽酒; 白酒</t>
    </r>
  </si>
  <si>
    <r>
      <t>朝聚医</t>
    </r>
    <r>
      <rPr>
        <sz val="11"/>
        <color theme="1"/>
        <rFont val="ＭＳ Ｐゴシック"/>
        <family val="3"/>
        <charset val="134"/>
        <scheme val="minor"/>
      </rPr>
      <t>疗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</si>
  <si>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米酒; 黄酒; 葡萄酒;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</si>
  <si>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接</t>
    </r>
    <r>
      <rPr>
        <sz val="11"/>
        <color theme="1"/>
        <rFont val="ＭＳ Ｐゴシック"/>
        <family val="3"/>
        <charset val="134"/>
        <scheme val="minor"/>
      </rPr>
      <t>銮</t>
    </r>
  </si>
  <si>
    <t>朋礼加</t>
  </si>
  <si>
    <r>
      <t xml:space="preserve">黄酒; 高粱酒; 露酒; 烈酒;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米酒; 苦艾酒</t>
    </r>
  </si>
  <si>
    <r>
      <t>燃</t>
    </r>
    <r>
      <rPr>
        <sz val="11"/>
        <color theme="1"/>
        <rFont val="ＭＳ Ｐゴシック"/>
        <family val="3"/>
        <charset val="134"/>
        <scheme val="minor"/>
      </rPr>
      <t>卫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</si>
  <si>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小琴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</si>
  <si>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蒸煮提取物（利口酒和烈酒）;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米酒;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</si>
  <si>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别忧</t>
  </si>
  <si>
    <r>
      <t xml:space="preserve">黄酒; 清酒（日本米酒）; 威士忌;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开胃酒;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</si>
  <si>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传</t>
    </r>
    <r>
      <rPr>
        <sz val="11"/>
        <color theme="1"/>
        <rFont val="ＭＳ Ｐゴシック"/>
        <family val="3"/>
        <charset val="128"/>
        <scheme val="minor"/>
      </rPr>
      <t>香天</t>
    </r>
  </si>
  <si>
    <r>
      <t>海南</t>
    </r>
    <r>
      <rPr>
        <sz val="11"/>
        <color theme="1"/>
        <rFont val="ＭＳ Ｐゴシック"/>
        <family val="3"/>
        <charset val="134"/>
        <scheme val="minor"/>
      </rPr>
      <t>畅</t>
    </r>
    <r>
      <rPr>
        <sz val="11"/>
        <color theme="1"/>
        <rFont val="ＭＳ Ｐゴシック"/>
        <family val="3"/>
        <charset val="128"/>
        <scheme val="minor"/>
      </rPr>
      <t>享未来生物科技有限公司</t>
    </r>
  </si>
  <si>
    <r>
      <t xml:space="preserve">烈酒; 葡萄酒; 果酒; 开胃酒; 威士忌; 白酒; 清酒;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</si>
  <si>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周春林</t>
  </si>
  <si>
    <r>
      <t>白酒;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黄酒; 茴芹酒（利口酒）; 清酒（日本米酒）;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</t>
    </r>
  </si>
  <si>
    <t>汶芝匠</t>
  </si>
  <si>
    <r>
      <t>孙</t>
    </r>
    <r>
      <rPr>
        <sz val="11"/>
        <color theme="1"/>
        <rFont val="ＭＳ Ｐゴシック"/>
        <family val="3"/>
        <charset val="128"/>
        <scheme val="minor"/>
      </rPr>
      <t>振</t>
    </r>
    <r>
      <rPr>
        <sz val="11"/>
        <color theme="1"/>
        <rFont val="ＭＳ Ｐゴシック"/>
        <family val="3"/>
        <charset val="134"/>
        <scheme val="minor"/>
      </rPr>
      <t>闯</t>
    </r>
  </si>
  <si>
    <r>
      <t>米酒;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</si>
  <si>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滋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</si>
  <si>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滋</t>
    </r>
    <r>
      <rPr>
        <sz val="11"/>
        <color theme="1"/>
        <rFont val="ＭＳ Ｐゴシック"/>
        <family val="3"/>
        <charset val="134"/>
        <scheme val="minor"/>
      </rPr>
      <t>馆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</si>
  <si>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食用酒精; 白干酒（中国白酒）; 烈酒</t>
    </r>
  </si>
  <si>
    <r>
      <t>尹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妃</t>
    </r>
  </si>
  <si>
    <t>雅美佳食品有限公司</t>
  </si>
  <si>
    <r>
      <t xml:space="preserve">葡萄酒;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</si>
  <si>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粤霍韵</t>
  </si>
  <si>
    <r>
      <t>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青稞酒; 蜂蜜酒;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</t>
    </r>
  </si>
  <si>
    <t>滇潭</t>
  </si>
  <si>
    <t>黄乾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</si>
  <si>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朗姆酒; 果酒（含酒精）; 利口酒; 白酒; 青稞酒</t>
    </r>
  </si>
  <si>
    <t>巴赫艾慕</t>
  </si>
  <si>
    <r>
      <t>中</t>
    </r>
    <r>
      <rPr>
        <sz val="11"/>
        <color theme="1"/>
        <rFont val="ＭＳ Ｐゴシック"/>
        <family val="3"/>
        <charset val="134"/>
        <scheme val="minor"/>
      </rPr>
      <t>贸远</t>
    </r>
    <r>
      <rPr>
        <sz val="11"/>
        <color theme="1"/>
        <rFont val="ＭＳ Ｐゴシック"/>
        <family val="3"/>
        <charset val="128"/>
        <scheme val="minor"/>
      </rPr>
      <t>洋（天津）国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</si>
  <si>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汽酒; 果酒; 白酒; 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天然汽酒;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开胃酒</t>
    </r>
  </si>
  <si>
    <t>卡蒙-梦露酒庄</t>
  </si>
  <si>
    <r>
      <t>河北伍悦云昇商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</si>
  <si>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果酒; 开胃酒;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蒸煮提取物（利口酒和烈酒）; 酸酒（低等葡萄酒）;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</si>
  <si>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r>
      <t>老</t>
    </r>
    <r>
      <rPr>
        <sz val="11"/>
        <color theme="1"/>
        <rFont val="ＭＳ Ｐゴシック"/>
        <family val="3"/>
        <charset val="129"/>
        <scheme val="minor"/>
      </rPr>
      <t>洺</t>
    </r>
    <r>
      <rPr>
        <sz val="11"/>
        <color theme="1"/>
        <rFont val="ＭＳ Ｐゴシック"/>
        <family val="3"/>
        <charset val="128"/>
        <scheme val="minor"/>
      </rPr>
      <t>阳</t>
    </r>
  </si>
  <si>
    <r>
      <t>威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久邦商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</si>
  <si>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烈酒;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</si>
  <si>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合家情</t>
  </si>
  <si>
    <r>
      <t>成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区江洇</t>
    </r>
    <r>
      <rPr>
        <sz val="11"/>
        <color theme="1"/>
        <rFont val="ＭＳ Ｐゴシック"/>
        <family val="3"/>
        <charset val="134"/>
        <scheme val="minor"/>
      </rPr>
      <t>镁</t>
    </r>
    <r>
      <rPr>
        <sz val="11"/>
        <color theme="1"/>
        <rFont val="ＭＳ Ｐゴシック"/>
        <family val="3"/>
        <charset val="128"/>
        <scheme val="minor"/>
      </rPr>
      <t>霞商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部</t>
    </r>
  </si>
  <si>
    <r>
      <t>餐后酒（利口酒和烈酒）; 黄酒;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食用酒精; 白酒; 开胃酒</t>
    </r>
  </si>
  <si>
    <r>
      <t>大明</t>
    </r>
    <r>
      <rPr>
        <sz val="11"/>
        <color theme="1"/>
        <rFont val="ＭＳ Ｐゴシック"/>
        <family val="3"/>
        <charset val="134"/>
        <scheme val="minor"/>
      </rPr>
      <t>谱</t>
    </r>
  </si>
  <si>
    <r>
      <t>米酒; 高粱酒;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露酒; 黄酒; 白酒; 葡萄酒</t>
    </r>
  </si>
  <si>
    <t>明政</t>
  </si>
  <si>
    <r>
      <t>黄酒;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露酒; 烈酒; 葡萄酒; 米酒; 白酒; 高粱酒</t>
    </r>
  </si>
  <si>
    <r>
      <t>伶</t>
    </r>
    <r>
      <rPr>
        <sz val="11"/>
        <color theme="1"/>
        <rFont val="ＭＳ Ｐゴシック"/>
        <family val="3"/>
        <charset val="134"/>
        <scheme val="minor"/>
      </rPr>
      <t>伦风鸣</t>
    </r>
  </si>
  <si>
    <r>
      <t>伶</t>
    </r>
    <r>
      <rPr>
        <sz val="11"/>
        <color theme="1"/>
        <rFont val="ＭＳ Ｐゴシック"/>
        <family val="3"/>
        <charset val="134"/>
        <scheme val="minor"/>
      </rPr>
      <t>伦</t>
    </r>
    <r>
      <rPr>
        <sz val="11"/>
        <color theme="1"/>
        <rFont val="ＭＳ Ｐゴシック"/>
        <family val="3"/>
        <charset val="128"/>
        <scheme val="minor"/>
      </rPr>
      <t>（海南）酒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</si>
  <si>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汽酒; 果酒（含酒精）; 蜂蜜酒;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</si>
  <si>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福气君</t>
  </si>
  <si>
    <r>
      <t>葡萄酒; 米酒; 白酒; 高粱酒; 露酒; 果酒（含酒精）;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</t>
    </r>
  </si>
  <si>
    <t>崇升</t>
  </si>
  <si>
    <r>
      <t>扬</t>
    </r>
    <r>
      <rPr>
        <sz val="11"/>
        <color theme="1"/>
        <rFont val="ＭＳ Ｐゴシック"/>
        <family val="3"/>
        <charset val="128"/>
        <scheme val="minor"/>
      </rPr>
      <t>中市春枚食品</t>
    </r>
    <r>
      <rPr>
        <sz val="11"/>
        <color theme="1"/>
        <rFont val="ＭＳ Ｐゴシック"/>
        <family val="3"/>
        <charset val="134"/>
        <scheme val="minor"/>
      </rPr>
      <t>经营</t>
    </r>
    <r>
      <rPr>
        <sz val="11"/>
        <color theme="1"/>
        <rFont val="ＭＳ Ｐゴシック"/>
        <family val="3"/>
        <charset val="128"/>
        <scheme val="minor"/>
      </rPr>
      <t>部</t>
    </r>
  </si>
  <si>
    <r>
      <t>苹果酒; 葡萄酒; 露酒;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餐后酒（利口酒和烈酒）</t>
    </r>
  </si>
  <si>
    <r>
      <t>听</t>
    </r>
    <r>
      <rPr>
        <sz val="11"/>
        <color theme="1"/>
        <rFont val="ＭＳ Ｐゴシック"/>
        <family val="3"/>
        <charset val="134"/>
        <scheme val="minor"/>
      </rPr>
      <t>风见</t>
    </r>
    <r>
      <rPr>
        <sz val="11"/>
        <color theme="1"/>
        <rFont val="ＭＳ Ｐゴシック"/>
        <family val="3"/>
        <charset val="128"/>
        <scheme val="minor"/>
      </rPr>
      <t>山</t>
    </r>
  </si>
  <si>
    <r>
      <t>水磨沟区石人沟村听</t>
    </r>
    <r>
      <rPr>
        <sz val="11"/>
        <color theme="1"/>
        <rFont val="ＭＳ Ｐゴシック"/>
        <family val="3"/>
        <charset val="134"/>
        <scheme val="minor"/>
      </rPr>
      <t>风见</t>
    </r>
    <r>
      <rPr>
        <sz val="11"/>
        <color theme="1"/>
        <rFont val="ＭＳ Ｐゴシック"/>
        <family val="3"/>
        <charset val="128"/>
        <scheme val="minor"/>
      </rPr>
      <t>山民宿俱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部</t>
    </r>
  </si>
  <si>
    <r>
      <t>果酒（含酒精）; 葡萄酒; 白酒;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米酒</t>
    </r>
  </si>
  <si>
    <r>
      <t>鑫</t>
    </r>
    <r>
      <rPr>
        <sz val="11"/>
        <color theme="1"/>
        <rFont val="ＭＳ Ｐゴシック"/>
        <family val="3"/>
        <charset val="129"/>
        <scheme val="minor"/>
      </rPr>
      <t>洺</t>
    </r>
    <r>
      <rPr>
        <sz val="11"/>
        <color theme="1"/>
        <rFont val="ＭＳ Ｐゴシック"/>
        <family val="3"/>
        <charset val="128"/>
        <scheme val="minor"/>
      </rPr>
      <t>水</t>
    </r>
  </si>
  <si>
    <r>
      <t>河北科</t>
    </r>
    <r>
      <rPr>
        <sz val="11"/>
        <color theme="1"/>
        <rFont val="ＭＳ Ｐゴシック"/>
        <family val="3"/>
        <charset val="134"/>
        <scheme val="minor"/>
      </rPr>
      <t>贝</t>
    </r>
    <r>
      <rPr>
        <sz val="11"/>
        <color theme="1"/>
        <rFont val="ＭＳ Ｐゴシック"/>
        <family val="3"/>
        <charset val="128"/>
        <scheme val="minor"/>
      </rPr>
      <t>医</t>
    </r>
    <r>
      <rPr>
        <sz val="11"/>
        <color theme="1"/>
        <rFont val="ＭＳ Ｐゴシック"/>
        <family val="3"/>
        <charset val="134"/>
        <scheme val="minor"/>
      </rPr>
      <t>疗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</si>
  <si>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白干酒（中国白酒）; 葡萄酒; 黄酒; 开胃酒; 米酒; 白酒; 高粱酒;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</si>
  <si>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超激扭力</t>
  </si>
  <si>
    <r>
      <t>南京百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业经营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</si>
  <si>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樱</t>
    </r>
    <r>
      <rPr>
        <sz val="11"/>
        <color theme="1"/>
        <rFont val="ＭＳ Ｐゴシック"/>
        <family val="3"/>
        <charset val="128"/>
        <scheme val="minor"/>
      </rPr>
      <t>桃酒; 苹果酒;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白干酒（中国白酒）;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</si>
  <si>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安成福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</si>
  <si>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安程建</t>
    </r>
    <r>
      <rPr>
        <sz val="11"/>
        <color theme="1"/>
        <rFont val="ＭＳ Ｐゴシック"/>
        <family val="3"/>
        <charset val="134"/>
        <scheme val="minor"/>
      </rPr>
      <t>设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</si>
  <si>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食用酒精; 米酒;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</si>
  <si>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渝青林</t>
  </si>
  <si>
    <t>肖德荣</t>
  </si>
  <si>
    <r>
      <t>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威士忌; 葡萄酒; 高粱酒;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青稞酒</t>
    </r>
  </si>
  <si>
    <t>田志敏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</si>
  <si>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</si>
  <si>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贝</t>
    </r>
    <r>
      <rPr>
        <sz val="11"/>
        <color theme="1"/>
        <rFont val="ＭＳ Ｐゴシック"/>
        <family val="3"/>
        <charset val="128"/>
        <scheme val="minor"/>
      </rPr>
      <t>莱琳</t>
    </r>
  </si>
  <si>
    <r>
      <t>广州市逸赫承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</si>
  <si>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蜂蜜酒; 果酒（含酒精）; 威士忌; 米酒; 黄酒;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</si>
  <si>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哀牢山水潘</t>
    </r>
    <r>
      <rPr>
        <sz val="11"/>
        <color theme="1"/>
        <rFont val="ＭＳ Ｐゴシック"/>
        <family val="3"/>
        <charset val="134"/>
        <scheme val="minor"/>
      </rPr>
      <t>记</t>
    </r>
    <r>
      <rPr>
        <sz val="11"/>
        <color theme="1"/>
        <rFont val="ＭＳ Ｐゴシック"/>
        <family val="3"/>
        <charset val="128"/>
        <scheme val="minor"/>
      </rPr>
      <t>酒坊</t>
    </r>
  </si>
  <si>
    <t>潘家德</t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</si>
  <si>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清酒; 烈性干酒; 烈酒;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白干酒（中国白酒）</t>
    </r>
  </si>
  <si>
    <r>
      <t>悦</t>
    </r>
    <r>
      <rPr>
        <sz val="11"/>
        <color theme="1"/>
        <rFont val="ＭＳ Ｐゴシック"/>
        <family val="3"/>
        <charset val="134"/>
        <scheme val="minor"/>
      </rPr>
      <t>岚</t>
    </r>
    <r>
      <rPr>
        <sz val="11"/>
        <color theme="1"/>
        <rFont val="ＭＳ Ｐゴシック"/>
        <family val="3"/>
        <charset val="128"/>
        <scheme val="minor"/>
      </rPr>
      <t>御春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</si>
  <si>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万里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</si>
  <si>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</si>
  <si>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t>泰杏裕</t>
  </si>
  <si>
    <r>
      <t>靖江市瓜豆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</si>
  <si>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葡萄酒; 甜酒; 黄酒; 清酒;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</si>
  <si>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t>馥匠</t>
  </si>
  <si>
    <t>黄小明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</si>
  <si>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</si>
  <si>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隋唐著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</si>
  <si>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高粱酒; 葡萄酒; 白酒; 黄酒; 烈酒; 清酒; 果酒（含酒精）; 米酒; 露酒</t>
    </r>
  </si>
  <si>
    <t>琴人果</t>
  </si>
  <si>
    <r>
      <t>王</t>
    </r>
    <r>
      <rPr>
        <sz val="11"/>
        <color theme="1"/>
        <rFont val="ＭＳ Ｐゴシック"/>
        <family val="3"/>
        <charset val="134"/>
        <scheme val="minor"/>
      </rPr>
      <t>伟</t>
    </r>
    <r>
      <rPr>
        <sz val="11"/>
        <color theme="1"/>
        <rFont val="ＭＳ Ｐゴシック"/>
        <family val="3"/>
        <charset val="128"/>
        <scheme val="minor"/>
      </rPr>
      <t>旭</t>
    </r>
  </si>
  <si>
    <t>朗姆酒; 青稞酒; 黄酒; 果酒; 高粱酒; 葡萄酒; 米酒; 白酒; 甜果酒; 甜酒</t>
  </si>
  <si>
    <r>
      <t>寜</t>
    </r>
    <r>
      <rPr>
        <sz val="11"/>
        <color theme="1"/>
        <rFont val="ＭＳ Ｐゴシック"/>
        <family val="3"/>
        <charset val="128"/>
        <scheme val="minor"/>
      </rPr>
      <t>食</t>
    </r>
    <r>
      <rPr>
        <sz val="11"/>
        <color theme="1"/>
        <rFont val="ＭＳ Ｐゴシック"/>
        <family val="3"/>
        <charset val="134"/>
        <scheme val="minor"/>
      </rPr>
      <t>汇</t>
    </r>
  </si>
  <si>
    <r>
      <t>宁夏宁食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</si>
  <si>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果酒（含酒精）; 酸酒（低等葡萄酒）;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</si>
  <si>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小味熊</t>
  </si>
  <si>
    <t>李新朋</t>
  </si>
  <si>
    <t>清酒; 白酒; 甜酒; 开胃酒; 米酒; 食用酒精; 果酒; 葡萄酒; 汽酒; 黄酒</t>
  </si>
  <si>
    <r>
      <t>安成</t>
    </r>
    <r>
      <rPr>
        <sz val="11"/>
        <color theme="1"/>
        <rFont val="ＭＳ Ｐゴシック"/>
        <family val="3"/>
        <charset val="134"/>
        <scheme val="minor"/>
      </rPr>
      <t>乐</t>
    </r>
  </si>
  <si>
    <r>
      <t>食用酒精; 果酒; 烈酒; 米酒; 黄酒; 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</si>
  <si>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忆</t>
    </r>
    <r>
      <rPr>
        <sz val="11"/>
        <color theme="1"/>
        <rFont val="ＭＳ Ｐゴシック"/>
        <family val="3"/>
        <charset val="128"/>
        <scheme val="minor"/>
      </rPr>
      <t>酒二三</t>
    </r>
  </si>
  <si>
    <r>
      <t xml:space="preserve">利口酒;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米酒</t>
    </r>
  </si>
  <si>
    <r>
      <t>厚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唐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</si>
  <si>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米酒; 餐后酒（利口酒和烈酒）; 露酒;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苹果酒; 葡萄酒; 果酒（含酒精）</t>
    </r>
  </si>
  <si>
    <t>六只兔子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</si>
  <si>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汽酒; 清酒(日本米酒);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料(以啤酒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主的除外); 开胃酒; 米酒; 果酒(含酒精);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</si>
  <si>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珍</t>
    </r>
    <r>
      <rPr>
        <sz val="11"/>
        <color theme="1"/>
        <rFont val="ＭＳ Ｐゴシック"/>
        <family val="3"/>
        <charset val="134"/>
        <scheme val="minor"/>
      </rPr>
      <t>赣</t>
    </r>
    <r>
      <rPr>
        <sz val="11"/>
        <color theme="1"/>
        <rFont val="ＭＳ Ｐゴシック"/>
        <family val="3"/>
        <charset val="128"/>
        <scheme val="minor"/>
      </rPr>
      <t>南</t>
    </r>
  </si>
  <si>
    <t>刘嘉斌</t>
  </si>
  <si>
    <r>
      <t xml:space="preserve">果酒（含酒精）;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苹果酒</t>
    </r>
  </si>
  <si>
    <r>
      <t>绮</t>
    </r>
    <r>
      <rPr>
        <sz val="11"/>
        <color theme="1"/>
        <rFont val="ＭＳ Ｐゴシック"/>
        <family val="3"/>
        <charset val="128"/>
        <scheme val="minor"/>
      </rPr>
      <t>遇山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</si>
  <si>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淑森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</si>
  <si>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露酒; 果酒;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</si>
  <si>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黎亭宴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</si>
  <si>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开胃酒; 清酒（日本米酒）;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威士忌; 果酒（含酒精）</t>
    </r>
  </si>
  <si>
    <r>
      <t>美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仙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</si>
  <si>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清酒; 白酒; 果酒; 黄酒; 葡萄酒; 食用酒精;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</t>
    </r>
  </si>
  <si>
    <r>
      <t>名</t>
    </r>
    <r>
      <rPr>
        <sz val="11"/>
        <color theme="1"/>
        <rFont val="ＭＳ Ｐゴシック"/>
        <family val="3"/>
        <charset val="134"/>
        <scheme val="minor"/>
      </rPr>
      <t>释</t>
    </r>
  </si>
  <si>
    <r>
      <t xml:space="preserve">高粱酒;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果酒（含酒精）; 葡萄酒; 露酒</t>
    </r>
  </si>
  <si>
    <r>
      <t>君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永合</t>
    </r>
  </si>
  <si>
    <r>
      <t>新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代酒星（厦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</si>
  <si>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薄荷酒; 开胃酒;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威士忌; 葡萄酒; 黄酒</t>
    </r>
  </si>
  <si>
    <t>瑞演</t>
  </si>
  <si>
    <t>浙江瑞演智能制造有限公司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</si>
  <si>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开胃酒; 白酒</t>
    </r>
  </si>
  <si>
    <t>陌上四季</t>
  </si>
  <si>
    <r>
      <t>华语</t>
    </r>
    <r>
      <rPr>
        <sz val="11"/>
        <color theme="1"/>
        <rFont val="ＭＳ Ｐゴシック"/>
        <family val="3"/>
        <charset val="128"/>
        <scheme val="minor"/>
      </rPr>
      <t>之声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媒（杭州）有限公司</t>
    </r>
  </si>
  <si>
    <r>
      <t>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黄酒;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</si>
  <si>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大圣登</t>
    </r>
    <r>
      <rPr>
        <sz val="11"/>
        <color theme="1"/>
        <rFont val="ＭＳ Ｐゴシック"/>
        <family val="3"/>
        <charset val="134"/>
        <scheme val="minor"/>
      </rPr>
      <t>场</t>
    </r>
  </si>
  <si>
    <t>王宇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</si>
  <si>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</si>
  <si>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征九州</t>
  </si>
  <si>
    <r>
      <t xml:space="preserve">果酒（含酒精）; 葡萄酒; 米酒; 白酒; 露酒;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烈酒; 高粱酒</t>
    </r>
  </si>
  <si>
    <r>
      <t>宽</t>
    </r>
    <r>
      <rPr>
        <sz val="11"/>
        <color theme="1"/>
        <rFont val="ＭＳ Ｐゴシック"/>
        <family val="3"/>
        <charset val="128"/>
        <scheme val="minor"/>
      </rPr>
      <t>冬</t>
    </r>
  </si>
  <si>
    <r>
      <t>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葡萄酒; 黄酒; 白酒</t>
    </r>
  </si>
  <si>
    <r>
      <t>鸟</t>
    </r>
    <r>
      <rPr>
        <sz val="11"/>
        <color theme="1"/>
        <rFont val="ＭＳ Ｐゴシック"/>
        <family val="3"/>
        <charset val="128"/>
        <scheme val="minor"/>
      </rPr>
      <t>黄</t>
    </r>
  </si>
  <si>
    <r>
      <t>大</t>
    </r>
    <r>
      <rPr>
        <sz val="11"/>
        <color theme="1"/>
        <rFont val="ＭＳ Ｐゴシック"/>
        <family val="3"/>
        <charset val="134"/>
        <scheme val="minor"/>
      </rPr>
      <t>师</t>
    </r>
    <r>
      <rPr>
        <sz val="11"/>
        <color theme="1"/>
        <rFont val="ＭＳ Ｐゴシック"/>
        <family val="3"/>
        <charset val="128"/>
        <scheme val="minor"/>
      </rPr>
      <t>的味道（邯</t>
    </r>
    <r>
      <rPr>
        <sz val="11"/>
        <color theme="1"/>
        <rFont val="ＭＳ Ｐゴシック"/>
        <family val="3"/>
        <charset val="134"/>
        <scheme val="minor"/>
      </rPr>
      <t>郸</t>
    </r>
    <r>
      <rPr>
        <sz val="11"/>
        <color theme="1"/>
        <rFont val="ＭＳ Ｐゴシック"/>
        <family val="3"/>
        <charset val="128"/>
        <scheme val="minor"/>
      </rPr>
      <t>）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</si>
  <si>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食用酒精; 利口酒; 威士忌; 果酒（含酒精）</t>
    </r>
  </si>
  <si>
    <t>SEESUNNY</t>
  </si>
  <si>
    <r>
      <t xml:space="preserve">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伏特加酒; 葡萄酒;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</si>
  <si>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饶</t>
    </r>
    <r>
      <rPr>
        <sz val="11"/>
        <color theme="1"/>
        <rFont val="ＭＳ Ｐゴシック"/>
        <family val="3"/>
        <charset val="128"/>
        <scheme val="minor"/>
      </rPr>
      <t>美召</t>
    </r>
  </si>
  <si>
    <r>
      <t>饶</t>
    </r>
    <r>
      <rPr>
        <sz val="11"/>
        <color theme="1"/>
        <rFont val="ＭＳ Ｐゴシック"/>
        <family val="3"/>
        <charset val="128"/>
        <scheme val="minor"/>
      </rPr>
      <t>美召（*****************X）</t>
    </r>
  </si>
  <si>
    <r>
      <t xml:space="preserve">黄酒; 汽酒; 高粱酒; 葡萄酒;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清酒; 米酒</t>
    </r>
  </si>
  <si>
    <r>
      <t>愉</t>
    </r>
    <r>
      <rPr>
        <sz val="11"/>
        <color theme="1"/>
        <rFont val="ＭＳ Ｐゴシック"/>
        <family val="3"/>
        <charset val="134"/>
        <scheme val="minor"/>
      </rPr>
      <t>时</t>
    </r>
  </si>
  <si>
    <t>覃相云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</si>
  <si>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黄酒; 白酒; 开胃酒; 果酒（含酒精）; 威士忌;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清酒（日本米酒）</t>
    </r>
  </si>
  <si>
    <t>等江南</t>
  </si>
  <si>
    <r>
      <t>等江南（上海）文化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</si>
  <si>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威士忌; 汽酒; 果酒（含酒精）; 白酒; 米酒;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利口酒</t>
    </r>
  </si>
  <si>
    <r>
      <t>南</t>
    </r>
    <r>
      <rPr>
        <sz val="11"/>
        <color theme="1"/>
        <rFont val="ＭＳ Ｐゴシック"/>
        <family val="3"/>
        <charset val="134"/>
        <scheme val="minor"/>
      </rPr>
      <t>鲲</t>
    </r>
  </si>
  <si>
    <r>
      <t xml:space="preserve">米酒; 白酒; 青梅酒;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露酒; 烈酒;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利口酒</t>
    </r>
  </si>
  <si>
    <r>
      <t>志</t>
    </r>
    <r>
      <rPr>
        <sz val="11"/>
        <color theme="1"/>
        <rFont val="ＭＳ Ｐゴシック"/>
        <family val="3"/>
        <charset val="134"/>
        <scheme val="minor"/>
      </rPr>
      <t>阔</t>
    </r>
  </si>
  <si>
    <r>
      <t>李会</t>
    </r>
    <r>
      <rPr>
        <sz val="11"/>
        <color theme="1"/>
        <rFont val="ＭＳ Ｐゴシック"/>
        <family val="3"/>
        <charset val="134"/>
        <scheme val="minor"/>
      </rPr>
      <t>满</t>
    </r>
  </si>
  <si>
    <r>
      <t>果酒（含酒精）;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朗姆酒;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清酒（日本米酒）; 黄酒</t>
    </r>
  </si>
  <si>
    <t>黎亭宴御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</si>
  <si>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清酒（日本米酒）; 葡萄酒; 米酒; 开胃酒;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</si>
  <si>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天曲梦</t>
  </si>
  <si>
    <r>
      <t>白酒;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黄酒; 开胃酒; 烈酒; 清酒（日本米酒）</t>
    </r>
  </si>
  <si>
    <r>
      <t>贺芗</t>
    </r>
    <r>
      <rPr>
        <sz val="11"/>
        <color theme="1"/>
        <rFont val="ＭＳ Ｐゴシック"/>
        <family val="3"/>
        <charset val="128"/>
        <scheme val="minor"/>
      </rPr>
      <t>思</t>
    </r>
    <r>
      <rPr>
        <sz val="11"/>
        <color theme="1"/>
        <rFont val="ＭＳ Ｐゴシック"/>
        <family val="3"/>
        <charset val="134"/>
        <scheme val="minor"/>
      </rPr>
      <t>忆</t>
    </r>
  </si>
  <si>
    <r>
      <t>贺</t>
    </r>
    <r>
      <rPr>
        <sz val="11"/>
        <color theme="1"/>
        <rFont val="ＭＳ Ｐゴシック"/>
        <family val="3"/>
        <charset val="128"/>
        <scheme val="minor"/>
      </rPr>
      <t>向</t>
    </r>
    <r>
      <rPr>
        <sz val="11"/>
        <color theme="1"/>
        <rFont val="ＭＳ Ｐゴシック"/>
        <family val="3"/>
        <charset val="134"/>
        <scheme val="minor"/>
      </rPr>
      <t>东</t>
    </r>
  </si>
  <si>
    <r>
      <t xml:space="preserve">果酒（含酒精）; 葡萄酒;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威士忌; 烈酒</t>
    </r>
  </si>
  <si>
    <t>尹祖</t>
  </si>
  <si>
    <r>
      <t xml:space="preserve">果酒（含酒精）;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食用酒精;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</si>
  <si>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新秀百</t>
    </r>
    <r>
      <rPr>
        <sz val="11"/>
        <color theme="1"/>
        <rFont val="ＭＳ Ｐゴシック"/>
        <family val="3"/>
        <charset val="134"/>
        <scheme val="minor"/>
      </rPr>
      <t>龄</t>
    </r>
  </si>
  <si>
    <r>
      <t>驻马</t>
    </r>
    <r>
      <rPr>
        <sz val="11"/>
        <color theme="1"/>
        <rFont val="ＭＳ Ｐゴシック"/>
        <family val="3"/>
        <charset val="128"/>
        <scheme val="minor"/>
      </rPr>
      <t>店</t>
    </r>
    <r>
      <rPr>
        <sz val="11"/>
        <color theme="1"/>
        <rFont val="ＭＳ Ｐゴシック"/>
        <family val="3"/>
        <charset val="134"/>
        <scheme val="minor"/>
      </rPr>
      <t>龙兴</t>
    </r>
    <r>
      <rPr>
        <sz val="11"/>
        <color theme="1"/>
        <rFont val="ＭＳ Ｐゴシック"/>
        <family val="3"/>
        <charset val="128"/>
        <scheme val="minor"/>
      </rPr>
      <t>丰盛</t>
    </r>
    <r>
      <rPr>
        <sz val="11"/>
        <color theme="1"/>
        <rFont val="ＭＳ Ｐゴシック"/>
        <family val="3"/>
        <charset val="134"/>
        <scheme val="minor"/>
      </rPr>
      <t>农产</t>
    </r>
    <r>
      <rPr>
        <sz val="11"/>
        <color theme="1"/>
        <rFont val="ＭＳ Ｐゴシック"/>
        <family val="3"/>
        <charset val="128"/>
        <scheme val="minor"/>
      </rPr>
      <t>品有限公司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</si>
  <si>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朗姆酒; 伏特加酒; 利口酒; 威士忌; 起泡白葡萄酒;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</t>
    </r>
  </si>
  <si>
    <t>芯君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</si>
  <si>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尚鼎商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</si>
  <si>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食用酒精; 烈酒; 青稞酒;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高粱酒; 黄酒; 白酒; 清酒;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</si>
  <si>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布</t>
    </r>
    <r>
      <rPr>
        <sz val="11"/>
        <color theme="1"/>
        <rFont val="ＭＳ Ｐゴシック"/>
        <family val="3"/>
        <charset val="134"/>
        <scheme val="minor"/>
      </rPr>
      <t>绕</t>
    </r>
    <r>
      <rPr>
        <sz val="11"/>
        <color theme="1"/>
        <rFont val="ＭＳ Ｐゴシック"/>
        <family val="3"/>
        <charset val="128"/>
        <scheme val="minor"/>
      </rPr>
      <t>昂利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</si>
  <si>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畅</t>
    </r>
    <r>
      <rPr>
        <sz val="11"/>
        <color theme="1"/>
        <rFont val="ＭＳ Ｐゴシック"/>
        <family val="3"/>
        <charset val="128"/>
        <scheme val="minor"/>
      </rPr>
      <t>想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意文化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</si>
  <si>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高粱酒;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</si>
  <si>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晋尹</t>
  </si>
  <si>
    <t>星海食品有限公司</t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</si>
  <si>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食用酒精</t>
    </r>
  </si>
  <si>
    <r>
      <t>大力</t>
    </r>
    <r>
      <rPr>
        <sz val="11"/>
        <color theme="1"/>
        <rFont val="ＭＳ Ｐゴシック"/>
        <family val="3"/>
        <charset val="134"/>
        <scheme val="minor"/>
      </rPr>
      <t>岛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</si>
  <si>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松山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食品科技有限公司</t>
    </r>
  </si>
  <si>
    <r>
      <t>开胃酒; 高粱酒; 果酒（含酒精）; 葡萄酒;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</si>
  <si>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r>
      <t>悦</t>
    </r>
    <r>
      <rPr>
        <sz val="11"/>
        <color theme="1"/>
        <rFont val="ＭＳ Ｐゴシック"/>
        <family val="3"/>
        <charset val="134"/>
        <scheme val="minor"/>
      </rPr>
      <t>岚</t>
    </r>
    <r>
      <rPr>
        <sz val="11"/>
        <color theme="1"/>
        <rFont val="ＭＳ Ｐゴシック"/>
        <family val="3"/>
        <charset val="128"/>
        <scheme val="minor"/>
      </rPr>
      <t>御美</t>
    </r>
  </si>
  <si>
    <r>
      <t xml:space="preserve">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米酒; 清酒</t>
    </r>
  </si>
  <si>
    <r>
      <t>汶尚</t>
    </r>
    <r>
      <rPr>
        <sz val="11"/>
        <color theme="1"/>
        <rFont val="ＭＳ Ｐゴシック"/>
        <family val="3"/>
        <charset val="134"/>
        <scheme val="minor"/>
      </rPr>
      <t>书</t>
    </r>
  </si>
  <si>
    <r>
      <t>米酒; 葡萄酒;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黄酒; 果酒（含酒精）;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</si>
  <si>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粕客</t>
  </si>
  <si>
    <t>海南武国中医研究院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</si>
  <si>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黄酒; 伏特加酒; 果酒（含酒精）; 米酒; 食用酒精</t>
    </r>
  </si>
  <si>
    <t>柳小青</t>
  </si>
  <si>
    <t>白蒙蒙</t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</si>
  <si>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朗姆酒</t>
    </r>
  </si>
  <si>
    <r>
      <t>芥蔓</t>
    </r>
    <r>
      <rPr>
        <sz val="11"/>
        <color theme="1"/>
        <rFont val="ＭＳ Ｐゴシック"/>
        <family val="3"/>
        <charset val="134"/>
        <scheme val="minor"/>
      </rPr>
      <t>栀</t>
    </r>
  </si>
  <si>
    <r>
      <t>海口</t>
    </r>
    <r>
      <rPr>
        <sz val="11"/>
        <color theme="1"/>
        <rFont val="ＭＳ Ｐゴシック"/>
        <family val="3"/>
        <charset val="134"/>
        <scheme val="minor"/>
      </rPr>
      <t>龙华</t>
    </r>
    <r>
      <rPr>
        <sz val="11"/>
        <color theme="1"/>
        <rFont val="ＭＳ Ｐゴシック"/>
        <family val="3"/>
        <charset val="128"/>
        <scheme val="minor"/>
      </rPr>
      <t>佳</t>
    </r>
    <r>
      <rPr>
        <sz val="11"/>
        <color theme="1"/>
        <rFont val="ＭＳ Ｐゴシック"/>
        <family val="3"/>
        <charset val="134"/>
        <scheme val="minor"/>
      </rPr>
      <t>浔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商行</t>
    </r>
  </si>
  <si>
    <r>
      <t xml:space="preserve">葡萄酒; 茴芹酒（利口酒）; 青稞酒; 食用酒精;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</si>
  <si>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r>
      <t>马</t>
    </r>
    <r>
      <rPr>
        <sz val="11"/>
        <color theme="1"/>
        <rFont val="ＭＳ Ｐゴシック"/>
        <family val="3"/>
        <charset val="128"/>
        <scheme val="minor"/>
      </rPr>
      <t>世福</t>
    </r>
  </si>
  <si>
    <r>
      <t xml:space="preserve">白酒; 蒸煮提取物（利口酒和烈酒）; 葡萄酒;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开胃酒; 苹果酒; 咖啡利口酒</t>
    </r>
  </si>
  <si>
    <r>
      <t>年</t>
    </r>
    <r>
      <rPr>
        <sz val="11"/>
        <color theme="1"/>
        <rFont val="ＭＳ Ｐゴシック"/>
        <family val="3"/>
        <charset val="134"/>
        <scheme val="minor"/>
      </rPr>
      <t>树龄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</si>
  <si>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西云集恒丰商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</si>
  <si>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柑香酒; 开胃酒; 白酒; 蜂蜜酒</t>
    </r>
  </si>
  <si>
    <t>佳卷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</si>
  <si>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黄酒; 白酒; 开胃酒; 薄荷酒;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</si>
  <si>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妙里合</t>
  </si>
  <si>
    <r>
      <t>北京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遂商</t>
    </r>
    <r>
      <rPr>
        <sz val="11"/>
        <color theme="1"/>
        <rFont val="ＭＳ Ｐゴシック"/>
        <family val="3"/>
        <charset val="134"/>
        <scheme val="minor"/>
      </rPr>
      <t>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</si>
  <si>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米酒; 葡萄酒;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开胃酒; 白酒</t>
    </r>
  </si>
  <si>
    <r>
      <t>山里</t>
    </r>
    <r>
      <rPr>
        <sz val="11"/>
        <color theme="1"/>
        <rFont val="ＭＳ Ｐゴシック"/>
        <family val="3"/>
        <charset val="134"/>
        <scheme val="minor"/>
      </rPr>
      <t>鲜</t>
    </r>
  </si>
  <si>
    <r>
      <t>罗</t>
    </r>
    <r>
      <rPr>
        <sz val="11"/>
        <color theme="1"/>
        <rFont val="ＭＳ Ｐゴシック"/>
        <family val="3"/>
        <charset val="128"/>
        <scheme val="minor"/>
      </rPr>
      <t>俊杰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</si>
  <si>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黄酒; 白酒; 果酒（含酒精）; 葡萄酒; 米酒; 汽酒; 食用酒精; 青稞酒</t>
    </r>
  </si>
  <si>
    <r>
      <t>辽</t>
    </r>
    <r>
      <rPr>
        <sz val="11"/>
        <color theme="1"/>
        <rFont val="ＭＳ Ｐゴシック"/>
        <family val="3"/>
        <charset val="128"/>
        <scheme val="minor"/>
      </rPr>
      <t>荐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</si>
  <si>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建文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</si>
  <si>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葡萄酒; 清酒（日本米酒）; 米酒; 汽酒; 果酒（含酒精）</t>
    </r>
  </si>
  <si>
    <r>
      <t>尊尼芝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</si>
  <si>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葡萄酒; 起泡白葡萄酒;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朗姆酒;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利口酒;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伏特加酒</t>
    </r>
  </si>
  <si>
    <t>SHORT DISTANCE</t>
  </si>
  <si>
    <r>
      <t>浙江艾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斯山酒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</si>
  <si>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清酒; 朗姆酒</t>
    </r>
  </si>
  <si>
    <t>京尹</t>
  </si>
  <si>
    <r>
      <t>山居餐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</si>
  <si>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果酒（含酒精）</t>
    </r>
  </si>
  <si>
    <t>寄川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</si>
  <si>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食用酒精; 果酒（含酒精）; 白酒; 黄酒</t>
    </r>
  </si>
  <si>
    <r>
      <t>久</t>
    </r>
    <r>
      <rPr>
        <sz val="11"/>
        <color theme="1"/>
        <rFont val="ＭＳ Ｐゴシック"/>
        <family val="3"/>
        <charset val="134"/>
        <scheme val="minor"/>
      </rPr>
      <t>储</t>
    </r>
    <r>
      <rPr>
        <sz val="11"/>
        <color theme="1"/>
        <rFont val="ＭＳ Ｐゴシック"/>
        <family val="3"/>
        <charset val="128"/>
        <scheme val="minor"/>
      </rPr>
      <t>墨韵</t>
    </r>
  </si>
  <si>
    <r>
      <t>河南久</t>
    </r>
    <r>
      <rPr>
        <sz val="11"/>
        <color theme="1"/>
        <rFont val="ＭＳ Ｐゴシック"/>
        <family val="3"/>
        <charset val="134"/>
        <scheme val="minor"/>
      </rPr>
      <t>储</t>
    </r>
    <r>
      <rPr>
        <sz val="11"/>
        <color theme="1"/>
        <rFont val="ＭＳ Ｐゴシック"/>
        <family val="3"/>
        <charset val="128"/>
        <scheme val="minor"/>
      </rPr>
      <t>良商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</si>
  <si>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餐后酒（利口酒和烈酒）;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烈酒;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</si>
  <si>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科</t>
    </r>
    <r>
      <rPr>
        <sz val="11"/>
        <color theme="1"/>
        <rFont val="ＭＳ Ｐゴシック"/>
        <family val="3"/>
        <charset val="134"/>
        <scheme val="minor"/>
      </rPr>
      <t>栎</t>
    </r>
    <r>
      <rPr>
        <sz val="11"/>
        <color theme="1"/>
        <rFont val="ＭＳ Ｐゴシック"/>
        <family val="3"/>
        <charset val="128"/>
        <scheme val="minor"/>
      </rPr>
      <t>雅</t>
    </r>
  </si>
  <si>
    <r>
      <t>九江科</t>
    </r>
    <r>
      <rPr>
        <sz val="11"/>
        <color theme="1"/>
        <rFont val="ＭＳ Ｐゴシック"/>
        <family val="3"/>
        <charset val="134"/>
        <scheme val="minor"/>
      </rPr>
      <t>栎</t>
    </r>
    <r>
      <rPr>
        <sz val="11"/>
        <color theme="1"/>
        <rFont val="ＭＳ Ｐゴシック"/>
        <family val="3"/>
        <charset val="128"/>
        <scheme val="minor"/>
      </rPr>
      <t>雅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</si>
  <si>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果酒（含酒精）;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威士忌</t>
    </r>
  </si>
  <si>
    <t>有福美</t>
  </si>
  <si>
    <r>
      <t>邹训</t>
    </r>
    <r>
      <rPr>
        <sz val="11"/>
        <color theme="1"/>
        <rFont val="ＭＳ Ｐゴシック"/>
        <family val="3"/>
        <charset val="128"/>
        <scheme val="minor"/>
      </rPr>
      <t>楷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</si>
  <si>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</si>
  <si>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t>故坊</t>
  </si>
  <si>
    <r>
      <t>邓</t>
    </r>
    <r>
      <rPr>
        <sz val="11"/>
        <color theme="1"/>
        <rFont val="ＭＳ Ｐゴシック"/>
        <family val="3"/>
        <charset val="128"/>
        <scheme val="minor"/>
      </rPr>
      <t>洪******************</t>
    </r>
  </si>
  <si>
    <r>
      <t>白酒;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白干酒（中国白酒）; 米酒; 威士忌; 日本梅子酒;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</si>
  <si>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r>
      <t>锦绣钰</t>
    </r>
    <r>
      <rPr>
        <sz val="11"/>
        <color theme="1"/>
        <rFont val="ＭＳ Ｐゴシック"/>
        <family val="3"/>
        <charset val="128"/>
        <scheme val="minor"/>
      </rPr>
      <t>盛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</si>
  <si>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钰</t>
    </r>
    <r>
      <rPr>
        <sz val="11"/>
        <color theme="1"/>
        <rFont val="ＭＳ Ｐゴシック"/>
        <family val="3"/>
        <charset val="128"/>
        <scheme val="minor"/>
      </rPr>
      <t>盛企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</si>
  <si>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烈酒;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果酒（含酒精）</t>
    </r>
  </si>
  <si>
    <t>蜀泮</t>
  </si>
  <si>
    <r>
      <t>清酒（日本米酒）; 葡萄酒;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白酒; 威士忌; 烈酒; 果酒（含酒精）</t>
    </r>
  </si>
  <si>
    <t>梅述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</si>
  <si>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果酒（含酒精）; 烈酒; 黄酒; 开胃酒; 白酒; 威士忌; 清酒（日本米酒）</t>
    </r>
  </si>
  <si>
    <t>杏尹</t>
  </si>
  <si>
    <r>
      <t>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白酒; 食用酒精;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</si>
  <si>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自在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春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</si>
  <si>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舜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</si>
  <si>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米酒;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开胃酒; 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</t>
    </r>
  </si>
  <si>
    <r>
      <t>贾</t>
    </r>
    <r>
      <rPr>
        <sz val="11"/>
        <color theme="1"/>
        <rFont val="ＭＳ Ｐゴシック"/>
        <family val="3"/>
        <charset val="128"/>
        <scheme val="minor"/>
      </rPr>
      <t>紫茵</t>
    </r>
  </si>
  <si>
    <r>
      <t>威士忌; 葡萄酒;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</si>
  <si>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莹</t>
    </r>
    <r>
      <rPr>
        <sz val="11"/>
        <color theme="1"/>
        <rFont val="ＭＳ Ｐゴシック"/>
        <family val="3"/>
        <charset val="128"/>
        <scheme val="minor"/>
      </rPr>
      <t>花繁星</t>
    </r>
  </si>
  <si>
    <r>
      <t>葡萄酒; 伏特加酒;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朗姆酒</t>
    </r>
  </si>
  <si>
    <r>
      <t>古上</t>
    </r>
    <r>
      <rPr>
        <sz val="11"/>
        <color theme="1"/>
        <rFont val="ＭＳ Ｐゴシック"/>
        <family val="3"/>
        <charset val="134"/>
        <scheme val="minor"/>
      </rPr>
      <t>顶</t>
    </r>
  </si>
  <si>
    <t>杭州良渚黑陶文化科技有限公司</t>
  </si>
  <si>
    <r>
      <t>甜酒;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果酒（含酒精）; 开胃酒; 黄酒</t>
    </r>
  </si>
  <si>
    <r>
      <t>古燕</t>
    </r>
    <r>
      <rPr>
        <sz val="11"/>
        <color theme="1"/>
        <rFont val="ＭＳ Ｐゴシック"/>
        <family val="3"/>
        <charset val="134"/>
        <scheme val="minor"/>
      </rPr>
      <t>苏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</si>
  <si>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燕清</t>
    </r>
  </si>
  <si>
    <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白酒; 高粱酒; 果酒（含酒精）; 黄酒; 食用酒精; 开胃酒;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</si>
  <si>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念祥</t>
  </si>
  <si>
    <r>
      <t>朱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武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</si>
  <si>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青稞酒;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</si>
  <si>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庸池</t>
  </si>
  <si>
    <r>
      <t>诺</t>
    </r>
    <r>
      <rPr>
        <sz val="11"/>
        <color theme="1"/>
        <rFont val="ＭＳ Ｐゴシック"/>
        <family val="3"/>
        <charset val="128"/>
        <scheme val="minor"/>
      </rPr>
      <t>布芙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新有限公司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</si>
  <si>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葡萄酒; 果酒（含酒精）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</si>
  <si>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方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春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</si>
  <si>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果酒（含酒精）;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开胃酒</t>
    </r>
  </si>
  <si>
    <t>五越老</t>
  </si>
  <si>
    <r>
      <t>崔</t>
    </r>
    <r>
      <rPr>
        <sz val="11"/>
        <color theme="1"/>
        <rFont val="ＭＳ Ｐゴシック"/>
        <family val="3"/>
        <charset val="134"/>
        <scheme val="minor"/>
      </rPr>
      <t>帅</t>
    </r>
    <r>
      <rPr>
        <sz val="11"/>
        <color theme="1"/>
        <rFont val="ＭＳ Ｐゴシック"/>
        <family val="3"/>
        <charset val="128"/>
        <scheme val="minor"/>
      </rPr>
      <t>星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</si>
  <si>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</si>
  <si>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彩山酒神</t>
  </si>
  <si>
    <r>
      <t>张</t>
    </r>
    <r>
      <rPr>
        <sz val="11"/>
        <color theme="1"/>
        <rFont val="ＭＳ Ｐゴシック"/>
        <family val="3"/>
        <charset val="128"/>
        <scheme val="minor"/>
      </rPr>
      <t>奎</t>
    </r>
  </si>
  <si>
    <r>
      <t>樱</t>
    </r>
    <r>
      <rPr>
        <sz val="11"/>
        <color theme="1"/>
        <rFont val="ＭＳ Ｐゴシック"/>
        <family val="3"/>
        <charset val="128"/>
        <scheme val="minor"/>
      </rPr>
      <t>桃酒;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果酒（含酒精）; 梨酒; 苹果酒;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</si>
  <si>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r>
      <t>蝉</t>
    </r>
    <r>
      <rPr>
        <sz val="11"/>
        <color theme="1"/>
        <rFont val="ＭＳ Ｐゴシック"/>
        <family val="3"/>
        <charset val="134"/>
        <scheme val="minor"/>
      </rPr>
      <t>谭</t>
    </r>
  </si>
  <si>
    <r>
      <t>常耘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</si>
  <si>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高粱酒; 果酒（含酒精）; 威士忌; 米酒</t>
    </r>
  </si>
  <si>
    <t>养小谷</t>
  </si>
  <si>
    <r>
      <t>安徽养</t>
    </r>
    <r>
      <rPr>
        <sz val="11"/>
        <color theme="1"/>
        <rFont val="ＭＳ Ｐゴシック"/>
        <family val="3"/>
        <charset val="134"/>
        <scheme val="minor"/>
      </rPr>
      <t>岁</t>
    </r>
    <r>
      <rPr>
        <sz val="11"/>
        <color theme="1"/>
        <rFont val="ＭＳ Ｐゴシック"/>
        <family val="3"/>
        <charset val="128"/>
        <scheme val="minor"/>
      </rPr>
      <t>府健康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</si>
  <si>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苹果酒; 青稞酒; 果酒（含酒精）;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开胃酒</t>
    </r>
  </si>
  <si>
    <t>赤上云樽</t>
  </si>
  <si>
    <r>
      <t>曾</t>
    </r>
    <r>
      <rPr>
        <sz val="11"/>
        <color theme="1"/>
        <rFont val="ＭＳ Ｐゴシック"/>
        <family val="3"/>
        <charset val="134"/>
        <scheme val="minor"/>
      </rPr>
      <t>纲</t>
    </r>
    <r>
      <rPr>
        <sz val="11"/>
        <color theme="1"/>
        <rFont val="ＭＳ Ｐゴシック"/>
        <family val="3"/>
        <charset val="128"/>
        <scheme val="minor"/>
      </rPr>
      <t>（******************）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</si>
  <si>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葡萄酒;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果酒（含酒精）</t>
    </r>
  </si>
  <si>
    <t>捷音</t>
  </si>
  <si>
    <t>汪加豪</t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</si>
  <si>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果酒（含酒精）; 黄酒; 白酒; 高粱酒;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清酒</t>
    </r>
  </si>
  <si>
    <r>
      <t>紫火</t>
    </r>
    <r>
      <rPr>
        <sz val="11"/>
        <color theme="1"/>
        <rFont val="ＭＳ Ｐゴシック"/>
        <family val="3"/>
        <charset val="134"/>
        <scheme val="minor"/>
      </rPr>
      <t>凤</t>
    </r>
  </si>
  <si>
    <t>黄青春</t>
  </si>
  <si>
    <r>
      <t>白酒; 米酒; 果酒（含酒精）; 威士忌; 黄酒; 烈酒;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汽酒</t>
    </r>
  </si>
  <si>
    <t>广猫</t>
  </si>
  <si>
    <t>湖北广猫科技有限公司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</si>
  <si>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黄酒; 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白酒</t>
    </r>
  </si>
  <si>
    <r>
      <t>麦格</t>
    </r>
    <r>
      <rPr>
        <sz val="11"/>
        <color theme="1"/>
        <rFont val="ＭＳ Ｐゴシック"/>
        <family val="3"/>
        <charset val="134"/>
        <scheme val="minor"/>
      </rPr>
      <t>乔</t>
    </r>
    <r>
      <rPr>
        <sz val="11"/>
        <color theme="1"/>
        <rFont val="ＭＳ Ｐゴシック"/>
        <family val="3"/>
        <charset val="128"/>
        <scheme val="minor"/>
      </rPr>
      <t>夫</t>
    </r>
  </si>
  <si>
    <r>
      <t>石家庄康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森商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</si>
  <si>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</si>
  <si>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普丹</t>
  </si>
  <si>
    <r>
      <t>怀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城街道普丹茶叶商行</t>
    </r>
  </si>
  <si>
    <t>果酒（含酒精）; 葡萄酒</t>
  </si>
  <si>
    <t>礼遇米多</t>
  </si>
  <si>
    <r>
      <t>深圳市御德泰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</si>
  <si>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威士忌;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</t>
    </r>
  </si>
  <si>
    <t>探柳</t>
  </si>
  <si>
    <r>
      <t>菏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市广</t>
    </r>
    <r>
      <rPr>
        <sz val="11"/>
        <color theme="1"/>
        <rFont val="ＭＳ Ｐゴシック"/>
        <family val="3"/>
        <charset val="134"/>
        <scheme val="minor"/>
      </rPr>
      <t>滨</t>
    </r>
    <r>
      <rPr>
        <sz val="11"/>
        <color theme="1"/>
        <rFont val="ＭＳ Ｐゴシック"/>
        <family val="3"/>
        <charset val="128"/>
        <scheme val="minor"/>
      </rPr>
      <t>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</si>
  <si>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朗姆酒; 葡萄酒; 利口酒;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汽酒;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</si>
  <si>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缸花瓷</t>
  </si>
  <si>
    <t>山西青花魂酒厂股份有限公司</t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</si>
  <si>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开胃酒; 清酒（日本米酒）; 白酒; 果酒（含酒精）; 米酒</t>
    </r>
  </si>
  <si>
    <r>
      <t>君</t>
    </r>
    <r>
      <rPr>
        <sz val="11"/>
        <color theme="1"/>
        <rFont val="ＭＳ Ｐゴシック"/>
        <family val="3"/>
        <charset val="134"/>
        <scheme val="minor"/>
      </rPr>
      <t>顶龙</t>
    </r>
    <r>
      <rPr>
        <sz val="11"/>
        <color theme="1"/>
        <rFont val="ＭＳ Ｐゴシック"/>
        <family val="3"/>
        <charset val="128"/>
        <scheme val="minor"/>
      </rPr>
      <t>悦</t>
    </r>
  </si>
  <si>
    <r>
      <t>君</t>
    </r>
    <r>
      <rPr>
        <sz val="11"/>
        <color theme="1"/>
        <rFont val="ＭＳ Ｐゴシック"/>
        <family val="3"/>
        <charset val="134"/>
        <scheme val="minor"/>
      </rPr>
      <t>顶</t>
    </r>
    <r>
      <rPr>
        <sz val="11"/>
        <color theme="1"/>
        <rFont val="ＭＳ Ｐゴシック"/>
        <family val="3"/>
        <charset val="128"/>
        <scheme val="minor"/>
      </rPr>
      <t>葡萄酒控股有限公司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</si>
  <si>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苹果酒</t>
    </r>
  </si>
  <si>
    <t>海波之滇</t>
  </si>
  <si>
    <t>刘海波</t>
  </si>
  <si>
    <r>
      <t>米酒; 清酒;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甘蔗制烈酒; 白酒; 朗姆酒; 葡萄酒; 青稞酒; 果酒（含酒精）</t>
    </r>
  </si>
  <si>
    <t>珍豪老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</si>
  <si>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市茅台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珍豪酒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</si>
  <si>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烈酒; 高粱酒; 蒸煮提取物（利口酒和烈酒）; 黄酒; 白酒; 米酒; 葡萄酒; 汽酒; 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</si>
  <si>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歌韵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</si>
  <si>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州茅台酒厂（集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）昌黎葡萄酒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</si>
  <si>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加香料的</t>
    </r>
    <r>
      <rPr>
        <sz val="11"/>
        <color theme="1"/>
        <rFont val="ＭＳ Ｐゴシック"/>
        <family val="3"/>
        <charset val="134"/>
        <scheme val="minor"/>
      </rPr>
      <t>热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薄荷酒; 葡萄酒; 白葡萄酒;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</t>
    </r>
  </si>
  <si>
    <r>
      <t>木</t>
    </r>
    <r>
      <rPr>
        <sz val="11"/>
        <color theme="1"/>
        <rFont val="ＭＳ Ｐゴシック"/>
        <family val="3"/>
        <charset val="134"/>
        <scheme val="minor"/>
      </rPr>
      <t>兰师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</si>
  <si>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州泰和方行商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</si>
  <si>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食用酒精; 开胃酒; 葡萄酒; 朗姆酒;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利口酒; 米酒; 威士忌</t>
    </r>
  </si>
  <si>
    <t>好客琴台</t>
  </si>
  <si>
    <t>刘德奎</t>
  </si>
  <si>
    <r>
      <t>蒸煮提取物（利口酒和烈酒）;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葡萄酒; 食用酒精;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黄酒; 白酒; 白干酒（中国白酒）</t>
    </r>
  </si>
  <si>
    <t>小菁</t>
  </si>
  <si>
    <r>
      <t>张</t>
    </r>
    <r>
      <rPr>
        <sz val="11"/>
        <color theme="1"/>
        <rFont val="ＭＳ Ｐゴシック"/>
        <family val="3"/>
        <charset val="128"/>
        <scheme val="minor"/>
      </rPr>
      <t>猛******************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</si>
  <si>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烈酒; 伏特加酒;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威士忌; 食用酒精</t>
    </r>
  </si>
  <si>
    <r>
      <t>九乾天</t>
    </r>
    <r>
      <rPr>
        <sz val="11"/>
        <color theme="1"/>
        <rFont val="ＭＳ Ｐゴシック"/>
        <family val="3"/>
        <charset val="134"/>
        <scheme val="minor"/>
      </rPr>
      <t>则</t>
    </r>
  </si>
  <si>
    <r>
      <t>浙江天</t>
    </r>
    <r>
      <rPr>
        <sz val="11"/>
        <color theme="1"/>
        <rFont val="ＭＳ Ｐゴシック"/>
        <family val="3"/>
        <charset val="134"/>
        <scheme val="minor"/>
      </rPr>
      <t>则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</si>
  <si>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威士忌; 葡萄酒; 伏特加酒; 白酒; 汽酒; 米酒; 黄酒</t>
    </r>
  </si>
  <si>
    <t>淮岳</t>
  </si>
  <si>
    <r>
      <t>王</t>
    </r>
    <r>
      <rPr>
        <sz val="11"/>
        <color theme="1"/>
        <rFont val="ＭＳ Ｐゴシック"/>
        <family val="3"/>
        <charset val="134"/>
        <scheme val="minor"/>
      </rPr>
      <t>义</t>
    </r>
    <r>
      <rPr>
        <sz val="11"/>
        <color theme="1"/>
        <rFont val="ＭＳ Ｐゴシック"/>
        <family val="3"/>
        <charset val="128"/>
        <scheme val="minor"/>
      </rPr>
      <t>博</t>
    </r>
  </si>
  <si>
    <r>
      <t xml:space="preserve">清酒（日本米酒）; 葡萄酒; 白酒; 威士忌;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黄酒;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</si>
  <si>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蜀德尚</t>
  </si>
  <si>
    <r>
      <t>邓龙</t>
    </r>
    <r>
      <rPr>
        <sz val="11"/>
        <color theme="1"/>
        <rFont val="ＭＳ Ｐゴシック"/>
        <family val="3"/>
        <charset val="128"/>
        <scheme val="minor"/>
      </rPr>
      <t>武</t>
    </r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</si>
  <si>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果酒; 黄酒; 葡萄酒</t>
    </r>
  </si>
  <si>
    <t>翠酥</t>
  </si>
  <si>
    <r>
      <t>泗洪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双沟酥酒厂</t>
    </r>
  </si>
  <si>
    <r>
      <t>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米酒; 开胃酒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</si>
  <si>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播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</si>
  <si>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州酒</t>
    </r>
    <r>
      <rPr>
        <sz val="11"/>
        <color theme="1"/>
        <rFont val="ＭＳ Ｐゴシック"/>
        <family val="3"/>
        <charset val="134"/>
        <scheme val="minor"/>
      </rPr>
      <t>谈</t>
    </r>
    <r>
      <rPr>
        <sz val="11"/>
        <color theme="1"/>
        <rFont val="ＭＳ Ｐゴシック"/>
        <family val="3"/>
        <charset val="128"/>
        <scheme val="minor"/>
      </rPr>
      <t>社品牌管理有限公司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</si>
  <si>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高粱酒; 白干酒（中国白酒）; 白酒; 蒸煮提取物（利口酒和烈酒）;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米酒（泡盛酒）;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</t>
    </r>
  </si>
  <si>
    <r>
      <t>乔</t>
    </r>
    <r>
      <rPr>
        <sz val="11"/>
        <color theme="1"/>
        <rFont val="ＭＳ Ｐゴシック"/>
        <family val="3"/>
        <charset val="128"/>
        <scheme val="minor"/>
      </rPr>
      <t>茗</t>
    </r>
    <r>
      <rPr>
        <sz val="11"/>
        <color theme="1"/>
        <rFont val="ＭＳ Ｐゴシック"/>
        <family val="3"/>
        <charset val="134"/>
        <scheme val="minor"/>
      </rPr>
      <t>贡</t>
    </r>
  </si>
  <si>
    <r>
      <t>广州茗古</t>
    </r>
    <r>
      <rPr>
        <sz val="11"/>
        <color theme="1"/>
        <rFont val="ＭＳ Ｐゴシック"/>
        <family val="3"/>
        <charset val="134"/>
        <scheme val="minor"/>
      </rPr>
      <t>乔贸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</si>
  <si>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亚</t>
    </r>
    <r>
      <rPr>
        <sz val="11"/>
        <color theme="1"/>
        <rFont val="ＭＳ Ｐゴシック"/>
        <family val="3"/>
        <charset val="128"/>
        <scheme val="minor"/>
      </rPr>
      <t>力酒;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青稞酒;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</si>
  <si>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浆</t>
    </r>
    <r>
      <rPr>
        <sz val="11"/>
        <color theme="1"/>
        <rFont val="ＭＳ Ｐゴシック"/>
        <family val="3"/>
        <charset val="128"/>
        <scheme val="minor"/>
      </rPr>
      <t>世佳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</si>
  <si>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嘉豪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</si>
  <si>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果酒（含酒精）; 葡萄酒;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</si>
  <si>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妙果极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</si>
  <si>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州朋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达商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</si>
  <si>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汽酒;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</t>
    </r>
  </si>
  <si>
    <r>
      <t>古洛康品</t>
    </r>
    <r>
      <rPr>
        <sz val="11"/>
        <color theme="1"/>
        <rFont val="ＭＳ Ｐゴシック"/>
        <family val="3"/>
        <charset val="134"/>
        <scheme val="minor"/>
      </rPr>
      <t>赢</t>
    </r>
  </si>
  <si>
    <r>
      <t>河南酒圣酒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</si>
  <si>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青稞酒</t>
    </r>
  </si>
  <si>
    <r>
      <t>初</t>
    </r>
    <r>
      <rPr>
        <sz val="11"/>
        <color theme="1"/>
        <rFont val="ＭＳ Ｐゴシック"/>
        <family val="3"/>
        <charset val="134"/>
        <scheme val="minor"/>
      </rPr>
      <t>见</t>
    </r>
    <r>
      <rPr>
        <sz val="11"/>
        <color theme="1"/>
        <rFont val="ＭＳ Ｐゴシック"/>
        <family val="3"/>
        <charset val="128"/>
        <scheme val="minor"/>
      </rPr>
      <t>寸玉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</si>
  <si>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州寸玉酒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</si>
  <si>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葡萄酒; 利口酒;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</t>
    </r>
  </si>
  <si>
    <r>
      <t>玉</t>
    </r>
    <r>
      <rPr>
        <sz val="11"/>
        <color theme="1"/>
        <rFont val="ＭＳ Ｐゴシック"/>
        <family val="3"/>
        <charset val="134"/>
        <scheme val="minor"/>
      </rPr>
      <t>见</t>
    </r>
    <r>
      <rPr>
        <sz val="11"/>
        <color theme="1"/>
        <rFont val="ＭＳ Ｐゴシック"/>
        <family val="3"/>
        <charset val="128"/>
        <scheme val="minor"/>
      </rPr>
      <t>寸玉</t>
    </r>
  </si>
  <si>
    <r>
      <t>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果酒; 白酒; 葡萄酒;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利口酒</t>
    </r>
  </si>
  <si>
    <t>百好名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</si>
  <si>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东鲁</t>
    </r>
    <r>
      <rPr>
        <sz val="11"/>
        <color theme="1"/>
        <rFont val="ＭＳ Ｐゴシック"/>
        <family val="3"/>
        <charset val="128"/>
        <scheme val="minor"/>
      </rPr>
      <t>派酒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</si>
  <si>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高粱酒;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果酒（含酒精）; 露酒; 葡萄酒</t>
    </r>
  </si>
  <si>
    <r>
      <t>缘</t>
    </r>
    <r>
      <rPr>
        <sz val="11"/>
        <color theme="1"/>
        <rFont val="ＭＳ Ｐゴシック"/>
        <family val="3"/>
        <charset val="128"/>
        <scheme val="minor"/>
      </rPr>
      <t>起寸玉</t>
    </r>
  </si>
  <si>
    <r>
      <t>黄酒; 果酒;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清酒; 葡萄酒;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</si>
  <si>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果酒（含酒精）; 白酒; 露酒;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葡萄酒; 黄酒; 高粱酒</t>
    </r>
  </si>
  <si>
    <t>世姐花</t>
  </si>
  <si>
    <r>
      <t>小荼仙（广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</si>
  <si>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苹果酒;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朗姆酒;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葡萄酒</t>
    </r>
  </si>
  <si>
    <r>
      <t>亳</t>
    </r>
    <r>
      <rPr>
        <sz val="11"/>
        <color theme="1"/>
        <rFont val="ＭＳ Ｐゴシック"/>
        <family val="3"/>
        <charset val="134"/>
        <scheme val="minor"/>
      </rPr>
      <t>鸣</t>
    </r>
    <r>
      <rPr>
        <sz val="11"/>
        <color theme="1"/>
        <rFont val="ＭＳ Ｐゴシック"/>
        <family val="3"/>
        <charset val="128"/>
        <scheme val="minor"/>
      </rPr>
      <t>堂</t>
    </r>
  </si>
  <si>
    <r>
      <t>安徽恒</t>
    </r>
    <r>
      <rPr>
        <sz val="11"/>
        <color theme="1"/>
        <rFont val="ＭＳ Ｐゴシック"/>
        <family val="3"/>
        <charset val="134"/>
        <scheme val="minor"/>
      </rPr>
      <t>业药业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</si>
  <si>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白酒;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</si>
  <si>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中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迪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</si>
  <si>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淮印象(江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)食品科技有限公司</t>
    </r>
  </si>
  <si>
    <r>
      <t xml:space="preserve">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食用酒精; 白酒; 葡萄酒; 黄酒</t>
    </r>
  </si>
  <si>
    <r>
      <t>宁</t>
    </r>
    <r>
      <rPr>
        <sz val="11"/>
        <color theme="1"/>
        <rFont val="ＭＳ Ｐゴシック"/>
        <family val="3"/>
        <charset val="134"/>
        <scheme val="minor"/>
      </rPr>
      <t>为</t>
    </r>
  </si>
  <si>
    <r>
      <t>南京百夫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</si>
  <si>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白酒; 高粱酒; 汽酒; 米酒; 朗姆酒;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</si>
  <si>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t>阳明悟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</si>
  <si>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将</t>
    </r>
    <r>
      <rPr>
        <sz val="11"/>
        <color theme="1"/>
        <rFont val="ＭＳ Ｐゴシック"/>
        <family val="3"/>
        <charset val="134"/>
        <scheme val="minor"/>
      </rPr>
      <t>军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</si>
  <si>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苹果酒; 餐后酒（利口酒和烈酒）; 露酒;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</si>
  <si>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t>百蝶穿花</t>
  </si>
  <si>
    <t>王建</t>
  </si>
  <si>
    <r>
      <t xml:space="preserve">烈酒; 白酒; 果酒; 米酒; 清酒; 露酒; 梅酒;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</si>
  <si>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t>古淙城</t>
  </si>
  <si>
    <r>
      <t>开江</t>
    </r>
    <r>
      <rPr>
        <sz val="11"/>
        <color theme="1"/>
        <rFont val="ＭＳ Ｐゴシック"/>
        <family val="3"/>
        <charset val="134"/>
        <scheme val="minor"/>
      </rPr>
      <t>华润</t>
    </r>
    <r>
      <rPr>
        <sz val="11"/>
        <color theme="1"/>
        <rFont val="ＭＳ Ｐゴシック"/>
        <family val="3"/>
        <charset val="128"/>
        <scheme val="minor"/>
      </rPr>
      <t>燃气有限公司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</si>
  <si>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烈酒; 白干酒（中国白酒）; 蜂蜜酒; 清酒</t>
    </r>
  </si>
  <si>
    <r>
      <t>尔</t>
    </r>
    <r>
      <rPr>
        <sz val="11"/>
        <color theme="1"/>
        <rFont val="ＭＳ Ｐゴシック"/>
        <family val="3"/>
        <charset val="128"/>
        <scheme val="minor"/>
      </rPr>
      <t>醉冰城</t>
    </r>
  </si>
  <si>
    <t>刘国志</t>
  </si>
  <si>
    <r>
      <t xml:space="preserve">清酒（日本米酒）; 黄酒; 果酒;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米酒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</si>
  <si>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衙</t>
    </r>
  </si>
  <si>
    <r>
      <t>谭竞</t>
    </r>
    <r>
      <rPr>
        <sz val="11"/>
        <color theme="1"/>
        <rFont val="ＭＳ Ｐゴシック"/>
        <family val="3"/>
        <charset val="128"/>
        <scheme val="minor"/>
      </rPr>
      <t>霄</t>
    </r>
  </si>
  <si>
    <r>
      <t xml:space="preserve">烈酒; 清酒（日本米酒）; 威士忌; 茴香酒; 白酒; 果酒（含酒精）;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</t>
    </r>
  </si>
  <si>
    <t>SUVET DEER KING</t>
  </si>
  <si>
    <r>
      <t>福建戴斯酒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</si>
  <si>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果酒（含酒精）; 黄酒; 葡萄酒; 白酒;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</si>
  <si>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t>佑江南</t>
  </si>
  <si>
    <r>
      <t>张</t>
    </r>
    <r>
      <rPr>
        <sz val="11"/>
        <color theme="1"/>
        <rFont val="ＭＳ Ｐゴシック"/>
        <family val="3"/>
        <charset val="128"/>
        <scheme val="minor"/>
      </rPr>
      <t>小青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</si>
  <si>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</si>
  <si>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后</t>
    </r>
    <r>
      <rPr>
        <sz val="11"/>
        <color theme="1"/>
        <rFont val="ＭＳ Ｐゴシック"/>
        <family val="3"/>
        <charset val="134"/>
        <scheme val="minor"/>
      </rPr>
      <t>聂</t>
    </r>
  </si>
  <si>
    <r>
      <t>聂</t>
    </r>
    <r>
      <rPr>
        <sz val="11"/>
        <color theme="1"/>
        <rFont val="ＭＳ Ｐゴシック"/>
        <family val="3"/>
        <charset val="128"/>
        <scheme val="minor"/>
      </rPr>
      <t>林</t>
    </r>
  </si>
  <si>
    <r>
      <t xml:space="preserve">葡萄酒;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食用酒精; 白酒; 清酒（日本米酒）;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利口酒</t>
    </r>
  </si>
  <si>
    <t>佳速健</t>
  </si>
  <si>
    <r>
      <t>闫</t>
    </r>
    <r>
      <rPr>
        <sz val="11"/>
        <color theme="1"/>
        <rFont val="ＭＳ Ｐゴシック"/>
        <family val="3"/>
        <charset val="128"/>
        <scheme val="minor"/>
      </rPr>
      <t>永</t>
    </r>
    <r>
      <rPr>
        <sz val="11"/>
        <color theme="1"/>
        <rFont val="ＭＳ Ｐゴシック"/>
        <family val="3"/>
        <charset val="134"/>
        <scheme val="minor"/>
      </rPr>
      <t>庆</t>
    </r>
  </si>
  <si>
    <t>开胃酒; 汽酒; 果酒; 葡萄酒; 黄酒; 米酒; 清酒; 白酒; 食用酒精; 甜酒</t>
  </si>
  <si>
    <t>婺成拾珍</t>
  </si>
  <si>
    <r>
      <t>金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市婺城拾珍</t>
    </r>
    <r>
      <rPr>
        <sz val="11"/>
        <color theme="1"/>
        <rFont val="ＭＳ Ｐゴシック"/>
        <family val="3"/>
        <charset val="134"/>
        <scheme val="minor"/>
      </rPr>
      <t>农产</t>
    </r>
    <r>
      <rPr>
        <sz val="11"/>
        <color theme="1"/>
        <rFont val="ＭＳ Ｐゴシック"/>
        <family val="3"/>
        <charset val="128"/>
        <scheme val="minor"/>
      </rPr>
      <t>品有限公司</t>
    </r>
  </si>
  <si>
    <r>
      <t>白酒; 米酒; 开胃酒; 威士忌; 食用酒精;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葡萄酒; 果酒（含酒精）</t>
    </r>
  </si>
  <si>
    <t>湖南小倍心品牌管理有限公司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</si>
  <si>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加烈葡萄酒; 水果汽酒; 白酒;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</t>
    </r>
  </si>
  <si>
    <r>
      <t>诸</t>
    </r>
    <r>
      <rPr>
        <sz val="11"/>
        <color theme="1"/>
        <rFont val="ＭＳ Ｐゴシック"/>
        <family val="3"/>
        <charset val="128"/>
        <scheme val="minor"/>
      </rPr>
      <t>几同山</t>
    </r>
  </si>
  <si>
    <r>
      <t>上海越洋投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</si>
  <si>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高粱酒;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清酒; 白酒; 伏特加酒; 威士忌;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</si>
  <si>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沁牧原</t>
  </si>
  <si>
    <r>
      <t>通</t>
    </r>
    <r>
      <rPr>
        <sz val="11"/>
        <color theme="1"/>
        <rFont val="ＭＳ Ｐゴシック"/>
        <family val="3"/>
        <charset val="134"/>
        <scheme val="minor"/>
      </rPr>
      <t>辽</t>
    </r>
    <r>
      <rPr>
        <sz val="11"/>
        <color theme="1"/>
        <rFont val="ＭＳ Ｐゴシック"/>
        <family val="3"/>
        <charset val="128"/>
        <scheme val="minor"/>
      </rPr>
      <t>市沁牧原肉制品有限公司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</si>
  <si>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汽酒; 开胃酒; 果酒; 葡萄酒; 白酒; 朗姆酒; 青稞酒;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</si>
  <si>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葡萄酒; 白酒; 餐后酒（利口酒和烈酒）;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露酒;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苹果酒;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</t>
    </r>
  </si>
  <si>
    <r>
      <t>书</t>
    </r>
    <r>
      <rPr>
        <sz val="11"/>
        <color theme="1"/>
        <rFont val="ＭＳ Ｐゴシック"/>
        <family val="3"/>
        <charset val="128"/>
        <scheme val="minor"/>
      </rPr>
      <t>香秦川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</si>
  <si>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果酒（含酒精）; 葡萄酒;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黄酒</t>
    </r>
  </si>
  <si>
    <r>
      <t>避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停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</si>
  <si>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寿仙谷</t>
    </r>
    <r>
      <rPr>
        <sz val="11"/>
        <color theme="1"/>
        <rFont val="ＭＳ Ｐゴシック"/>
        <family val="3"/>
        <charset val="134"/>
        <scheme val="minor"/>
      </rPr>
      <t>药业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</si>
  <si>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食用酒精;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黄酒</t>
    </r>
  </si>
  <si>
    <r>
      <t>财渔义</t>
    </r>
    <r>
      <rPr>
        <sz val="11"/>
        <color theme="1"/>
        <rFont val="ＭＳ Ｐゴシック"/>
        <family val="3"/>
        <charset val="128"/>
        <scheme val="minor"/>
      </rPr>
      <t>源</t>
    </r>
  </si>
  <si>
    <r>
      <t>法</t>
    </r>
    <r>
      <rPr>
        <sz val="11"/>
        <color theme="1"/>
        <rFont val="ＭＳ Ｐゴシック"/>
        <family val="3"/>
        <charset val="134"/>
        <scheme val="minor"/>
      </rPr>
      <t>库县财</t>
    </r>
    <r>
      <rPr>
        <sz val="11"/>
        <color theme="1"/>
        <rFont val="ＭＳ Ｐゴシック"/>
        <family val="3"/>
        <charset val="128"/>
        <scheme val="minor"/>
      </rPr>
      <t>湖</t>
    </r>
    <r>
      <rPr>
        <sz val="11"/>
        <color theme="1"/>
        <rFont val="ＭＳ Ｐゴシック"/>
        <family val="3"/>
        <charset val="134"/>
        <scheme val="minor"/>
      </rPr>
      <t>义</t>
    </r>
    <r>
      <rPr>
        <sz val="11"/>
        <color theme="1"/>
        <rFont val="ＭＳ Ｐゴシック"/>
        <family val="3"/>
        <charset val="128"/>
        <scheme val="minor"/>
      </rPr>
      <t>品源酒坊</t>
    </r>
  </si>
  <si>
    <r>
      <t>白酒; 烈酒;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米酒; 葡萄酒; 食用酒精;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</si>
  <si>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弥麦</t>
  </si>
  <si>
    <t>董曼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</si>
  <si>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威士忌; 米酒;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开胃酒; 葡萄酒</t>
    </r>
  </si>
  <si>
    <t>厚虎</t>
  </si>
  <si>
    <r>
      <t xml:space="preserve">葡萄酒; 茴香酒; 白酒; 清酒（日本米酒）; 烈酒; 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果酒（含酒精）</t>
    </r>
  </si>
  <si>
    <r>
      <t>李家唐</t>
    </r>
    <r>
      <rPr>
        <sz val="11"/>
        <color theme="1"/>
        <rFont val="ＭＳ Ｐゴシック"/>
        <family val="3"/>
        <charset val="134"/>
        <scheme val="minor"/>
      </rPr>
      <t>农垦</t>
    </r>
  </si>
  <si>
    <r>
      <t>宁波格霖国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</si>
  <si>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白酒; 果酒（含酒精）; 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梨酒;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</si>
  <si>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r>
      <t>喾</t>
    </r>
    <r>
      <rPr>
        <sz val="11"/>
        <color theme="1"/>
        <rFont val="ＭＳ Ｐゴシック"/>
        <family val="3"/>
        <charset val="128"/>
        <scheme val="minor"/>
      </rPr>
      <t>韵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</si>
  <si>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海燕</t>
    </r>
  </si>
  <si>
    <r>
      <t>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青稞酒; 黄酒; 白干酒（中国白酒）;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</si>
  <si>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诸</t>
    </r>
    <r>
      <rPr>
        <sz val="11"/>
        <color theme="1"/>
        <rFont val="ＭＳ Ｐゴシック"/>
        <family val="3"/>
        <charset val="128"/>
        <scheme val="minor"/>
      </rPr>
      <t>几西施</t>
    </r>
  </si>
  <si>
    <r>
      <t xml:space="preserve">威士忌; 伏特加酒;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高粱酒; 黄酒; 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</si>
  <si>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ZAMEJ</t>
  </si>
  <si>
    <r>
      <t>尤意国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易(深圳)有限公司</t>
    </r>
  </si>
  <si>
    <r>
      <t xml:space="preserve">开胃酒; 葡萄酒; 蒸煮提取物（利口酒和烈酒）; 利口酒; 果酒;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</si>
  <si>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墨恒之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</si>
  <si>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</si>
  <si>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散益通</t>
  </si>
  <si>
    <r>
      <t>广州散益通医</t>
    </r>
    <r>
      <rPr>
        <sz val="11"/>
        <color theme="1"/>
        <rFont val="ＭＳ Ｐゴシック"/>
        <family val="3"/>
        <charset val="134"/>
        <scheme val="minor"/>
      </rPr>
      <t>疗</t>
    </r>
    <r>
      <rPr>
        <sz val="11"/>
        <color theme="1"/>
        <rFont val="ＭＳ Ｐゴシック"/>
        <family val="3"/>
        <charset val="128"/>
        <scheme val="minor"/>
      </rPr>
      <t>健康科技有限公司</t>
    </r>
  </si>
  <si>
    <r>
      <t>开胃酒; 黄酒; 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薄荷酒; 食用酒精; 果酒; 甜酒; 白酒;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</t>
    </r>
  </si>
  <si>
    <t>螺星河</t>
  </si>
  <si>
    <t>刘博智</t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</si>
  <si>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</si>
  <si>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t>岭南佗城</t>
  </si>
  <si>
    <r>
      <t>龙</t>
    </r>
    <r>
      <rPr>
        <sz val="11"/>
        <color theme="1"/>
        <rFont val="ＭＳ Ｐゴシック"/>
        <family val="3"/>
        <charset val="128"/>
        <scheme val="minor"/>
      </rPr>
      <t>川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家俊种养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民</t>
    </r>
    <r>
      <rPr>
        <sz val="11"/>
        <color theme="1"/>
        <rFont val="ＭＳ Ｐゴシック"/>
        <family val="3"/>
        <charset val="134"/>
        <scheme val="minor"/>
      </rPr>
      <t>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</si>
  <si>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>烈酒; 葡萄酒; 白酒; 果酒（含酒精）; 甜酒; 清酒;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</si>
  <si>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上海竹篙宇</t>
    </r>
    <r>
      <rPr>
        <sz val="11"/>
        <color theme="1"/>
        <rFont val="ＭＳ Ｐゴシック"/>
        <family val="3"/>
        <charset val="134"/>
        <scheme val="minor"/>
      </rPr>
      <t>铭</t>
    </r>
    <r>
      <rPr>
        <sz val="11"/>
        <color theme="1"/>
        <rFont val="ＭＳ Ｐゴシック"/>
        <family val="3"/>
        <charset val="128"/>
        <scheme val="minor"/>
      </rPr>
      <t>信息技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</si>
  <si>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</si>
  <si>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r>
      <t>钓</t>
    </r>
    <r>
      <rPr>
        <sz val="11"/>
        <color theme="1"/>
        <rFont val="ＭＳ Ｐゴシック"/>
        <family val="3"/>
        <charset val="128"/>
        <scheme val="minor"/>
      </rPr>
      <t>愉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</si>
  <si>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楠孚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</si>
  <si>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葡萄酒; 食用酒精</t>
    </r>
  </si>
  <si>
    <r>
      <t>书</t>
    </r>
    <r>
      <rPr>
        <sz val="11"/>
        <color theme="1"/>
        <rFont val="ＭＳ Ｐゴシック"/>
        <family val="3"/>
        <charset val="128"/>
        <scheme val="minor"/>
      </rPr>
      <t>香三秦</t>
    </r>
  </si>
  <si>
    <r>
      <t>葡萄酒; 米酒; 清酒（日本米酒）;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</si>
  <si>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屈子屈</t>
  </si>
  <si>
    <r>
      <t>宜昌涵阳商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</si>
  <si>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白酒; 日本梅子酒;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蒸煮提取物（利口酒和烈酒）; 黄酒; 高粱酒; 清酒（日本米酒）</t>
    </r>
  </si>
  <si>
    <t>泰神气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</si>
  <si>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泰尚黄精生物科技有限公司</t>
    </r>
  </si>
  <si>
    <r>
      <t>米酒; 黄酒;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</si>
  <si>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</si>
  <si>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浓</t>
    </r>
    <r>
      <rPr>
        <sz val="11"/>
        <color theme="1"/>
        <rFont val="ＭＳ Ｐゴシック"/>
        <family val="3"/>
        <charset val="128"/>
        <scheme val="minor"/>
      </rPr>
      <t>天九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</si>
  <si>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友展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</si>
  <si>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黑醋栗酒;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食用酒精; 黄酒; 葡萄酒</t>
    </r>
  </si>
  <si>
    <t>梦星座</t>
  </si>
  <si>
    <r>
      <t>天下白（无</t>
    </r>
    <r>
      <rPr>
        <sz val="11"/>
        <color theme="1"/>
        <rFont val="ＭＳ Ｐゴシック"/>
        <family val="3"/>
        <charset val="134"/>
        <scheme val="minor"/>
      </rPr>
      <t>锡</t>
    </r>
    <r>
      <rPr>
        <sz val="11"/>
        <color theme="1"/>
        <rFont val="ＭＳ Ｐゴシック"/>
        <family val="3"/>
        <charset val="128"/>
        <scheme val="minor"/>
      </rPr>
      <t>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</si>
  <si>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梨酒; 黄酒; 白酒; 米酒;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</si>
  <si>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靖棠</t>
  </si>
  <si>
    <r>
      <t>鱼</t>
    </r>
    <r>
      <rPr>
        <sz val="11"/>
        <color theme="1"/>
        <rFont val="ＭＳ Ｐゴシック"/>
        <family val="3"/>
        <charset val="128"/>
        <scheme val="minor"/>
      </rPr>
      <t>台来莱商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</si>
  <si>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利口酒;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甜酒; 果酒; 米酒</t>
    </r>
  </si>
  <si>
    <r>
      <t>鸿</t>
    </r>
    <r>
      <rPr>
        <sz val="11"/>
        <color theme="1"/>
        <rFont val="ＭＳ Ｐゴシック"/>
        <family val="3"/>
        <charset val="128"/>
        <scheme val="minor"/>
      </rPr>
      <t>运</t>
    </r>
    <r>
      <rPr>
        <sz val="11"/>
        <color theme="1"/>
        <rFont val="ＭＳ Ｐゴシック"/>
        <family val="3"/>
        <charset val="134"/>
        <scheme val="minor"/>
      </rPr>
      <t>临</t>
    </r>
  </si>
  <si>
    <r>
      <t>杨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法</t>
    </r>
  </si>
  <si>
    <t>清酒; 甜酒; 黄酒; 开胃酒; 食用酒精; 汽酒; 白酒; 葡萄酒; 米酒; 果酒</t>
  </si>
  <si>
    <r>
      <t>动</t>
    </r>
    <r>
      <rPr>
        <sz val="11"/>
        <color theme="1"/>
        <rFont val="ＭＳ Ｐゴシック"/>
        <family val="3"/>
        <charset val="128"/>
        <scheme val="minor"/>
      </rPr>
      <t>越玖九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</si>
  <si>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庆动</t>
    </r>
    <r>
      <rPr>
        <sz val="11"/>
        <color theme="1"/>
        <rFont val="ＭＳ Ｐゴシック"/>
        <family val="3"/>
        <charset val="128"/>
        <scheme val="minor"/>
      </rPr>
      <t>越玖九智能科技有限公司</t>
    </r>
  </si>
  <si>
    <r>
      <t xml:space="preserve">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葡萄酒; 薄荷酒;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</si>
  <si>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龙乡</t>
    </r>
    <r>
      <rPr>
        <sz val="11"/>
        <color theme="1"/>
        <rFont val="ＭＳ Ｐゴシック"/>
        <family val="3"/>
        <charset val="128"/>
        <scheme val="minor"/>
      </rPr>
      <t>濮人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</si>
  <si>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齐</t>
    </r>
    <r>
      <rPr>
        <sz val="11"/>
        <color theme="1"/>
        <rFont val="ＭＳ Ｐゴシック"/>
        <family val="3"/>
        <charset val="128"/>
        <scheme val="minor"/>
      </rPr>
      <t>平酒文化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展中心（个人独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</si>
  <si>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米酒; 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</si>
  <si>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同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寸玉</t>
    </r>
  </si>
  <si>
    <r>
      <t>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清酒;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烈酒; 利口酒; 黄酒</t>
    </r>
  </si>
  <si>
    <r>
      <t>轻轻</t>
    </r>
    <r>
      <rPr>
        <sz val="11"/>
        <color theme="1"/>
        <rFont val="ＭＳ Ｐゴシック"/>
        <family val="3"/>
        <charset val="128"/>
        <scheme val="minor"/>
      </rPr>
      <t>旅</t>
    </r>
  </si>
  <si>
    <r>
      <t>湖南</t>
    </r>
    <r>
      <rPr>
        <sz val="11"/>
        <color theme="1"/>
        <rFont val="ＭＳ Ｐゴシック"/>
        <family val="3"/>
        <charset val="134"/>
        <scheme val="minor"/>
      </rPr>
      <t>轻轻</t>
    </r>
    <r>
      <rPr>
        <sz val="11"/>
        <color theme="1"/>
        <rFont val="ＭＳ Ｐゴシック"/>
        <family val="3"/>
        <charset val="128"/>
        <scheme val="minor"/>
      </rPr>
      <t>旅游文化有限公司</t>
    </r>
  </si>
  <si>
    <r>
      <t>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白酒; 果酒（含酒精）;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</si>
  <si>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t>代屋</t>
  </si>
  <si>
    <r>
      <t>江西老林果源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</si>
  <si>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蜂蜜酒; 白酒; 葡萄酒; 果酒（含酒精）; 黄酒; 威士忌;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</t>
    </r>
  </si>
  <si>
    <r>
      <t>李</t>
    </r>
    <r>
      <rPr>
        <sz val="11"/>
        <color theme="1"/>
        <rFont val="ＭＳ Ｐゴシック"/>
        <family val="3"/>
        <charset val="134"/>
        <scheme val="minor"/>
      </rPr>
      <t>诗</t>
    </r>
    <r>
      <rPr>
        <sz val="11"/>
        <color theme="1"/>
        <rFont val="ＭＳ Ｐゴシック"/>
        <family val="3"/>
        <charset val="128"/>
        <scheme val="minor"/>
      </rPr>
      <t>侠</t>
    </r>
  </si>
  <si>
    <r>
      <t>白酒; 烈酒; 开胃酒; 清酒（日本米酒）; 葡萄酒; 果酒（含酒精）; 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</si>
  <si>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草香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元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</si>
  <si>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乡钍</t>
    </r>
    <r>
      <rPr>
        <sz val="11"/>
        <color theme="1"/>
        <rFont val="ＭＳ Ｐゴシック"/>
        <family val="3"/>
        <charset val="128"/>
        <scheme val="minor"/>
      </rPr>
      <t>森堂医</t>
    </r>
    <r>
      <rPr>
        <sz val="11"/>
        <color theme="1"/>
        <rFont val="ＭＳ Ｐゴシック"/>
        <family val="3"/>
        <charset val="134"/>
        <scheme val="minor"/>
      </rPr>
      <t>疗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</si>
  <si>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露酒; 白酒;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黄酒; 米酒; 果酒;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苦艾酒</t>
    </r>
  </si>
  <si>
    <r>
      <t>小</t>
    </r>
    <r>
      <rPr>
        <sz val="11"/>
        <color theme="1"/>
        <rFont val="ＭＳ Ｐゴシック"/>
        <family val="3"/>
        <charset val="129"/>
        <scheme val="minor"/>
      </rPr>
      <t>酕</t>
    </r>
    <r>
      <rPr>
        <sz val="11"/>
        <color theme="1"/>
        <rFont val="ＭＳ Ｐゴシック"/>
        <family val="3"/>
        <charset val="134"/>
        <scheme val="minor"/>
      </rPr>
      <t>谭</t>
    </r>
  </si>
  <si>
    <r>
      <t>葡萄酒; 白酒;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青稞酒;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米酒</t>
    </r>
  </si>
  <si>
    <t>雪力威特</t>
  </si>
  <si>
    <t>深圳洽客科技有限公司</t>
  </si>
  <si>
    <r>
      <t>米酒; 威士忌; 苹果酒; 白酒; 果酒（含酒精）; 伏特加酒; 朗姆酒;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</si>
  <si>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书</t>
    </r>
    <r>
      <rPr>
        <sz val="11"/>
        <color theme="1"/>
        <rFont val="ＭＳ Ｐゴシック"/>
        <family val="3"/>
        <charset val="128"/>
        <scheme val="minor"/>
      </rPr>
      <t>香豫章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</si>
  <si>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黄酒; 米酒; 果酒（含酒精）;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</si>
  <si>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t>姊迎亭</t>
  </si>
  <si>
    <t>晋中市晋之康食品有限公司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</si>
  <si>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汽酒; 食用酒精; 青稞酒;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清酒; 黄酒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</si>
  <si>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西万家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生活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有限公司孝</t>
    </r>
    <r>
      <rPr>
        <sz val="11"/>
        <color theme="1"/>
        <rFont val="ＭＳ Ｐゴシック"/>
        <family val="3"/>
        <charset val="134"/>
        <scheme val="minor"/>
      </rPr>
      <t>义</t>
    </r>
    <r>
      <rPr>
        <sz val="11"/>
        <color theme="1"/>
        <rFont val="ＭＳ Ｐゴシック"/>
        <family val="3"/>
        <charset val="128"/>
        <scheme val="minor"/>
      </rPr>
      <t>分公司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</si>
  <si>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黄酒;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果酒（含酒精）</t>
    </r>
  </si>
  <si>
    <r>
      <t>义</t>
    </r>
    <r>
      <rPr>
        <sz val="11"/>
        <color theme="1"/>
        <rFont val="ＭＳ Ｐゴシック"/>
        <family val="3"/>
        <charset val="128"/>
        <scheme val="minor"/>
      </rPr>
      <t>品</t>
    </r>
    <r>
      <rPr>
        <sz val="11"/>
        <color theme="1"/>
        <rFont val="ＭＳ Ｐゴシック"/>
        <family val="3"/>
        <charset val="134"/>
        <scheme val="minor"/>
      </rPr>
      <t>财</t>
    </r>
    <r>
      <rPr>
        <sz val="11"/>
        <color theme="1"/>
        <rFont val="ＭＳ Ｐゴシック"/>
        <family val="3"/>
        <charset val="128"/>
        <scheme val="minor"/>
      </rPr>
      <t>源</t>
    </r>
  </si>
  <si>
    <r>
      <t>烈酒; 白酒; 米酒; 黄酒; 葡萄酒; 果酒（含酒精）;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</t>
    </r>
  </si>
  <si>
    <r>
      <t>艾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合</t>
    </r>
  </si>
  <si>
    <r>
      <t>上海惜艾健康科技集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</si>
  <si>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汽酒;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</si>
  <si>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r>
      <t>怡启</t>
    </r>
    <r>
      <rPr>
        <sz val="11"/>
        <color theme="1"/>
        <rFont val="ＭＳ Ｐゴシック"/>
        <family val="3"/>
        <charset val="134"/>
        <scheme val="minor"/>
      </rPr>
      <t>颂</t>
    </r>
  </si>
  <si>
    <r>
      <t>四川怡启</t>
    </r>
    <r>
      <rPr>
        <sz val="11"/>
        <color theme="1"/>
        <rFont val="ＭＳ Ｐゴシック"/>
        <family val="3"/>
        <charset val="134"/>
        <scheme val="minor"/>
      </rPr>
      <t>颂</t>
    </r>
    <r>
      <rPr>
        <sz val="11"/>
        <color theme="1"/>
        <rFont val="ＭＳ Ｐゴシック"/>
        <family val="3"/>
        <charset val="128"/>
        <scheme val="minor"/>
      </rPr>
      <t>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</si>
  <si>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</t>
    </r>
  </si>
  <si>
    <t>景福山</t>
  </si>
  <si>
    <r>
      <t>泉州阳照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</si>
  <si>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米酒; 白酒; 白葡萄酒; 威士忌;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薄荷酒;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果酒;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</t>
    </r>
  </si>
  <si>
    <r>
      <t>艺</t>
    </r>
    <r>
      <rPr>
        <sz val="11"/>
        <color theme="1"/>
        <rFont val="ＭＳ Ｐゴシック"/>
        <family val="3"/>
        <charset val="128"/>
        <scheme val="minor"/>
      </rPr>
      <t>壤珍品</t>
    </r>
  </si>
  <si>
    <r>
      <t>艺</t>
    </r>
    <r>
      <rPr>
        <sz val="11"/>
        <color theme="1"/>
        <rFont val="ＭＳ Ｐゴシック"/>
        <family val="3"/>
        <charset val="128"/>
        <scheme val="minor"/>
      </rPr>
      <t>壤在</t>
    </r>
    <r>
      <rPr>
        <sz val="11"/>
        <color theme="1"/>
        <rFont val="ＭＳ Ｐゴシック"/>
        <family val="3"/>
        <charset val="134"/>
        <scheme val="minor"/>
      </rPr>
      <t>线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</si>
  <si>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果酒（含酒精）;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食用酒精; 黄酒</t>
    </r>
  </si>
  <si>
    <r>
      <t>艺</t>
    </r>
    <r>
      <rPr>
        <sz val="11"/>
        <color theme="1"/>
        <rFont val="ＭＳ Ｐゴシック"/>
        <family val="3"/>
        <charset val="128"/>
        <scheme val="minor"/>
      </rPr>
      <t>壤</t>
    </r>
    <r>
      <rPr>
        <sz val="11"/>
        <color theme="1"/>
        <rFont val="ＭＳ Ｐゴシック"/>
        <family val="3"/>
        <charset val="134"/>
        <scheme val="minor"/>
      </rPr>
      <t>艺</t>
    </r>
    <r>
      <rPr>
        <sz val="11"/>
        <color theme="1"/>
        <rFont val="ＭＳ Ｐゴシック"/>
        <family val="3"/>
        <charset val="128"/>
        <scheme val="minor"/>
      </rPr>
      <t>窖</t>
    </r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</si>
  <si>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清酒（日本米酒）;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食用酒精;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</si>
  <si>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花喜小巷</t>
  </si>
  <si>
    <r>
      <t>王</t>
    </r>
    <r>
      <rPr>
        <sz val="11"/>
        <color theme="1"/>
        <rFont val="ＭＳ Ｐゴシック"/>
        <family val="3"/>
        <charset val="134"/>
        <scheme val="minor"/>
      </rPr>
      <t>帅</t>
    </r>
    <r>
      <rPr>
        <sz val="11"/>
        <color theme="1"/>
        <rFont val="ＭＳ Ｐゴシック"/>
        <family val="3"/>
        <charset val="128"/>
        <scheme val="minor"/>
      </rPr>
      <t>博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</si>
  <si>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果酒（含酒精）;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</si>
  <si>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板燕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城</t>
    </r>
  </si>
  <si>
    <t>徐方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</si>
  <si>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青梅酒; 开胃酒; 苹果酒;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</si>
  <si>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临</t>
    </r>
    <r>
      <rPr>
        <sz val="11"/>
        <color theme="1"/>
        <rFont val="ＭＳ Ｐゴシック"/>
        <family val="3"/>
        <charset val="128"/>
        <scheme val="minor"/>
      </rPr>
      <t>沂五点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</si>
  <si>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葡萄酒; 果酒; 利口酒; 汽酒; 开胃酒; 米酒;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</si>
  <si>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乔</t>
    </r>
    <r>
      <rPr>
        <sz val="11"/>
        <color theme="1"/>
        <rFont val="ＭＳ Ｐゴシック"/>
        <family val="3"/>
        <charset val="128"/>
        <scheme val="minor"/>
      </rPr>
      <t>不倒</t>
    </r>
  </si>
  <si>
    <r>
      <t>中香中瓷（浙江）酒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</si>
  <si>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青稞酒;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蜂蜜酒; 露酒; 苦艾酒; 米酒; 黄酒; 高粱酒;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>甜酒; 甜酒;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开胃酒...</t>
    </r>
  </si>
  <si>
    <t>哦棵易</t>
  </si>
  <si>
    <r>
      <t>上海哦棵易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</si>
  <si>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清酒; 甜酒; 含酒精的气泡水;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米酒;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黑覆盆子酒; 葡萄酒</t>
    </r>
  </si>
  <si>
    <r>
      <t>蓝</t>
    </r>
    <r>
      <rPr>
        <sz val="11"/>
        <color theme="1"/>
        <rFont val="ＭＳ Ｐゴシック"/>
        <family val="3"/>
        <charset val="128"/>
        <scheme val="minor"/>
      </rPr>
      <t>手</t>
    </r>
  </si>
  <si>
    <r>
      <t>四川</t>
    </r>
    <r>
      <rPr>
        <sz val="11"/>
        <color theme="1"/>
        <rFont val="ＭＳ Ｐゴシック"/>
        <family val="3"/>
        <charset val="134"/>
        <scheme val="minor"/>
      </rPr>
      <t>蓝</t>
    </r>
    <r>
      <rPr>
        <sz val="11"/>
        <color theme="1"/>
        <rFont val="ＭＳ Ｐゴシック"/>
        <family val="3"/>
        <charset val="128"/>
        <scheme val="minor"/>
      </rPr>
      <t>手科技有限公司</t>
    </r>
  </si>
  <si>
    <r>
      <t>白酒; 苦味酒; 利口酒; 威士忌;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葡萄酒; 苹果酒</t>
    </r>
  </si>
  <si>
    <r>
      <t>芝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</si>
  <si>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富豪葡萄酒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美洲公司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</si>
  <si>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餐后酒（利口酒和烈酒）; 加烈葡萄酒; 起泡白葡萄酒; 葡萄汽酒;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白酒</t>
    </r>
  </si>
  <si>
    <t>瑞奇花</t>
  </si>
  <si>
    <t>成都慈海科技有限公司</t>
  </si>
  <si>
    <r>
      <t xml:space="preserve">葡萄酒; 威士忌; 白酒;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苹果酒;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伏特加酒; 苦味酒</t>
    </r>
  </si>
  <si>
    <r>
      <t>聆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吟</t>
    </r>
  </si>
  <si>
    <r>
      <t>储维</t>
    </r>
    <r>
      <rPr>
        <sz val="11"/>
        <color theme="1"/>
        <rFont val="ＭＳ Ｐゴシック"/>
        <family val="3"/>
        <charset val="128"/>
        <scheme val="minor"/>
      </rPr>
      <t>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（上海）有限公司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</si>
  <si>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</si>
  <si>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臻德爽</t>
  </si>
  <si>
    <r>
      <t>黄</t>
    </r>
    <r>
      <rPr>
        <sz val="11"/>
        <color theme="1"/>
        <rFont val="ＭＳ Ｐゴシック"/>
        <family val="3"/>
        <charset val="134"/>
        <scheme val="minor"/>
      </rPr>
      <t>冈</t>
    </r>
    <r>
      <rPr>
        <sz val="11"/>
        <color theme="1"/>
        <rFont val="ＭＳ Ｐゴシック"/>
        <family val="3"/>
        <charset val="128"/>
        <scheme val="minor"/>
      </rPr>
      <t>福威吉祥商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</si>
  <si>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黄酒; 食用酒精; 开胃酒;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苦味酒</t>
    </r>
  </si>
  <si>
    <r>
      <t>呼</t>
    </r>
    <r>
      <rPr>
        <sz val="11"/>
        <color theme="1"/>
        <rFont val="ＭＳ Ｐゴシック"/>
        <family val="3"/>
        <charset val="134"/>
        <scheme val="minor"/>
      </rPr>
      <t>伦</t>
    </r>
    <r>
      <rPr>
        <sz val="11"/>
        <color theme="1"/>
        <rFont val="ＭＳ Ｐゴシック"/>
        <family val="3"/>
        <charset val="128"/>
        <scheme val="minor"/>
      </rPr>
      <t>烽味</t>
    </r>
  </si>
  <si>
    <r>
      <t>呼</t>
    </r>
    <r>
      <rPr>
        <sz val="11"/>
        <color theme="1"/>
        <rFont val="ＭＳ Ｐゴシック"/>
        <family val="3"/>
        <charset val="134"/>
        <scheme val="minor"/>
      </rPr>
      <t>伦贝尔农</t>
    </r>
    <r>
      <rPr>
        <sz val="11"/>
        <color theme="1"/>
        <rFont val="ＭＳ Ｐゴシック"/>
        <family val="3"/>
        <charset val="128"/>
        <scheme val="minor"/>
      </rPr>
      <t>牧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资发</t>
    </r>
    <r>
      <rPr>
        <sz val="11"/>
        <color theme="1"/>
        <rFont val="ＭＳ Ｐゴシック"/>
        <family val="3"/>
        <charset val="128"/>
        <scheme val="minor"/>
      </rPr>
      <t>展有限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</si>
  <si>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</si>
  <si>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瑞合瑞德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</si>
  <si>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嘉能嘉生物科技有限公司</t>
    </r>
  </si>
  <si>
    <r>
      <t>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果酒（含酒精）; 黄酒; 葡萄酒; 清酒（日本米酒）;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</si>
  <si>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街</t>
    </r>
    <r>
      <rPr>
        <sz val="11"/>
        <color theme="1"/>
        <rFont val="ＭＳ Ｐゴシック"/>
        <family val="3"/>
        <charset val="134"/>
        <scheme val="minor"/>
      </rPr>
      <t>坝头</t>
    </r>
  </si>
  <si>
    <t>程欣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</si>
  <si>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白酒; 黄酒; 威士忌; 伏特加酒; 青稞酒;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</si>
  <si>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t>何名将</t>
  </si>
  <si>
    <t>何宗亮******************X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</si>
  <si>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威士忌; 果酒（含酒精）;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</si>
  <si>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ECLUSTO</t>
  </si>
  <si>
    <t>刘芦萍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</si>
  <si>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蜂蜜酒; 白酒; 米酒; 开胃酒; 葡萄酒;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</si>
  <si>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夏</t>
    </r>
    <r>
      <rPr>
        <sz val="11"/>
        <color theme="1"/>
        <rFont val="ＭＳ Ｐゴシック"/>
        <family val="3"/>
        <charset val="134"/>
        <scheme val="minor"/>
      </rPr>
      <t>临</t>
    </r>
    <r>
      <rPr>
        <sz val="11"/>
        <color theme="1"/>
        <rFont val="ＭＳ Ｐゴシック"/>
        <family val="3"/>
        <charset val="128"/>
        <scheme val="minor"/>
      </rPr>
      <t>春</t>
    </r>
  </si>
  <si>
    <t>黄少卡</t>
  </si>
  <si>
    <r>
      <t>清酒;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果酒（含酒精）;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</t>
    </r>
  </si>
  <si>
    <r>
      <t>临</t>
    </r>
    <r>
      <rPr>
        <sz val="11"/>
        <color theme="1"/>
        <rFont val="ＭＳ Ｐゴシック"/>
        <family val="3"/>
        <charset val="128"/>
        <scheme val="minor"/>
      </rPr>
      <t>襄</t>
    </r>
  </si>
  <si>
    <r>
      <t>临县</t>
    </r>
    <r>
      <rPr>
        <sz val="11"/>
        <color theme="1"/>
        <rFont val="ＭＳ Ｐゴシック"/>
        <family val="3"/>
        <charset val="128"/>
        <scheme val="minor"/>
      </rPr>
      <t>品瑞酒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</si>
  <si>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白干酒（中国白酒）; 果酒; 黄酒; 葡萄酒; 威士忌; 白酒; 高粱酒;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</si>
  <si>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r>
      <t>夜宴</t>
    </r>
    <r>
      <rPr>
        <sz val="11"/>
        <color theme="1"/>
        <rFont val="ＭＳ Ｐゴシック"/>
        <family val="3"/>
        <charset val="134"/>
        <scheme val="minor"/>
      </rPr>
      <t>谣</t>
    </r>
  </si>
  <si>
    <t>湘潭正湘新能源科技有限公司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</si>
  <si>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米酒; 白干酒（中国白酒）; 果酒; 甜酒; 烈酒; 黄酒; 葡萄酒</t>
    </r>
  </si>
  <si>
    <t>黔果丰达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</si>
  <si>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州丰达</t>
    </r>
    <r>
      <rPr>
        <sz val="11"/>
        <color theme="1"/>
        <rFont val="ＭＳ Ｐゴシック"/>
        <family val="3"/>
        <charset val="134"/>
        <scheme val="minor"/>
      </rPr>
      <t>实业发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</si>
  <si>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茴香酒（利口酒）; 果酒（含酒精）</t>
    </r>
  </si>
  <si>
    <r>
      <t>徐皖</t>
    </r>
    <r>
      <rPr>
        <sz val="11"/>
        <color theme="1"/>
        <rFont val="ＭＳ Ｐゴシック"/>
        <family val="3"/>
        <charset val="134"/>
        <scheme val="minor"/>
      </rPr>
      <t>记</t>
    </r>
  </si>
  <si>
    <r>
      <t>徐广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</si>
  <si>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果酒（含酒精）;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开胃酒</t>
    </r>
  </si>
  <si>
    <t>王家儿女</t>
  </si>
  <si>
    <r>
      <t>安</t>
    </r>
    <r>
      <rPr>
        <sz val="11"/>
        <color theme="1"/>
        <rFont val="ＭＳ Ｐゴシック"/>
        <family val="3"/>
        <charset val="134"/>
        <scheme val="minor"/>
      </rPr>
      <t>济桥</t>
    </r>
    <r>
      <rPr>
        <sz val="11"/>
        <color theme="1"/>
        <rFont val="ＭＳ Ｐゴシック"/>
        <family val="3"/>
        <charset val="128"/>
        <scheme val="minor"/>
      </rPr>
      <t>老白干酒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</si>
  <si>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白酒; 甜果酒; 黄酒; 薄荷酒; 米酒; 白干酒（中国白酒）; 果酒（含酒精）; 葡萄酒; 清酒;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</si>
  <si>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生吟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</si>
  <si>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清酒（日本米酒）; 开胃酒;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</t>
    </r>
  </si>
  <si>
    <t>竹宝哥</t>
  </si>
  <si>
    <r>
      <t>四川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方竹宝生物科技有限公司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</si>
  <si>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葡萄酒; 果酒（含酒精）; 黄酒; 米酒;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</t>
    </r>
  </si>
  <si>
    <t>犁画</t>
  </si>
  <si>
    <r>
      <t>沈</t>
    </r>
    <r>
      <rPr>
        <sz val="11"/>
        <color theme="1"/>
        <rFont val="ＭＳ Ｐゴシック"/>
        <family val="3"/>
        <charset val="134"/>
        <scheme val="minor"/>
      </rPr>
      <t>晓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</si>
  <si>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黄酒; 白酒;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</si>
  <si>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荣耀九洲</t>
  </si>
  <si>
    <t>万茗堂有限公司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</si>
  <si>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</si>
  <si>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t>川家村</t>
  </si>
  <si>
    <r>
      <t>泉州市泉港区越后制果日用百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商行</t>
    </r>
  </si>
  <si>
    <r>
      <t xml:space="preserve">白酒; 清酒;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葡萄酒;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果酒</t>
    </r>
  </si>
  <si>
    <r>
      <t>YONLOVEYO 养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友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</si>
  <si>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西尤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倍特乳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</si>
  <si>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含酒精的气泡水; 食用酒精; 清酒; 白酒; 米酒; 含牛奶的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黄酒</t>
    </r>
  </si>
  <si>
    <t>魔都小小白</t>
  </si>
  <si>
    <r>
      <t>辽</t>
    </r>
    <r>
      <rPr>
        <sz val="11"/>
        <color theme="1"/>
        <rFont val="ＭＳ Ｐゴシック"/>
        <family val="3"/>
        <charset val="128"/>
        <scheme val="minor"/>
      </rPr>
      <t>宁世</t>
    </r>
    <r>
      <rPr>
        <sz val="11"/>
        <color theme="1"/>
        <rFont val="ＭＳ Ｐゴシック"/>
        <family val="3"/>
        <charset val="134"/>
        <scheme val="minor"/>
      </rPr>
      <t>玺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文化有限公司</t>
    </r>
  </si>
  <si>
    <r>
      <t xml:space="preserve">利口酒;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青稞酒; 果酒（含酒精）</t>
    </r>
  </si>
  <si>
    <r>
      <t>绿</t>
    </r>
    <r>
      <rPr>
        <sz val="11"/>
        <color theme="1"/>
        <rFont val="ＭＳ Ｐゴシック"/>
        <family val="3"/>
        <charset val="128"/>
        <scheme val="minor"/>
      </rPr>
      <t>源百</t>
    </r>
    <r>
      <rPr>
        <sz val="11"/>
        <color theme="1"/>
        <rFont val="ＭＳ Ｐゴシック"/>
        <family val="3"/>
        <charset val="134"/>
        <scheme val="minor"/>
      </rPr>
      <t>岁乐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</si>
  <si>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玉</t>
    </r>
    <r>
      <rPr>
        <sz val="11"/>
        <color theme="1"/>
        <rFont val="ＭＳ Ｐゴシック"/>
        <family val="3"/>
        <charset val="134"/>
        <scheme val="minor"/>
      </rPr>
      <t>凤</t>
    </r>
  </si>
  <si>
    <r>
      <t>五加皮酒（中国混合烈酒）; 果酒（含酒精）; 米酒; 刺五加酒;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</si>
  <si>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天蛾人</t>
  </si>
  <si>
    <r>
      <t>南通大脚怪</t>
    </r>
    <r>
      <rPr>
        <sz val="11"/>
        <color theme="1"/>
        <rFont val="ＭＳ Ｐゴシック"/>
        <family val="3"/>
        <charset val="134"/>
        <scheme val="minor"/>
      </rPr>
      <t>纺织</t>
    </r>
    <r>
      <rPr>
        <sz val="11"/>
        <color theme="1"/>
        <rFont val="ＭＳ Ｐゴシック"/>
        <family val="3"/>
        <charset val="128"/>
        <scheme val="minor"/>
      </rPr>
      <t>品有限公司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</si>
  <si>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伏特加酒;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黄酒;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</t>
    </r>
  </si>
  <si>
    <r>
      <t>武</t>
    </r>
    <r>
      <rPr>
        <sz val="11"/>
        <color theme="1"/>
        <rFont val="ＭＳ Ｐゴシック"/>
        <family val="3"/>
        <charset val="134"/>
        <scheme val="minor"/>
      </rPr>
      <t>树</t>
    </r>
    <r>
      <rPr>
        <sz val="11"/>
        <color theme="1"/>
        <rFont val="ＭＳ Ｐゴシック"/>
        <family val="3"/>
        <charset val="128"/>
        <scheme val="minor"/>
      </rPr>
      <t>仁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</si>
  <si>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州天地仁和企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</si>
  <si>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白干酒（中国白酒）; 果酒（含酒精）;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青稞酒;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清酒; 高粱酒</t>
    </r>
  </si>
  <si>
    <r>
      <t>燕</t>
    </r>
    <r>
      <rPr>
        <sz val="11"/>
        <color theme="1"/>
        <rFont val="ＭＳ Ｐゴシック"/>
        <family val="3"/>
        <charset val="134"/>
        <scheme val="minor"/>
      </rPr>
      <t>辽</t>
    </r>
    <r>
      <rPr>
        <sz val="11"/>
        <color theme="1"/>
        <rFont val="ＭＳ Ｐゴシック"/>
        <family val="3"/>
        <charset val="128"/>
        <scheme val="minor"/>
      </rPr>
      <t>王</t>
    </r>
  </si>
  <si>
    <r>
      <t>朝阳市尊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</si>
  <si>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白酒; 食用酒精; 果酒（含酒精）; 开胃酒; 黄酒; 葡萄酒</t>
    </r>
  </si>
  <si>
    <t>和密</t>
  </si>
  <si>
    <r>
      <t>周</t>
    </r>
    <r>
      <rPr>
        <sz val="11"/>
        <color theme="1"/>
        <rFont val="ＭＳ Ｐゴシック"/>
        <family val="3"/>
        <charset val="134"/>
        <scheme val="minor"/>
      </rPr>
      <t>顺凤</t>
    </r>
  </si>
  <si>
    <r>
      <t xml:space="preserve">白酒; 利口酒; 葡萄酒;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梨酒; 米酒; 开胃酒; 黄酒</t>
    </r>
  </si>
  <si>
    <t>吉想世成</t>
  </si>
  <si>
    <t>杜翠芬</t>
  </si>
  <si>
    <r>
      <t>葡萄酒; 黄酒; 茴芹酒（利口酒）; 茴香酒（利口酒）; 餐后酒（利口酒和烈酒）; 蜂蜜酒; 酸酒（低等葡萄酒）; 梨酒;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含酒精的气泡水;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伏特加酒; 薄荷酒; 苦味酒;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朗姆酒; 果酒（含酒精）; 开胃酒; 苹果酒; 柑香酒; 烈...</t>
    </r>
  </si>
  <si>
    <t>安透</t>
  </si>
  <si>
    <t>上海肤泰科技有限公司</t>
  </si>
  <si>
    <r>
      <t>薄荷酒;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含酒精的气泡水;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利口酒; 苹果酒</t>
    </r>
  </si>
  <si>
    <t>佳泉</t>
  </si>
  <si>
    <r>
      <t>曹漱</t>
    </r>
    <r>
      <rPr>
        <sz val="11"/>
        <color theme="1"/>
        <rFont val="ＭＳ Ｐゴシック"/>
        <family val="3"/>
        <charset val="134"/>
        <scheme val="minor"/>
      </rPr>
      <t>诗</t>
    </r>
  </si>
  <si>
    <r>
      <t xml:space="preserve">白酒; 开胃酒; 梨酒; 利口酒; 果酒（含酒精）; 蜂蜜酒;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</t>
    </r>
  </si>
  <si>
    <r>
      <t>北京</t>
    </r>
    <r>
      <rPr>
        <sz val="11"/>
        <color theme="1"/>
        <rFont val="ＭＳ Ｐゴシック"/>
        <family val="3"/>
        <charset val="134"/>
        <scheme val="minor"/>
      </rPr>
      <t>槟</t>
    </r>
    <r>
      <rPr>
        <sz val="11"/>
        <color theme="1"/>
        <rFont val="ＭＳ Ｐゴシック"/>
        <family val="3"/>
        <charset val="128"/>
        <scheme val="minor"/>
      </rPr>
      <t>客文化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</si>
  <si>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葡萄酒</t>
    </r>
  </si>
  <si>
    <t>格悟秋水</t>
  </si>
  <si>
    <r>
      <t xml:space="preserve">威士忌;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朗姆酒;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伏特加酒</t>
    </r>
  </si>
  <si>
    <r>
      <t>南端</t>
    </r>
    <r>
      <rPr>
        <sz val="11"/>
        <color theme="1"/>
        <rFont val="ＭＳ Ｐゴシック"/>
        <family val="3"/>
        <charset val="134"/>
        <scheme val="minor"/>
      </rPr>
      <t>欢</t>
    </r>
    <r>
      <rPr>
        <sz val="11"/>
        <color theme="1"/>
        <rFont val="ＭＳ Ｐゴシック"/>
        <family val="3"/>
        <charset val="128"/>
        <scheme val="minor"/>
      </rPr>
      <t>喜</t>
    </r>
  </si>
  <si>
    <r>
      <t>沈阳鑫</t>
    </r>
    <r>
      <rPr>
        <sz val="11"/>
        <color theme="1"/>
        <rFont val="ＭＳ Ｐゴシック"/>
        <family val="3"/>
        <charset val="134"/>
        <scheme val="minor"/>
      </rPr>
      <t>钰</t>
    </r>
    <r>
      <rPr>
        <sz val="11"/>
        <color theme="1"/>
        <rFont val="ＭＳ Ｐゴシック"/>
        <family val="3"/>
        <charset val="128"/>
        <scheme val="minor"/>
      </rPr>
      <t>隆供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</si>
  <si>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清酒; 黄酒;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</t>
    </r>
  </si>
  <si>
    <t>秦家人</t>
  </si>
  <si>
    <r>
      <t>甜果酒;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清酒; 果酒（含酒精）; 薄荷酒; 葡萄酒; 白干酒（中国白酒）; 米酒; 白酒</t>
    </r>
  </si>
  <si>
    <r>
      <t>沧</t>
    </r>
    <r>
      <rPr>
        <sz val="11"/>
        <color theme="1"/>
        <rFont val="ＭＳ Ｐゴシック"/>
        <family val="3"/>
        <charset val="128"/>
        <scheme val="minor"/>
      </rPr>
      <t>歌鹿</t>
    </r>
    <r>
      <rPr>
        <sz val="11"/>
        <color theme="1"/>
        <rFont val="ＭＳ Ｐゴシック"/>
        <family val="3"/>
        <charset val="134"/>
        <scheme val="minor"/>
      </rPr>
      <t>业</t>
    </r>
  </si>
  <si>
    <t>韩亚红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</si>
  <si>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</si>
  <si>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斟解</t>
    </r>
    <r>
      <rPr>
        <sz val="11"/>
        <color theme="1"/>
        <rFont val="ＭＳ Ｐゴシック"/>
        <family val="3"/>
        <charset val="134"/>
        <scheme val="minor"/>
      </rPr>
      <t>忧</t>
    </r>
  </si>
  <si>
    <t>吴俊澎</t>
  </si>
  <si>
    <r>
      <t xml:space="preserve">葡萄酒; 开胃酒; 烈酒; 威士忌;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</si>
  <si>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馔</t>
    </r>
    <r>
      <rPr>
        <sz val="11"/>
        <color theme="1"/>
        <rFont val="ＭＳ Ｐゴシック"/>
        <family val="3"/>
        <charset val="128"/>
        <scheme val="minor"/>
      </rPr>
      <t>玉神</t>
    </r>
    <r>
      <rPr>
        <sz val="11"/>
        <color theme="1"/>
        <rFont val="ＭＳ Ｐゴシック"/>
        <family val="3"/>
        <charset val="134"/>
        <scheme val="minor"/>
      </rPr>
      <t>鸟</t>
    </r>
  </si>
  <si>
    <r>
      <t>成都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典商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</si>
  <si>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果酒（含酒精）; 食用酒精;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开胃酒</t>
    </r>
  </si>
  <si>
    <r>
      <t>丙乾</t>
    </r>
    <r>
      <rPr>
        <sz val="11"/>
        <color theme="1"/>
        <rFont val="ＭＳ Ｐゴシック"/>
        <family val="3"/>
        <charset val="134"/>
        <scheme val="minor"/>
      </rPr>
      <t>赋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</si>
  <si>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和荣酒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</si>
  <si>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果酒（含酒精）; 葡萄酒; 黄酒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</si>
  <si>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桥</t>
    </r>
    <r>
      <rPr>
        <sz val="11"/>
        <color theme="1"/>
        <rFont val="ＭＳ Ｐゴシック"/>
        <family val="3"/>
        <charset val="128"/>
        <scheme val="minor"/>
      </rPr>
      <t>斗</t>
    </r>
    <r>
      <rPr>
        <sz val="11"/>
        <color theme="1"/>
        <rFont val="ＭＳ Ｐゴシック"/>
        <family val="3"/>
        <charset val="134"/>
        <scheme val="minor"/>
      </rPr>
      <t>门</t>
    </r>
  </si>
  <si>
    <r>
      <t>莫</t>
    </r>
    <r>
      <rPr>
        <sz val="11"/>
        <color theme="1"/>
        <rFont val="ＭＳ Ｐゴシック"/>
        <family val="3"/>
        <charset val="134"/>
        <scheme val="minor"/>
      </rPr>
      <t>伦</t>
    </r>
    <r>
      <rPr>
        <sz val="11"/>
        <color theme="1"/>
        <rFont val="ＭＳ Ｐゴシック"/>
        <family val="3"/>
        <charset val="129"/>
        <scheme val="minor"/>
      </rPr>
      <t>怀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</si>
  <si>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黄酒; 高粱酒; 米酒; 葡萄酒</t>
    </r>
  </si>
  <si>
    <r>
      <t>水富高</t>
    </r>
    <r>
      <rPr>
        <sz val="11"/>
        <color theme="1"/>
        <rFont val="ＭＳ Ｐゴシック"/>
        <family val="3"/>
        <charset val="134"/>
        <scheme val="minor"/>
      </rPr>
      <t>滩资产经营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</si>
  <si>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果酒（含酒精）; 苹果酒;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蜂蜜酒; 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白酒; 米酒; 咖啡利口酒;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</si>
  <si>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礼密</t>
  </si>
  <si>
    <r>
      <t xml:space="preserve">白酒; 利口酒; 开胃酒;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清酒（日本米酒）; 葡萄酒; 梨酒; 青稞酒</t>
    </r>
  </si>
  <si>
    <t>春之恋</t>
  </si>
  <si>
    <r>
      <t>柑香酒; 苦味酒; 酸酒（低等葡萄酒）; 米酒;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汽酒; 黄酒; 葡萄酒; 果酒（含酒精）; 薄荷酒; 茴芹酒（利口酒）;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含酒精的气泡水; 青稞酒; 利口酒; 伏特加酒;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料...</t>
    </r>
  </si>
  <si>
    <t>繁逸</t>
  </si>
  <si>
    <r>
      <t>钟</t>
    </r>
    <r>
      <rPr>
        <sz val="11"/>
        <color theme="1"/>
        <rFont val="ＭＳ Ｐゴシック"/>
        <family val="3"/>
        <charset val="128"/>
        <scheme val="minor"/>
      </rPr>
      <t>建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</si>
  <si>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 xml:space="preserve">果酒; 白酒; 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白干酒（中国白酒）;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</si>
  <si>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优</t>
    </r>
    <r>
      <rPr>
        <sz val="11"/>
        <color theme="1"/>
        <rFont val="ＭＳ Ｐゴシック"/>
        <family val="3"/>
        <charset val="128"/>
        <scheme val="minor"/>
      </rPr>
      <t>牧希 UMILKXIR</t>
    </r>
  </si>
  <si>
    <r>
      <t>米酒; 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含牛奶的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葡萄酒; 白酒; 含酒精的气泡水; 食用酒精; 清酒</t>
    </r>
  </si>
  <si>
    <t>翩仙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</si>
  <si>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利口酒; 朗姆酒;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白酒; 葡萄酒; 果酒</t>
    </r>
  </si>
  <si>
    <r>
      <t>黄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区恒益源烟酒行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</si>
  <si>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开胃酒; 威士忌;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清酒（日本米酒）</t>
    </r>
  </si>
  <si>
    <t>激湍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</si>
  <si>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登玉堂食品有限公司</t>
    </r>
  </si>
  <si>
    <r>
      <t xml:space="preserve">葡萄酒;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清酒（日本米酒）;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</si>
  <si>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小傲.若水</t>
  </si>
  <si>
    <r>
      <t>小傲江湖数字科技江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</si>
  <si>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苹果酒;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</t>
    </r>
  </si>
  <si>
    <t>小傲.弱水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</si>
  <si>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开胃酒; 苹果酒;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</si>
  <si>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斡</t>
    </r>
    <r>
      <rPr>
        <sz val="11"/>
        <color theme="1"/>
        <rFont val="ＭＳ Ｐゴシック"/>
        <family val="3"/>
        <charset val="134"/>
        <scheme val="minor"/>
      </rPr>
      <t>鸿</t>
    </r>
  </si>
  <si>
    <r>
      <t>扎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屯市达斡</t>
    </r>
    <r>
      <rPr>
        <sz val="11"/>
        <color theme="1"/>
        <rFont val="ＭＳ Ｐゴシック"/>
        <family val="3"/>
        <charset val="134"/>
        <scheme val="minor"/>
      </rPr>
      <t>尔鸿</t>
    </r>
    <r>
      <rPr>
        <sz val="11"/>
        <color theme="1"/>
        <rFont val="ＭＳ Ｐゴシック"/>
        <family val="3"/>
        <charset val="128"/>
        <scheme val="minor"/>
      </rPr>
      <t>巍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畜有限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</si>
  <si>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果酒（含酒精）;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开胃酒;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梨酒</t>
    </r>
  </si>
  <si>
    <t>榧富堂</t>
  </si>
  <si>
    <t>浙江国榧生物科技有限公司</t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</si>
  <si>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蜂蜜酒; 清酒（日本米酒）;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高粱酒</t>
    </r>
  </si>
  <si>
    <t>嘉速健</t>
  </si>
  <si>
    <t>刘美珍</t>
  </si>
  <si>
    <t>黄酒; 果酒; 米酒; 食用酒精; 白酒; 清酒; 葡萄酒; 甜酒; 开胃酒; 汽酒</t>
  </si>
  <si>
    <r>
      <t>黔</t>
    </r>
    <r>
      <rPr>
        <sz val="11"/>
        <color theme="1"/>
        <rFont val="ＭＳ Ｐゴシック"/>
        <family val="3"/>
        <charset val="134"/>
        <scheme val="minor"/>
      </rPr>
      <t>觅</t>
    </r>
    <r>
      <rPr>
        <sz val="11"/>
        <color theme="1"/>
        <rFont val="ＭＳ Ｐゴシック"/>
        <family val="3"/>
        <charset val="128"/>
        <scheme val="minor"/>
      </rPr>
      <t>春山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</si>
  <si>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州柒承茶文化有限公司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</si>
  <si>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开胃酒; 果酒（含酒精）; 黄酒; 利口酒;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</t>
    </r>
  </si>
  <si>
    <t>厚圣</t>
  </si>
  <si>
    <r>
      <t xml:space="preserve">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梨酒; 青稞酒; 白酒; 利口酒; 开胃酒; 黄酒</t>
    </r>
  </si>
  <si>
    <t>雪玉洞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</si>
  <si>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丰都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河旅游开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</si>
  <si>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清酒; 白干酒（中国白酒）;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</si>
  <si>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日</t>
    </r>
    <r>
      <rPr>
        <sz val="11"/>
        <color theme="1"/>
        <rFont val="ＭＳ Ｐゴシック"/>
        <family val="3"/>
        <charset val="134"/>
        <scheme val="minor"/>
      </rPr>
      <t>处</t>
    </r>
    <r>
      <rPr>
        <sz val="11"/>
        <color theme="1"/>
        <rFont val="ＭＳ Ｐゴシック"/>
        <family val="3"/>
        <charset val="128"/>
        <scheme val="minor"/>
      </rPr>
      <t>山</t>
    </r>
  </si>
  <si>
    <r>
      <t>中基</t>
    </r>
    <r>
      <rPr>
        <sz val="11"/>
        <color theme="1"/>
        <rFont val="ＭＳ Ｐゴシック"/>
        <family val="3"/>
        <charset val="134"/>
        <scheme val="minor"/>
      </rPr>
      <t>沧</t>
    </r>
    <r>
      <rPr>
        <sz val="11"/>
        <color theme="1"/>
        <rFont val="ＭＳ Ｐゴシック"/>
        <family val="3"/>
        <charset val="128"/>
        <scheme val="minor"/>
      </rPr>
      <t>州商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</si>
  <si>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甜酒; 烈酒; 果酒; 高粱酒; 黄酒; 米酒; 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</si>
  <si>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斗酒樽神</t>
    </r>
    <r>
      <rPr>
        <sz val="11"/>
        <color theme="1"/>
        <rFont val="ＭＳ Ｐゴシック"/>
        <family val="3"/>
        <charset val="134"/>
        <scheme val="minor"/>
      </rPr>
      <t>鸟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</si>
  <si>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米酒; 开胃酒; 果酒（含酒精）; 食用酒精;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</si>
  <si>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玉</t>
    </r>
    <r>
      <rPr>
        <sz val="11"/>
        <color theme="1"/>
        <rFont val="ＭＳ Ｐゴシック"/>
        <family val="3"/>
        <charset val="134"/>
        <scheme val="minor"/>
      </rPr>
      <t>盘</t>
    </r>
    <r>
      <rPr>
        <sz val="11"/>
        <color theme="1"/>
        <rFont val="ＭＳ Ｐゴシック"/>
        <family val="3"/>
        <charset val="128"/>
        <scheme val="minor"/>
      </rPr>
      <t>珍羞神</t>
    </r>
    <r>
      <rPr>
        <sz val="11"/>
        <color theme="1"/>
        <rFont val="ＭＳ Ｐゴシック"/>
        <family val="3"/>
        <charset val="134"/>
        <scheme val="minor"/>
      </rPr>
      <t>鸟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</si>
  <si>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食用酒精; 开胃酒; 果酒（含酒精）; 米酒; 白酒; 葡萄酒;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</si>
  <si>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t>梦天之境</t>
  </si>
  <si>
    <r>
      <t>月</t>
    </r>
    <r>
      <rPr>
        <sz val="11"/>
        <color theme="1"/>
        <rFont val="ＭＳ Ｐゴシック"/>
        <family val="3"/>
        <charset val="134"/>
        <scheme val="minor"/>
      </rPr>
      <t>图</t>
    </r>
    <r>
      <rPr>
        <sz val="11"/>
        <color theme="1"/>
        <rFont val="ＭＳ Ｐゴシック"/>
        <family val="3"/>
        <charset val="128"/>
        <scheme val="minor"/>
      </rPr>
      <t>（深圳）航天文化科技有限公司</t>
    </r>
  </si>
  <si>
    <r>
      <t xml:space="preserve">白酒; 咖啡利口酒; 混合威士忌酒; 甜果酒; 果酒;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</si>
  <si>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苟前</t>
    </r>
    <r>
      <rPr>
        <sz val="11"/>
        <color theme="1"/>
        <rFont val="ＭＳ Ｐゴシック"/>
        <family val="3"/>
        <charset val="134"/>
        <scheme val="minor"/>
      </rPr>
      <t>进</t>
    </r>
  </si>
  <si>
    <r>
      <t>永康市如期而至商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</si>
  <si>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果酒; 米酒;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高粱酒; 清酒;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白酒; 黄酒</t>
    </r>
  </si>
  <si>
    <t>李家儿女</t>
  </si>
  <si>
    <r>
      <t>白酒; 甜果酒; 薄荷酒; 白干酒（中国白酒）; 米酒; 清酒;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黄酒</t>
    </r>
  </si>
  <si>
    <t>天使泊</t>
  </si>
  <si>
    <t>北京天使泊教育科技有限公司</t>
  </si>
  <si>
    <r>
      <t>葡萄酒; 清酒（日本米酒）;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黄酒</t>
    </r>
  </si>
  <si>
    <r>
      <t>锦鲤</t>
    </r>
    <r>
      <rPr>
        <sz val="11"/>
        <color theme="1"/>
        <rFont val="ＭＳ Ｐゴシック"/>
        <family val="3"/>
        <charset val="128"/>
        <scheme val="minor"/>
      </rPr>
      <t>瓦市</t>
    </r>
  </si>
  <si>
    <r>
      <t>泉州中泉星品供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</si>
  <si>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米酒; 开胃酒;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果酒（含酒精）</t>
    </r>
  </si>
  <si>
    <t>火耀金</t>
  </si>
  <si>
    <r>
      <t>凯尔</t>
    </r>
    <r>
      <rPr>
        <sz val="11"/>
        <color theme="1"/>
        <rFont val="ＭＳ Ｐゴシック"/>
        <family val="3"/>
        <charset val="128"/>
        <scheme val="minor"/>
      </rPr>
      <t>特国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交流(北京)有限公司</t>
    </r>
  </si>
  <si>
    <r>
      <t>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朗姆酒;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杜松子酒;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</si>
  <si>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t>柔良</t>
  </si>
  <si>
    <t>柔良（上海）品牌管理有限公司</t>
  </si>
  <si>
    <r>
      <t>果酒（含酒精）; 苦味酒;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餐后酒（利口酒和烈酒）;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柑香酒;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</t>
    </r>
  </si>
  <si>
    <t>RUBIQUE</t>
  </si>
  <si>
    <r>
      <t>果酒（含酒精）;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葡萄酒; 白酒; 米酒;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</si>
  <si>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库</t>
    </r>
    <r>
      <rPr>
        <sz val="11"/>
        <color theme="1"/>
        <rFont val="ＭＳ Ｐゴシック"/>
        <family val="3"/>
        <charset val="128"/>
        <scheme val="minor"/>
      </rPr>
      <t>野</t>
    </r>
  </si>
  <si>
    <t>黄海珊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</si>
  <si>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蒸煮提取物（利口酒和烈酒）;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</si>
  <si>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t>YEYOOYE</t>
  </si>
  <si>
    <r>
      <t>深圳市壹粒糖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食服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</si>
  <si>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白酒; 甜酒; 汽酒</t>
    </r>
  </si>
  <si>
    <t>泓韵八喜</t>
  </si>
  <si>
    <r>
      <t>上海淞杵</t>
    </r>
    <r>
      <rPr>
        <sz val="11"/>
        <color theme="1"/>
        <rFont val="ＭＳ Ｐゴシック"/>
        <family val="3"/>
        <charset val="134"/>
        <scheme val="minor"/>
      </rPr>
      <t>实业发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</si>
  <si>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葡萄酒; 米酒; 薄荷酒</t>
    </r>
  </si>
  <si>
    <t>然之露</t>
  </si>
  <si>
    <t>北京量子之歌科技有限公司</t>
  </si>
  <si>
    <r>
      <t xml:space="preserve">露酒;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葡萄酒; 米酒</t>
    </r>
  </si>
  <si>
    <t>即音</t>
  </si>
  <si>
    <r>
      <t>陕</t>
    </r>
    <r>
      <rPr>
        <sz val="11"/>
        <color theme="1"/>
        <rFont val="ＭＳ Ｐゴシック"/>
        <family val="3"/>
        <charset val="128"/>
        <scheme val="minor"/>
      </rPr>
      <t>西和盛和文化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</si>
  <si>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</si>
  <si>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r>
      <t>锦</t>
    </r>
    <r>
      <rPr>
        <sz val="11"/>
        <color theme="1"/>
        <rFont val="ＭＳ Ｐゴシック"/>
        <family val="3"/>
        <charset val="128"/>
        <scheme val="minor"/>
      </rPr>
      <t>宏喜</t>
    </r>
  </si>
  <si>
    <r>
      <t>达拉特旗</t>
    </r>
    <r>
      <rPr>
        <sz val="11"/>
        <color theme="1"/>
        <rFont val="ＭＳ Ｐゴシック"/>
        <family val="3"/>
        <charset val="134"/>
        <scheme val="minor"/>
      </rPr>
      <t>锦龙农</t>
    </r>
    <r>
      <rPr>
        <sz val="11"/>
        <color theme="1"/>
        <rFont val="ＭＳ Ｐゴシック"/>
        <family val="3"/>
        <charset val="128"/>
        <scheme val="minor"/>
      </rPr>
      <t>牧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</si>
  <si>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伏特加酒; 黄酒; 葡萄酒; 威士忌; 米酒; 果酒（含酒精）; 青稞酒;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</si>
  <si>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泉</t>
    </r>
    <r>
      <rPr>
        <sz val="11"/>
        <color theme="1"/>
        <rFont val="ＭＳ Ｐゴシック"/>
        <family val="3"/>
        <charset val="134"/>
        <scheme val="minor"/>
      </rPr>
      <t>满掼</t>
    </r>
  </si>
  <si>
    <r>
      <t>开胃酒;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果酒（含酒精）; 米酒</t>
    </r>
  </si>
  <si>
    <r>
      <t>汽酒; 烈酒; 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白酒</t>
    </r>
  </si>
  <si>
    <t>思知妙</t>
  </si>
  <si>
    <r>
      <t>优</t>
    </r>
    <r>
      <rPr>
        <sz val="11"/>
        <color theme="1"/>
        <rFont val="ＭＳ Ｐゴシック"/>
        <family val="3"/>
        <charset val="128"/>
        <scheme val="minor"/>
      </rPr>
      <t>住(菏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)智能科技有限公司</t>
    </r>
  </si>
  <si>
    <r>
      <t>食用酒精;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黄酒; 清酒;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米酒</t>
    </r>
  </si>
  <si>
    <t>利太太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</si>
  <si>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利太太家居有限公司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</si>
  <si>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果酒（含酒精）;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</si>
  <si>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羌城厨娘</t>
  </si>
  <si>
    <r>
      <t>陕</t>
    </r>
    <r>
      <rPr>
        <sz val="11"/>
        <color theme="1"/>
        <rFont val="ＭＳ Ｐゴシック"/>
        <family val="3"/>
        <charset val="128"/>
        <scheme val="minor"/>
      </rPr>
      <t>西秦巴情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>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</si>
  <si>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米酒;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</si>
  <si>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湖</t>
    </r>
  </si>
  <si>
    <r>
      <t>余</t>
    </r>
    <r>
      <rPr>
        <sz val="11"/>
        <color theme="1"/>
        <rFont val="ＭＳ Ｐゴシック"/>
        <family val="3"/>
        <charset val="134"/>
        <scheme val="minor"/>
      </rPr>
      <t>军华</t>
    </r>
  </si>
  <si>
    <r>
      <t>清酒（日本米酒）; 威士忌; 葡萄酒; 黄酒; 烈酒;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白酒</t>
    </r>
  </si>
  <si>
    <t>楚泱</t>
  </si>
  <si>
    <t>肖琪</t>
  </si>
  <si>
    <r>
      <t xml:space="preserve">黄酒; 开胃酒; 清酒（日本米酒）; 烈酒; 果酒（含酒精）;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</si>
  <si>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头烧</t>
    </r>
  </si>
  <si>
    <r>
      <t>平阳</t>
    </r>
    <r>
      <rPr>
        <sz val="11"/>
        <color theme="1"/>
        <rFont val="ＭＳ Ｐゴシック"/>
        <family val="3"/>
        <charset val="134"/>
        <scheme val="minor"/>
      </rPr>
      <t>县发现</t>
    </r>
    <r>
      <rPr>
        <sz val="11"/>
        <color theme="1"/>
        <rFont val="ＭＳ Ｐゴシック"/>
        <family val="3"/>
        <charset val="128"/>
        <scheme val="minor"/>
      </rPr>
      <t>工</t>
    </r>
    <r>
      <rPr>
        <sz val="11"/>
        <color theme="1"/>
        <rFont val="ＭＳ Ｐゴシック"/>
        <family val="3"/>
        <charset val="134"/>
        <scheme val="minor"/>
      </rPr>
      <t>艺</t>
    </r>
    <r>
      <rPr>
        <sz val="11"/>
        <color theme="1"/>
        <rFont val="ＭＳ Ｐゴシック"/>
        <family val="3"/>
        <charset val="128"/>
        <scheme val="minor"/>
      </rPr>
      <t>品厂</t>
    </r>
  </si>
  <si>
    <r>
      <t xml:space="preserve">果酒（含酒精）; 苦味酒; 开胃酒;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蜂蜜酒; 米酒; 白酒; 梨酒</t>
    </r>
  </si>
  <si>
    <r>
      <t>爱</t>
    </r>
    <r>
      <rPr>
        <sz val="11"/>
        <color theme="1"/>
        <rFont val="ＭＳ Ｐゴシック"/>
        <family val="3"/>
        <charset val="128"/>
        <scheme val="minor"/>
      </rPr>
      <t>尚云港</t>
    </r>
  </si>
  <si>
    <t>王月广</t>
  </si>
  <si>
    <r>
      <t xml:space="preserve">苹果酒;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米酒; 食用酒精; 白酒; 果酒</t>
    </r>
  </si>
  <si>
    <t>匠香岑</t>
  </si>
  <si>
    <r>
      <t>庄</t>
    </r>
    <r>
      <rPr>
        <sz val="11"/>
        <color theme="1"/>
        <rFont val="ＭＳ Ｐゴシック"/>
        <family val="3"/>
        <charset val="134"/>
        <scheme val="minor"/>
      </rPr>
      <t>丽</t>
    </r>
  </si>
  <si>
    <r>
      <t>黄酒; 米酒; 利口酒; 高粱酒;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</si>
  <si>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简</t>
    </r>
    <r>
      <rPr>
        <sz val="11"/>
        <color theme="1"/>
        <rFont val="ＭＳ Ｐゴシック"/>
        <family val="3"/>
        <charset val="128"/>
        <scheme val="minor"/>
      </rPr>
      <t>略</t>
    </r>
  </si>
  <si>
    <t>李代林</t>
  </si>
  <si>
    <r>
      <t xml:space="preserve">清酒（日本米酒）; 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</si>
  <si>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r>
      <t>马</t>
    </r>
    <r>
      <rPr>
        <sz val="11"/>
        <color theme="1"/>
        <rFont val="ＭＳ Ｐゴシック"/>
        <family val="3"/>
        <charset val="128"/>
        <scheme val="minor"/>
      </rPr>
      <t>家儿女</t>
    </r>
  </si>
  <si>
    <r>
      <t>衡水安</t>
    </r>
    <r>
      <rPr>
        <sz val="11"/>
        <color theme="1"/>
        <rFont val="ＭＳ Ｐゴシック"/>
        <family val="3"/>
        <charset val="134"/>
        <scheme val="minor"/>
      </rPr>
      <t>济桥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</si>
  <si>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甜果酒; 葡萄酒; 薄荷酒; 清酒; 白干酒（中国白酒）; 米酒; 黄酒</t>
    </r>
  </si>
  <si>
    <r>
      <t>百世中</t>
    </r>
    <r>
      <rPr>
        <sz val="11"/>
        <color theme="1"/>
        <rFont val="ＭＳ Ｐゴシック"/>
        <family val="3"/>
        <charset val="134"/>
        <scheme val="minor"/>
      </rPr>
      <t>兴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</si>
  <si>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亮</t>
    </r>
  </si>
  <si>
    <r>
      <t>葡萄酒; 果酒; 白酒; 黄酒; 开胃酒; 汽酒;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</si>
  <si>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勺</t>
    </r>
    <r>
      <rPr>
        <sz val="11"/>
        <color theme="1"/>
        <rFont val="ＭＳ Ｐゴシック"/>
        <family val="3"/>
        <charset val="134"/>
        <scheme val="minor"/>
      </rPr>
      <t>妈</t>
    </r>
  </si>
  <si>
    <r>
      <t>文</t>
    </r>
    <r>
      <rPr>
        <sz val="11"/>
        <color theme="1"/>
        <rFont val="ＭＳ Ｐゴシック"/>
        <family val="3"/>
        <charset val="134"/>
        <scheme val="minor"/>
      </rPr>
      <t>欢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</si>
  <si>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露酒; 黄酒;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果酒; 米酒; 烈酒</t>
    </r>
  </si>
  <si>
    <t>鑫雪域</t>
  </si>
  <si>
    <r>
      <t>邓</t>
    </r>
    <r>
      <rPr>
        <sz val="11"/>
        <color theme="1"/>
        <rFont val="ＭＳ Ｐゴシック"/>
        <family val="3"/>
        <charset val="128"/>
        <scheme val="minor"/>
      </rPr>
      <t>安佳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</si>
  <si>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果酒; 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甜酒</t>
    </r>
  </si>
  <si>
    <r>
      <t>勇</t>
    </r>
    <r>
      <rPr>
        <sz val="11"/>
        <color theme="1"/>
        <rFont val="ＭＳ Ｐゴシック"/>
        <family val="3"/>
        <charset val="134"/>
        <scheme val="minor"/>
      </rPr>
      <t>赣</t>
    </r>
  </si>
  <si>
    <r>
      <t>果酒（含酒精）; 白酒; 清酒（日本米酒）; 烈酒; 威士忌;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</si>
  <si>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株式会社晤逸企</t>
    </r>
    <r>
      <rPr>
        <sz val="11"/>
        <color theme="1"/>
        <rFont val="ＭＳ Ｐゴシック"/>
        <family val="3"/>
        <charset val="134"/>
        <scheme val="minor"/>
      </rPr>
      <t>业</t>
    </r>
  </si>
  <si>
    <r>
      <t>青梅酒;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 xml:space="preserve">族米酒; 黑覆盆子酒; 葡萄酒; 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格利酒（朝</t>
    </r>
    <r>
      <rPr>
        <sz val="11"/>
        <color theme="1"/>
        <rFont val="ＭＳ Ｐゴシック"/>
        <family val="3"/>
        <charset val="134"/>
        <scheme val="minor"/>
      </rPr>
      <t>鲜传统</t>
    </r>
    <r>
      <rPr>
        <sz val="11"/>
        <color theme="1"/>
        <rFont val="ＭＳ Ｐゴシック"/>
        <family val="3"/>
        <charset val="128"/>
        <scheme val="minor"/>
      </rPr>
      <t>米酒）; 米酒; 果酒（含酒精）</t>
    </r>
  </si>
  <si>
    <r>
      <t>往君莱</t>
    </r>
    <r>
      <rPr>
        <sz val="11"/>
        <color theme="1"/>
        <rFont val="ＭＳ Ｐゴシック"/>
        <family val="3"/>
        <charset val="134"/>
        <scheme val="minor"/>
      </rPr>
      <t>顾</t>
    </r>
  </si>
  <si>
    <r>
      <t>亳州市君莫愁酒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</si>
  <si>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汽酒; 高粱酒; 白酒; 葡萄酒;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米酒; 黄酒</t>
    </r>
  </si>
  <si>
    <t>卿藤</t>
  </si>
  <si>
    <r>
      <t>苏</t>
    </r>
    <r>
      <rPr>
        <sz val="11"/>
        <color theme="1"/>
        <rFont val="ＭＳ Ｐゴシック"/>
        <family val="3"/>
        <charset val="128"/>
        <scheme val="minor"/>
      </rPr>
      <t>州利比</t>
    </r>
    <r>
      <rPr>
        <sz val="11"/>
        <color theme="1"/>
        <rFont val="ＭＳ Ｐゴシック"/>
        <family val="3"/>
        <charset val="134"/>
        <scheme val="minor"/>
      </rPr>
      <t>赢</t>
    </r>
    <r>
      <rPr>
        <sz val="11"/>
        <color theme="1"/>
        <rFont val="ＭＳ Ｐゴシック"/>
        <family val="3"/>
        <charset val="128"/>
        <scheme val="minor"/>
      </rPr>
      <t>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</si>
  <si>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葡萄酒; 米酒</t>
    </r>
  </si>
  <si>
    <t>燕熙台</t>
  </si>
  <si>
    <r>
      <t>北京</t>
    </r>
    <r>
      <rPr>
        <sz val="11"/>
        <color theme="1"/>
        <rFont val="ＭＳ Ｐゴシック"/>
        <family val="3"/>
        <charset val="134"/>
        <scheme val="minor"/>
      </rPr>
      <t>维</t>
    </r>
    <r>
      <rPr>
        <sz val="11"/>
        <color theme="1"/>
        <rFont val="ＭＳ Ｐゴシック"/>
        <family val="3"/>
        <charset val="128"/>
        <scheme val="minor"/>
      </rPr>
      <t>拓信息科技有限公司</t>
    </r>
  </si>
  <si>
    <r>
      <t xml:space="preserve">黄酒;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白酒; 葡萄酒</t>
    </r>
  </si>
  <si>
    <t>欧布力</t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</si>
  <si>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天力商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运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</si>
  <si>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</si>
  <si>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POWESY COACER</t>
  </si>
  <si>
    <r>
      <t>柏杜斯（广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）品牌运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</si>
  <si>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清酒（日本米酒）; 汽酒</t>
    </r>
  </si>
  <si>
    <r>
      <t>丽</t>
    </r>
    <r>
      <rPr>
        <sz val="11"/>
        <color theme="1"/>
        <rFont val="ＭＳ Ｐゴシック"/>
        <family val="3"/>
        <charset val="128"/>
        <scheme val="minor"/>
      </rPr>
      <t>川四季</t>
    </r>
  </si>
  <si>
    <t>徐志金</t>
  </si>
  <si>
    <r>
      <t>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白酒; 高粱酒</t>
    </r>
  </si>
  <si>
    <r>
      <t>浔</t>
    </r>
    <r>
      <rPr>
        <sz val="11"/>
        <color theme="1"/>
        <rFont val="ＭＳ Ｐゴシック"/>
        <family val="3"/>
        <charset val="128"/>
        <scheme val="minor"/>
      </rPr>
      <t>河台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</si>
  <si>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白酒; 黄酒; 利口酒</t>
    </r>
  </si>
  <si>
    <r>
      <t>洛格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云</t>
    </r>
    <r>
      <rPr>
        <sz val="11"/>
        <color theme="1"/>
        <rFont val="ＭＳ Ｐゴシック"/>
        <family val="3"/>
        <charset val="134"/>
        <scheme val="minor"/>
      </rPr>
      <t>仓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</si>
  <si>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山融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</si>
  <si>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甜酒</t>
    </r>
  </si>
  <si>
    <r>
      <t>岁</t>
    </r>
    <r>
      <rPr>
        <sz val="11"/>
        <color theme="1"/>
        <rFont val="ＭＳ Ｐゴシック"/>
        <family val="3"/>
        <charset val="128"/>
        <scheme val="minor"/>
      </rPr>
      <t>月</t>
    </r>
    <r>
      <rPr>
        <sz val="11"/>
        <color theme="1"/>
        <rFont val="ＭＳ Ｐゴシック"/>
        <family val="3"/>
        <charset val="134"/>
        <scheme val="minor"/>
      </rPr>
      <t>飞</t>
    </r>
    <r>
      <rPr>
        <sz val="11"/>
        <color theme="1"/>
        <rFont val="ＭＳ Ｐゴシック"/>
        <family val="3"/>
        <charset val="128"/>
        <scheme val="minor"/>
      </rPr>
      <t>花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</si>
  <si>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周家酒道坊商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</si>
  <si>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伏特加酒; 果酒（含酒精）;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蝮蛇酒; 薄荷酒;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黄酒</t>
    </r>
  </si>
  <si>
    <t>地球梦想家 DQMXJ</t>
  </si>
  <si>
    <t>胡文开</t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</si>
  <si>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米酒; 威士忌;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苹果酒; 清酒（日本米酒）; 黄酒</t>
    </r>
  </si>
  <si>
    <t>太痕</t>
  </si>
  <si>
    <t>莆田市德欧科技有限公司</t>
  </si>
  <si>
    <r>
      <t>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果酒（含酒精）</t>
    </r>
  </si>
  <si>
    <t>利福公元</t>
  </si>
  <si>
    <r>
      <t>张</t>
    </r>
    <r>
      <rPr>
        <sz val="11"/>
        <color theme="1"/>
        <rFont val="ＭＳ Ｐゴシック"/>
        <family val="3"/>
        <charset val="128"/>
        <scheme val="minor"/>
      </rPr>
      <t>宏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</si>
  <si>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葡萄酒; 黄酒</t>
    </r>
  </si>
  <si>
    <r>
      <t>黎</t>
    </r>
    <r>
      <rPr>
        <sz val="11"/>
        <color theme="1"/>
        <rFont val="ＭＳ Ｐゴシック"/>
        <family val="3"/>
        <charset val="134"/>
        <scheme val="minor"/>
      </rPr>
      <t>纭</t>
    </r>
    <r>
      <rPr>
        <sz val="11"/>
        <color theme="1"/>
        <rFont val="ＭＳ Ｐゴシック"/>
        <family val="3"/>
        <charset val="128"/>
        <scheme val="minor"/>
      </rPr>
      <t>汐</t>
    </r>
  </si>
  <si>
    <r>
      <t>湖南众兆企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</si>
  <si>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葡萄酒; 黄酒; 蜂蜜酒; 白酒;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</si>
  <si>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帝蒙斯</t>
  </si>
  <si>
    <t>周桂芝</t>
  </si>
  <si>
    <r>
      <t>青稞酒; 米酒; 含酒精的气泡水; 开胃酒;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威士忌; 白酒; 葡萄酒</t>
    </r>
  </si>
  <si>
    <r>
      <t>卡巴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荣</t>
    </r>
  </si>
  <si>
    <r>
      <t>玛</t>
    </r>
    <r>
      <rPr>
        <sz val="11"/>
        <color theme="1"/>
        <rFont val="ＭＳ Ｐゴシック"/>
        <family val="3"/>
        <charset val="128"/>
        <scheme val="minor"/>
      </rPr>
      <t>邑国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易（上海）有限公司</t>
    </r>
  </si>
  <si>
    <r>
      <t>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朗姆酒;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</t>
    </r>
  </si>
  <si>
    <r>
      <t>四川鑫皓旭阳商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</si>
  <si>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果酒（含酒精）; 葡萄酒; 苹果酒; 开胃酒; 伏特加酒; 白酒</t>
    </r>
  </si>
  <si>
    <t>天盛魁</t>
  </si>
  <si>
    <r>
      <t>北京禹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数字科技集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</si>
  <si>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果酒（含酒精）; 白葡萄酒;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米酒</t>
    </r>
  </si>
  <si>
    <r>
      <t>季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人</t>
    </r>
  </si>
  <si>
    <t>沈阳繁盛科技有限公司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</si>
  <si>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</t>
    </r>
  </si>
  <si>
    <r>
      <t xml:space="preserve">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威士忌;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</t>
    </r>
  </si>
  <si>
    <r>
      <t>果酒（含酒精）;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 xml:space="preserve">族米酒; 青梅酒; 黑覆盆子酒; 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格利酒（朝</t>
    </r>
    <r>
      <rPr>
        <sz val="11"/>
        <color theme="1"/>
        <rFont val="ＭＳ Ｐゴシック"/>
        <family val="3"/>
        <charset val="134"/>
        <scheme val="minor"/>
      </rPr>
      <t>鲜传统</t>
    </r>
    <r>
      <rPr>
        <sz val="11"/>
        <color theme="1"/>
        <rFont val="ＭＳ Ｐゴシック"/>
        <family val="3"/>
        <charset val="128"/>
        <scheme val="minor"/>
      </rPr>
      <t>米酒）; 葡萄酒; 米酒</t>
    </r>
  </si>
  <si>
    <r>
      <t>龑</t>
    </r>
    <r>
      <rPr>
        <sz val="11"/>
        <color theme="1"/>
        <rFont val="ＭＳ Ｐゴシック"/>
        <family val="3"/>
        <charset val="134"/>
        <scheme val="minor"/>
      </rPr>
      <t>贵</t>
    </r>
  </si>
  <si>
    <r>
      <t xml:space="preserve">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黄酒; 葡萄酒; 食用酒精</t>
    </r>
  </si>
  <si>
    <t>小九漫言</t>
  </si>
  <si>
    <r>
      <t>北京漫宇互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</si>
  <si>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果酒; 黄酒; 葡萄酒; 白酒</t>
    </r>
  </si>
  <si>
    <t>薛生白</t>
  </si>
  <si>
    <r>
      <t>北京薛生白健康管理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</si>
  <si>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果酒（含酒精）;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苹果酒</t>
    </r>
  </si>
  <si>
    <r>
      <t>九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山厚禄</t>
    </r>
  </si>
  <si>
    <r>
      <t>安徽九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山酒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</si>
  <si>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葡萄酒;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食用酒精</t>
    </r>
  </si>
  <si>
    <t>杰酷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</si>
  <si>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果酒（含酒精）; 葡萄酒; 青稞酒; 威士忌; 含酒精的气泡水; 白酒; 开胃酒</t>
    </r>
  </si>
  <si>
    <r>
      <t>赢</t>
    </r>
    <r>
      <rPr>
        <sz val="11"/>
        <color theme="1"/>
        <rFont val="ＭＳ Ｐゴシック"/>
        <family val="3"/>
        <charset val="128"/>
        <scheme val="minor"/>
      </rPr>
      <t>晋</t>
    </r>
  </si>
  <si>
    <r>
      <t>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黄酒; 果酒（含酒精）; 威士忌;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</t>
    </r>
  </si>
  <si>
    <r>
      <t>仪</t>
    </r>
    <r>
      <rPr>
        <sz val="11"/>
        <color theme="1"/>
        <rFont val="ＭＳ Ｐゴシック"/>
        <family val="3"/>
        <charset val="128"/>
        <scheme val="minor"/>
      </rPr>
      <t>佰万</t>
    </r>
  </si>
  <si>
    <r>
      <t>深圳中微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</si>
  <si>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威士忌; 葡萄酒;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苹果酒; 黄酒</t>
    </r>
  </si>
  <si>
    <r>
      <t>九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山</t>
    </r>
    <r>
      <rPr>
        <sz val="11"/>
        <color theme="1"/>
        <rFont val="ＭＳ Ｐゴシック"/>
        <family val="3"/>
        <charset val="134"/>
        <scheme val="minor"/>
      </rPr>
      <t>鹤</t>
    </r>
    <r>
      <rPr>
        <sz val="11"/>
        <color theme="1"/>
        <rFont val="ＭＳ Ｐゴシック"/>
        <family val="3"/>
        <charset val="128"/>
        <scheme val="minor"/>
      </rPr>
      <t>寿</t>
    </r>
  </si>
  <si>
    <r>
      <t>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</t>
    </r>
  </si>
  <si>
    <t>果小零</t>
  </si>
  <si>
    <r>
      <t>罗</t>
    </r>
    <r>
      <rPr>
        <sz val="11"/>
        <color theme="1"/>
        <rFont val="ＭＳ Ｐゴシック"/>
        <family val="3"/>
        <charset val="128"/>
        <scheme val="minor"/>
      </rPr>
      <t>小恒</t>
    </r>
  </si>
  <si>
    <r>
      <t xml:space="preserve">果酒（含酒精）; 食用酒精;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梅酒; 白葡萄酒; 白干酒（中国白酒）;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露酒;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朗姆酒; 高粱酒; 威末酒; 青梅酒; 含酒精的气泡水;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甜酒; 甜果酒; 清酒; 黄酒;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日式甜米酒;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酒...</t>
    </r>
  </si>
  <si>
    <r>
      <t>沪</t>
    </r>
    <r>
      <rPr>
        <sz val="11"/>
        <color theme="1"/>
        <rFont val="ＭＳ Ｐゴシック"/>
        <family val="3"/>
        <charset val="134"/>
        <scheme val="minor"/>
      </rPr>
      <t>浓</t>
    </r>
  </si>
  <si>
    <r>
      <t>烈酒; 黄酒; 葡萄酒; 果酒（含酒精）;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</t>
    </r>
  </si>
  <si>
    <r>
      <t>晋</t>
    </r>
    <r>
      <rPr>
        <sz val="11"/>
        <color theme="1"/>
        <rFont val="ＭＳ Ｐゴシック"/>
        <family val="3"/>
        <charset val="134"/>
        <scheme val="minor"/>
      </rPr>
      <t>龙图</t>
    </r>
  </si>
  <si>
    <r>
      <t>黄酒; 葡萄酒;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开胃酒; 清酒（日本米酒）; 威士忌; 果酒（含酒精）</t>
    </r>
  </si>
  <si>
    <r>
      <t>观</t>
    </r>
    <r>
      <rPr>
        <sz val="11"/>
        <color theme="1"/>
        <rFont val="ＭＳ Ｐゴシック"/>
        <family val="3"/>
        <charset val="128"/>
        <scheme val="minor"/>
      </rPr>
      <t>滕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</si>
  <si>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天食地美酒店管理有限公司</t>
    </r>
  </si>
  <si>
    <r>
      <t>薄荷酒;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食用酒精; 白酒;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</si>
  <si>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南岭</t>
    </r>
    <r>
      <rPr>
        <sz val="11"/>
        <color theme="1"/>
        <rFont val="ＭＳ Ｐゴシック"/>
        <family val="3"/>
        <charset val="134"/>
        <scheme val="minor"/>
      </rPr>
      <t>桥</t>
    </r>
  </si>
  <si>
    <r>
      <t>惠安盛唐网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</si>
  <si>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白干酒（中国白酒）;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</t>
    </r>
  </si>
  <si>
    <r>
      <t>玉</t>
    </r>
    <r>
      <rPr>
        <sz val="11"/>
        <color theme="1"/>
        <rFont val="ＭＳ Ｐゴシック"/>
        <family val="3"/>
        <charset val="134"/>
        <scheme val="minor"/>
      </rPr>
      <t>酝</t>
    </r>
    <r>
      <rPr>
        <sz val="11"/>
        <color theme="1"/>
        <rFont val="ＭＳ Ｐゴシック"/>
        <family val="3"/>
        <charset val="128"/>
        <scheme val="minor"/>
      </rPr>
      <t>翁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</si>
  <si>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米酒; 高粱酒;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</si>
  <si>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t>乾峪河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</si>
  <si>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</si>
  <si>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t>金玉滇君</t>
  </si>
  <si>
    <r>
      <t>葡萄酒; 黄酒; 白酒; 高粱酒; 利口酒;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</si>
  <si>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广佳源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</si>
  <si>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省广佳源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</si>
  <si>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利口酒;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</si>
  <si>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世格</t>
  </si>
  <si>
    <r>
      <t>杭州欧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影</t>
    </r>
    <r>
      <rPr>
        <sz val="11"/>
        <color theme="1"/>
        <rFont val="ＭＳ Ｐゴシック"/>
        <family val="3"/>
        <charset val="134"/>
        <scheme val="minor"/>
      </rPr>
      <t>视</t>
    </r>
    <r>
      <rPr>
        <sz val="11"/>
        <color theme="1"/>
        <rFont val="ＭＳ Ｐゴシック"/>
        <family val="3"/>
        <charset val="128"/>
        <scheme val="minor"/>
      </rPr>
      <t>文化有限公司</t>
    </r>
  </si>
  <si>
    <r>
      <t>白葡萄酒; 佐餐酒; 葡萄汽酒;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起泡白葡萄酒; 不起泡葡萄酒;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葡萄酒;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</si>
  <si>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t>采集星球</t>
  </si>
  <si>
    <t>广州大仟采集社食品有限公司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</si>
  <si>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威士忌;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葡萄酒; 黄酒; 薄荷酒</t>
    </r>
  </si>
  <si>
    <r>
      <t>质</t>
    </r>
    <r>
      <rPr>
        <sz val="11"/>
        <color theme="1"/>
        <rFont val="ＭＳ Ｐゴシック"/>
        <family val="3"/>
        <charset val="128"/>
        <scheme val="minor"/>
      </rPr>
      <t>惠家</t>
    </r>
  </si>
  <si>
    <r>
      <t>临</t>
    </r>
    <r>
      <rPr>
        <sz val="11"/>
        <color theme="1"/>
        <rFont val="ＭＳ Ｐゴシック"/>
        <family val="3"/>
        <charset val="128"/>
        <scheme val="minor"/>
      </rPr>
      <t>清清源正本生物医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</si>
  <si>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白酒; 果酒（含酒精）;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露酒;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</si>
  <si>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千裔秋</t>
  </si>
  <si>
    <r>
      <t>广州千裔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</si>
  <si>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白酒;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白干酒（中国白酒）; 烈酒; 果酒;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</si>
  <si>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r>
      <t>盛生七宝</t>
    </r>
    <r>
      <rPr>
        <sz val="11"/>
        <color theme="1"/>
        <rFont val="ＭＳ Ｐゴシック"/>
        <family val="3"/>
        <charset val="134"/>
        <scheme val="minor"/>
      </rPr>
      <t>龙</t>
    </r>
  </si>
  <si>
    <t>香港盛生堂健康有限公司</t>
  </si>
  <si>
    <r>
      <t>黄酒; 果酒; 青梅酒;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露酒;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</si>
  <si>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润</t>
    </r>
    <r>
      <rPr>
        <sz val="11"/>
        <color theme="1"/>
        <rFont val="ＭＳ Ｐゴシック"/>
        <family val="3"/>
        <charset val="128"/>
        <scheme val="minor"/>
      </rPr>
      <t>本麒元</t>
    </r>
  </si>
  <si>
    <r>
      <t>君康芪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（固阳）生物科技有限公司</t>
    </r>
  </si>
  <si>
    <r>
      <t>夹</t>
    </r>
    <r>
      <rPr>
        <sz val="11"/>
        <color theme="1"/>
        <rFont val="ＭＳ Ｐゴシック"/>
        <family val="3"/>
        <charset val="128"/>
        <scheme val="minor"/>
      </rPr>
      <t>子口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湾沱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</si>
  <si>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州赤水老窖酒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</si>
  <si>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</si>
  <si>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神</t>
    </r>
    <r>
      <rPr>
        <sz val="11"/>
        <color theme="1"/>
        <rFont val="ＭＳ Ｐゴシック"/>
        <family val="3"/>
        <charset val="134"/>
        <scheme val="minor"/>
      </rPr>
      <t>尧</t>
    </r>
    <r>
      <rPr>
        <sz val="11"/>
        <color theme="1"/>
        <rFont val="ＭＳ Ｐゴシック"/>
        <family val="3"/>
        <charset val="128"/>
        <scheme val="minor"/>
      </rPr>
      <t>大唐</t>
    </r>
  </si>
  <si>
    <r>
      <t>天津金谷子酒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</si>
  <si>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利口酒; 黄酒;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</si>
  <si>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吉祥山姑</t>
  </si>
  <si>
    <r>
      <t>昆明新道文化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</si>
  <si>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 xml:space="preserve">果酒（含酒精）; 葡萄酒; 米酒; 汽酒; 清酒（日本米酒）; 苹果酒;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开胃酒; 白酒</t>
    </r>
  </si>
  <si>
    <t>BAUS</t>
  </si>
  <si>
    <t>浙江宝适品牌管理有限公司</t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</si>
  <si>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伏特加酒;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</si>
  <si>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紫上星源</t>
  </si>
  <si>
    <r>
      <t>七通（海南）跨境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</si>
  <si>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果酒（含酒精）; 清酒（日本米酒）;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黄酒</t>
    </r>
  </si>
  <si>
    <r>
      <t>喜</t>
    </r>
    <r>
      <rPr>
        <sz val="11"/>
        <color theme="1"/>
        <rFont val="ＭＳ Ｐゴシック"/>
        <family val="3"/>
        <charset val="134"/>
        <scheme val="minor"/>
      </rPr>
      <t>满</t>
    </r>
    <r>
      <rPr>
        <sz val="11"/>
        <color theme="1"/>
        <rFont val="ＭＳ Ｐゴシック"/>
        <family val="3"/>
        <charset val="128"/>
        <scheme val="minor"/>
      </rPr>
      <t>耀</t>
    </r>
  </si>
  <si>
    <t>林桂娟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</si>
  <si>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</si>
  <si>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御花月</t>
  </si>
  <si>
    <r>
      <t>陈</t>
    </r>
    <r>
      <rPr>
        <sz val="11"/>
        <color theme="1"/>
        <rFont val="ＭＳ Ｐゴシック"/>
        <family val="3"/>
        <charset val="128"/>
        <scheme val="minor"/>
      </rPr>
      <t>茂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</si>
  <si>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>清酒（日本米酒）;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黄酒;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</t>
    </r>
  </si>
  <si>
    <t>厚生道</t>
  </si>
  <si>
    <r>
      <t>浙江大厚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</si>
  <si>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白酒; 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露酒; 果酒（含酒精）; 清酒</t>
    </r>
  </si>
  <si>
    <t>九安欣</t>
  </si>
  <si>
    <r>
      <t>上海拾安欣生</t>
    </r>
    <r>
      <rPr>
        <sz val="11"/>
        <color theme="1"/>
        <rFont val="ＭＳ Ｐゴシック"/>
        <family val="3"/>
        <charset val="134"/>
        <scheme val="minor"/>
      </rPr>
      <t>态农业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</si>
  <si>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黄酒; 果酒（含酒精）; 青稞酒; 蜂蜜酒; 白酒; 米酒;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葡萄酒</t>
    </r>
  </si>
  <si>
    <t>侠意</t>
  </si>
  <si>
    <r>
      <t>深圳市普斯汀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</si>
  <si>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威士忌; 米酒;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白酒; 利口酒; 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</si>
  <si>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俯天地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</si>
  <si>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省广生惠</t>
    </r>
    <r>
      <rPr>
        <sz val="11"/>
        <color theme="1"/>
        <rFont val="ＭＳ Ｐゴシック"/>
        <family val="3"/>
        <charset val="134"/>
        <scheme val="minor"/>
      </rPr>
      <t>药业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</si>
  <si>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米酒; 果酒（含酒精）; 苹果酒;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露酒;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餐后酒（利口酒和烈酒）</t>
    </r>
  </si>
  <si>
    <t>丰策源</t>
  </si>
  <si>
    <r>
      <t>许</t>
    </r>
    <r>
      <rPr>
        <sz val="11"/>
        <color theme="1"/>
        <rFont val="ＭＳ Ｐゴシック"/>
        <family val="3"/>
        <charset val="128"/>
        <scheme val="minor"/>
      </rPr>
      <t>波建</t>
    </r>
  </si>
  <si>
    <r>
      <t xml:space="preserve">白酒; 青稞酒;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黄酒; 葡萄酒; 食用酒精; 汽酒</t>
    </r>
  </si>
  <si>
    <t>太旨妃</t>
  </si>
  <si>
    <r>
      <t>绍兴</t>
    </r>
    <r>
      <rPr>
        <sz val="11"/>
        <color theme="1"/>
        <rFont val="ＭＳ Ｐゴシック"/>
        <family val="3"/>
        <charset val="128"/>
        <scheme val="minor"/>
      </rPr>
      <t>市百</t>
    </r>
    <r>
      <rPr>
        <sz val="11"/>
        <color theme="1"/>
        <rFont val="ＭＳ Ｐゴシック"/>
        <family val="3"/>
        <charset val="134"/>
        <scheme val="minor"/>
      </rPr>
      <t>岁</t>
    </r>
    <r>
      <rPr>
        <sz val="11"/>
        <color theme="1"/>
        <rFont val="ＭＳ Ｐゴシック"/>
        <family val="3"/>
        <charset val="128"/>
        <scheme val="minor"/>
      </rPr>
      <t>堂酒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</si>
  <si>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清酒（日本米酒）; 葡萄酒;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</si>
  <si>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金禧</t>
    </r>
    <r>
      <rPr>
        <sz val="11"/>
        <color theme="1"/>
        <rFont val="ＭＳ Ｐゴシック"/>
        <family val="3"/>
        <charset val="134"/>
        <scheme val="minor"/>
      </rPr>
      <t>凤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</si>
  <si>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牌窖藏酒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</si>
  <si>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蒸煮提取物（利口酒和烈酒）;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梨酒;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</si>
  <si>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酣客</t>
    </r>
    <r>
      <rPr>
        <sz val="11"/>
        <color theme="1"/>
        <rFont val="ＭＳ Ｐゴシック"/>
        <family val="3"/>
        <charset val="134"/>
        <scheme val="minor"/>
      </rPr>
      <t>欢</t>
    </r>
    <r>
      <rPr>
        <sz val="11"/>
        <color theme="1"/>
        <rFont val="ＭＳ Ｐゴシック"/>
        <family val="3"/>
        <charset val="128"/>
        <scheme val="minor"/>
      </rPr>
      <t>朋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</si>
  <si>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州酣客君丰酒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</si>
  <si>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食用酒精; 含酒精的气泡水; 威士忌;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</si>
  <si>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r>
      <t>谷昊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生</t>
    </r>
  </si>
  <si>
    <r>
      <t>福州田园味生</t>
    </r>
    <r>
      <rPr>
        <sz val="11"/>
        <color theme="1"/>
        <rFont val="ＭＳ Ｐゴシック"/>
        <family val="3"/>
        <charset val="134"/>
        <scheme val="minor"/>
      </rPr>
      <t>态农业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</si>
  <si>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青稞酒;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苹果酒;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</si>
  <si>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酣俑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</si>
  <si>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州左藏酒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</si>
  <si>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白酒; 高粱酒; 烈酒; 餐后酒（利口酒和烈酒）;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</si>
  <si>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玉</t>
    </r>
    <r>
      <rPr>
        <sz val="11"/>
        <color theme="1"/>
        <rFont val="ＭＳ Ｐゴシック"/>
        <family val="3"/>
        <charset val="134"/>
        <scheme val="minor"/>
      </rPr>
      <t>玑</t>
    </r>
    <r>
      <rPr>
        <sz val="11"/>
        <color theme="1"/>
        <rFont val="ＭＳ Ｐゴシック"/>
        <family val="3"/>
        <charset val="128"/>
        <scheme val="minor"/>
      </rPr>
      <t>人</t>
    </r>
  </si>
  <si>
    <r>
      <t>连</t>
    </r>
    <r>
      <rPr>
        <sz val="11"/>
        <color theme="1"/>
        <rFont val="ＭＳ Ｐゴシック"/>
        <family val="3"/>
        <charset val="128"/>
        <scheme val="minor"/>
      </rPr>
      <t>云港市朗月商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</si>
  <si>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蒸煮提取物（利口酒和烈酒）; 白干酒（中国白酒）; 米酒;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葡萄酒; 黄酒; 开胃酒; 白酒</t>
    </r>
  </si>
  <si>
    <t>HANSENSUS</t>
  </si>
  <si>
    <r>
      <t>恒</t>
    </r>
    <r>
      <rPr>
        <sz val="11"/>
        <color theme="1"/>
        <rFont val="ＭＳ Ｐゴシック"/>
        <family val="3"/>
        <charset val="129"/>
        <scheme val="minor"/>
      </rPr>
      <t>燊</t>
    </r>
    <r>
      <rPr>
        <sz val="11"/>
        <color theme="1"/>
        <rFont val="ＭＳ Ｐゴシック"/>
        <family val="3"/>
        <charset val="128"/>
        <scheme val="minor"/>
      </rPr>
      <t>中医科技（上海）有限公司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</si>
  <si>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朗姆酒;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汽酒; 米酒; 蜂蜜酒;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苦味酒; 葡萄酒</t>
    </r>
  </si>
  <si>
    <t>美宝堡</t>
  </si>
  <si>
    <r>
      <t>乐</t>
    </r>
    <r>
      <rPr>
        <sz val="11"/>
        <color theme="1"/>
        <rFont val="ＭＳ Ｐゴシック"/>
        <family val="3"/>
        <charset val="128"/>
        <scheme val="minor"/>
      </rPr>
      <t>平市</t>
    </r>
    <r>
      <rPr>
        <sz val="11"/>
        <color theme="1"/>
        <rFont val="ＭＳ Ｐゴシック"/>
        <family val="3"/>
        <charset val="134"/>
        <scheme val="minor"/>
      </rPr>
      <t>赣乡</t>
    </r>
    <r>
      <rPr>
        <sz val="11"/>
        <color theme="1"/>
        <rFont val="ＭＳ Ｐゴシック"/>
        <family val="3"/>
        <charset val="128"/>
        <scheme val="minor"/>
      </rPr>
      <t>雅致餐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</si>
  <si>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葡萄酒; 白酒; 苹果酒;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 xml:space="preserve">力酒;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柑香酒; 餐后酒（利口酒和烈酒）;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</si>
  <si>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五凌峰</t>
  </si>
  <si>
    <r>
      <t>湖北五凌峰茶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</si>
  <si>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食用酒精; 白酒; 清酒（日本米酒）;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</t>
    </r>
  </si>
  <si>
    <t>大秦丫丫</t>
  </si>
  <si>
    <t>李昆</t>
  </si>
  <si>
    <r>
      <t xml:space="preserve">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青稞酒;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威士忌</t>
    </r>
  </si>
  <si>
    <r>
      <t>轻</t>
    </r>
    <r>
      <rPr>
        <sz val="11"/>
        <color theme="1"/>
        <rFont val="ＭＳ Ｐゴシック"/>
        <family val="3"/>
        <charset val="128"/>
        <scheme val="minor"/>
      </rPr>
      <t>叙水吧 QINGXU</t>
    </r>
  </si>
  <si>
    <r>
      <t>许</t>
    </r>
    <r>
      <rPr>
        <sz val="11"/>
        <color theme="1"/>
        <rFont val="ＭＳ Ｐゴシック"/>
        <family val="3"/>
        <charset val="128"/>
        <scheme val="minor"/>
      </rPr>
      <t>康</t>
    </r>
  </si>
  <si>
    <r>
      <t xml:space="preserve">白酒; 威士忌; 烈酒; 开胃酒;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黄酒</t>
    </r>
  </si>
  <si>
    <t>CAGF</t>
  </si>
  <si>
    <r>
      <t>中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34"/>
        <scheme val="minor"/>
      </rPr>
      <t>选</t>
    </r>
    <r>
      <rPr>
        <sz val="11"/>
        <color theme="1"/>
        <rFont val="ＭＳ Ｐゴシック"/>
        <family val="3"/>
        <charset val="128"/>
        <scheme val="minor"/>
      </rPr>
      <t>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管理（海南）有限公司</t>
    </r>
  </si>
  <si>
    <r>
      <t>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清酒（日本米酒）;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果酒（含酒精）; 黄酒; 葡萄酒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</si>
  <si>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州表里望丘原文化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</si>
  <si>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蒸煮提取物（利口酒和烈酒）;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果酒（含酒精）</t>
    </r>
  </si>
  <si>
    <t>TEPUY</t>
  </si>
  <si>
    <t>德普伊品牌有限公司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</si>
  <si>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朗姆酒; 果酒（含酒精）; 杜松子酒;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</si>
  <si>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鑫</t>
    </r>
    <r>
      <rPr>
        <sz val="11"/>
        <color theme="1"/>
        <rFont val="ＭＳ Ｐゴシック"/>
        <family val="3"/>
        <charset val="134"/>
        <scheme val="minor"/>
      </rPr>
      <t>骉</t>
    </r>
  </si>
  <si>
    <t>李文萍</t>
  </si>
  <si>
    <r>
      <t xml:space="preserve">白酒;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</t>
    </r>
  </si>
  <si>
    <r>
      <t>财树</t>
    </r>
    <r>
      <rPr>
        <sz val="11"/>
        <color theme="1"/>
        <rFont val="ＭＳ Ｐゴシック"/>
        <family val="3"/>
        <charset val="128"/>
        <scheme val="minor"/>
      </rPr>
      <t>枝</t>
    </r>
    <r>
      <rPr>
        <sz val="11"/>
        <color theme="1"/>
        <rFont val="ＭＳ Ｐゴシック"/>
        <family val="3"/>
        <charset val="134"/>
        <scheme val="minor"/>
      </rPr>
      <t>坠</t>
    </r>
  </si>
  <si>
    <r>
      <t>宁夏养生源枸杞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研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</si>
  <si>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白干酒（中国白酒）;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利口酒;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</si>
  <si>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t>澄念</t>
  </si>
  <si>
    <r>
      <t>江</t>
    </r>
    <r>
      <rPr>
        <sz val="11"/>
        <color theme="1"/>
        <rFont val="ＭＳ Ｐゴシック"/>
        <family val="3"/>
        <charset val="134"/>
        <scheme val="minor"/>
      </rPr>
      <t>苏飞扬</t>
    </r>
    <r>
      <rPr>
        <sz val="11"/>
        <color theme="1"/>
        <rFont val="ＭＳ Ｐゴシック"/>
        <family val="3"/>
        <charset val="128"/>
        <scheme val="minor"/>
      </rPr>
      <t>建</t>
    </r>
    <r>
      <rPr>
        <sz val="11"/>
        <color theme="1"/>
        <rFont val="ＭＳ Ｐゴシック"/>
        <family val="3"/>
        <charset val="134"/>
        <scheme val="minor"/>
      </rPr>
      <t>设</t>
    </r>
    <r>
      <rPr>
        <sz val="11"/>
        <color theme="1"/>
        <rFont val="ＭＳ Ｐゴシック"/>
        <family val="3"/>
        <charset val="128"/>
        <scheme val="minor"/>
      </rPr>
      <t>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</si>
  <si>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米酒; 葡萄酒; 利口酒; 果酒（含酒精）; 清酒; 白酒</t>
    </r>
  </si>
  <si>
    <t>馗小咖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</si>
  <si>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汽酒; 烈性干酒; 高粱酒</t>
    </r>
  </si>
  <si>
    <t>馗八</t>
  </si>
  <si>
    <r>
      <t xml:space="preserve">白酒; 汽酒; 高粱酒;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甜酒; 米酒</t>
    </r>
  </si>
  <si>
    <t>肴友福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</si>
  <si>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开胃酒; 葡萄酒; 利口酒; 果酒（含酒精）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</si>
  <si>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湾沱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</si>
  <si>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白酒;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</si>
  <si>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禄佳宁</t>
  </si>
  <si>
    <r>
      <t>沈阳禄佳宁健康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</si>
  <si>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白干酒（中国白酒）;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</si>
  <si>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蒸煮提取物（利口酒和烈酒）;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</si>
  <si>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t>潮代志</t>
  </si>
  <si>
    <r>
      <t>深圳</t>
    </r>
    <r>
      <rPr>
        <sz val="11"/>
        <color theme="1"/>
        <rFont val="ＭＳ Ｐゴシック"/>
        <family val="3"/>
        <charset val="134"/>
        <scheme val="minor"/>
      </rPr>
      <t>贰</t>
    </r>
    <r>
      <rPr>
        <sz val="11"/>
        <color theme="1"/>
        <rFont val="ＭＳ Ｐゴシック"/>
        <family val="3"/>
        <charset val="128"/>
        <scheme val="minor"/>
      </rPr>
      <t>拾壹造文化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</si>
  <si>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白酒; 葡萄酒;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威士忌; 果酒;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</si>
  <si>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蔡祝行</t>
  </si>
  <si>
    <r>
      <t>广州</t>
    </r>
    <r>
      <rPr>
        <sz val="11"/>
        <color theme="1"/>
        <rFont val="ＭＳ Ｐゴシック"/>
        <family val="3"/>
        <charset val="134"/>
        <scheme val="minor"/>
      </rPr>
      <t>鹏</t>
    </r>
    <r>
      <rPr>
        <sz val="11"/>
        <color theme="1"/>
        <rFont val="ＭＳ Ｐゴシック"/>
        <family val="3"/>
        <charset val="128"/>
        <scheme val="minor"/>
      </rPr>
      <t>友圈品牌管理有限公司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</si>
  <si>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</t>
    </r>
  </si>
  <si>
    <r>
      <t>广州郴壹碗餐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</si>
  <si>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威士忌; 烈酒;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果酒; 黄酒; 白酒; 葡萄酒;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</si>
  <si>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魔玖坊</t>
    </r>
  </si>
  <si>
    <r>
      <t>葡萄汽酒;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葡萄酒; 加烈葡萄酒; 白酒; 黄酒;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</si>
  <si>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宁波市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海区</t>
    </r>
    <r>
      <rPr>
        <sz val="11"/>
        <color theme="1"/>
        <rFont val="ＭＳ Ｐゴシック"/>
        <family val="3"/>
        <charset val="134"/>
        <scheme val="minor"/>
      </rPr>
      <t>镇兴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建</t>
    </r>
    <r>
      <rPr>
        <sz val="11"/>
        <color theme="1"/>
        <rFont val="ＭＳ Ｐゴシック"/>
        <family val="3"/>
        <charset val="134"/>
        <scheme val="minor"/>
      </rPr>
      <t>设</t>
    </r>
    <r>
      <rPr>
        <sz val="11"/>
        <color theme="1"/>
        <rFont val="ＭＳ Ｐゴシック"/>
        <family val="3"/>
        <charset val="128"/>
        <scheme val="minor"/>
      </rPr>
      <t>运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</si>
  <si>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食用酒精;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烈酒; 果酒（含酒精）; 含牛奶的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清酒（日本米酒）</t>
    </r>
  </si>
  <si>
    <r>
      <t>立</t>
    </r>
    <r>
      <rPr>
        <sz val="11"/>
        <color theme="1"/>
        <rFont val="ＭＳ Ｐゴシック"/>
        <family val="3"/>
        <charset val="134"/>
        <scheme val="minor"/>
      </rPr>
      <t>势</t>
    </r>
    <r>
      <rPr>
        <sz val="11"/>
        <color theme="1"/>
        <rFont val="ＭＳ Ｐゴシック"/>
        <family val="3"/>
        <charset val="128"/>
        <scheme val="minor"/>
      </rPr>
      <t>启</t>
    </r>
  </si>
  <si>
    <r>
      <t>王立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</si>
  <si>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葡萄酒; 朗姆酒; 果酒（含酒精）;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薄荷酒; 白酒; 黄酒</t>
    </r>
  </si>
  <si>
    <r>
      <t>凤</t>
    </r>
    <r>
      <rPr>
        <sz val="11"/>
        <color theme="1"/>
        <rFont val="ＭＳ Ｐゴシック"/>
        <family val="3"/>
        <charset val="128"/>
        <scheme val="minor"/>
      </rPr>
      <t>凰之泪</t>
    </r>
  </si>
  <si>
    <r>
      <t>北京久和天宝商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</si>
  <si>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白酒; 含酒精的气泡水;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薄荷酒;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米酒</t>
    </r>
  </si>
  <si>
    <r>
      <t>紫吊</t>
    </r>
    <r>
      <rPr>
        <sz val="11"/>
        <color theme="1"/>
        <rFont val="ＭＳ Ｐゴシック"/>
        <family val="3"/>
        <charset val="134"/>
        <scheme val="minor"/>
      </rPr>
      <t>坠</t>
    </r>
  </si>
  <si>
    <r>
      <t>利口酒;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白酒; 白干酒（中国白酒）; 葡萄酒</t>
    </r>
  </si>
  <si>
    <r>
      <t>赞</t>
    </r>
    <r>
      <rPr>
        <sz val="11"/>
        <color theme="1"/>
        <rFont val="ＭＳ Ｐゴシック"/>
        <family val="3"/>
        <charset val="128"/>
        <scheme val="minor"/>
      </rPr>
      <t>季</t>
    </r>
  </si>
  <si>
    <r>
      <t>清</t>
    </r>
    <r>
      <rPr>
        <sz val="11"/>
        <color theme="1"/>
        <rFont val="ＭＳ Ｐゴシック"/>
        <family val="3"/>
        <charset val="134"/>
        <scheme val="minor"/>
      </rPr>
      <t>远</t>
    </r>
    <r>
      <rPr>
        <sz val="11"/>
        <color theme="1"/>
        <rFont val="ＭＳ Ｐゴシック"/>
        <family val="3"/>
        <charset val="128"/>
        <scheme val="minor"/>
      </rPr>
      <t>市鑫达数</t>
    </r>
    <r>
      <rPr>
        <sz val="11"/>
        <color theme="1"/>
        <rFont val="ＭＳ Ｐゴシック"/>
        <family val="3"/>
        <charset val="134"/>
        <scheme val="minor"/>
      </rPr>
      <t>码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</si>
  <si>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甜酒; 果酒（含酒精）; 黄酒;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米酒; 烈酒</t>
    </r>
  </si>
  <si>
    <r>
      <t>兮</t>
    </r>
    <r>
      <rPr>
        <sz val="11"/>
        <color theme="1"/>
        <rFont val="ＭＳ Ｐゴシック"/>
        <family val="3"/>
        <charset val="134"/>
        <scheme val="minor"/>
      </rPr>
      <t>业</t>
    </r>
  </si>
  <si>
    <r>
      <t>深圳市</t>
    </r>
    <r>
      <rPr>
        <sz val="11"/>
        <color theme="1"/>
        <rFont val="ＭＳ Ｐゴシック"/>
        <family val="3"/>
        <charset val="134"/>
        <scheme val="minor"/>
      </rPr>
      <t>简乐贸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</si>
  <si>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青稞酒; 黄酒; 蒸煮提取物（利口酒和烈酒）; 清酒; 高粱酒;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</si>
  <si>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t>京德盛</t>
  </si>
  <si>
    <r>
      <t>开封德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</si>
  <si>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果酒; 清酒; 葡萄酒; 白酒; 白干酒（中国白酒）; 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</si>
  <si>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笑口蔡祝行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</si>
  <si>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食用酒精; 威士忌; 伏特加酒; 黄酒</t>
    </r>
  </si>
  <si>
    <t>迎恩匠</t>
  </si>
  <si>
    <t>金毅</t>
  </si>
  <si>
    <r>
      <t>烈酒;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苹果酒; 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餐后酒（利口酒和烈酒）</t>
    </r>
  </si>
  <si>
    <r>
      <t>激</t>
    </r>
    <r>
      <rPr>
        <sz val="11"/>
        <color theme="1"/>
        <rFont val="ＭＳ Ｐゴシック"/>
        <family val="3"/>
        <charset val="134"/>
        <scheme val="minor"/>
      </rPr>
      <t>庆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</si>
  <si>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建明</t>
    </r>
  </si>
  <si>
    <r>
      <t>葡萄酒; 食用酒精; 蒸煮提取物（利口酒和烈酒）;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</si>
  <si>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馫</t>
    </r>
    <r>
      <rPr>
        <sz val="11"/>
        <color theme="1"/>
        <rFont val="ＭＳ Ｐゴシック"/>
        <family val="3"/>
        <charset val="128"/>
        <scheme val="minor"/>
      </rPr>
      <t>事</t>
    </r>
  </si>
  <si>
    <t>刘建雄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</si>
  <si>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果酒（含酒精）; 米酒; 白酒;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</si>
  <si>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乾禧宴霸</t>
  </si>
  <si>
    <r>
      <t>何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珍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</si>
  <si>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烈酒; 梨酒; 甜酒;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黄酒</t>
    </r>
  </si>
  <si>
    <r>
      <t>宣禧</t>
    </r>
    <r>
      <rPr>
        <sz val="11"/>
        <color theme="1"/>
        <rFont val="ＭＳ Ｐゴシック"/>
        <family val="3"/>
        <charset val="134"/>
        <scheme val="minor"/>
      </rPr>
      <t>门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</si>
  <si>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葡萄酒; 清酒; 果酒; 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白干酒（中国白酒）</t>
    </r>
  </si>
  <si>
    <t>瑞翔羽</t>
  </si>
  <si>
    <r>
      <t>冯</t>
    </r>
    <r>
      <rPr>
        <sz val="11"/>
        <color theme="1"/>
        <rFont val="ＭＳ Ｐゴシック"/>
        <family val="3"/>
        <charset val="128"/>
        <scheme val="minor"/>
      </rPr>
      <t>娜</t>
    </r>
  </si>
  <si>
    <r>
      <t>白酒; 蜂蜜酒; 蒸煮提取物（利口酒和烈酒）;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葡萄酒; 食用酒精</t>
    </r>
  </si>
  <si>
    <t>运河望</t>
  </si>
  <si>
    <t>蒋溪娟</t>
  </si>
  <si>
    <r>
      <t>白酒;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青稞酒;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清酒（日本米酒）; 葡萄酒; 蜂蜜酒; 苹果酒</t>
    </r>
  </si>
  <si>
    <r>
      <t>十八梯</t>
    </r>
    <r>
      <rPr>
        <sz val="11"/>
        <color theme="1"/>
        <rFont val="ＭＳ Ｐゴシック"/>
        <family val="3"/>
        <charset val="134"/>
        <scheme val="minor"/>
      </rPr>
      <t>邓</t>
    </r>
    <r>
      <rPr>
        <sz val="11"/>
        <color theme="1"/>
        <rFont val="ＭＳ Ｐゴシック"/>
        <family val="3"/>
        <charset val="128"/>
        <scheme val="minor"/>
      </rPr>
      <t>凳</t>
    </r>
  </si>
  <si>
    <r>
      <t>邓</t>
    </r>
    <r>
      <rPr>
        <sz val="11"/>
        <color theme="1"/>
        <rFont val="ＭＳ Ｐゴシック"/>
        <family val="3"/>
        <charset val="128"/>
        <scheme val="minor"/>
      </rPr>
      <t>秋槐</t>
    </r>
  </si>
  <si>
    <r>
      <t>米酒; 苦味酒;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汽酒; 白酒</t>
    </r>
  </si>
  <si>
    <r>
      <t>山氏百</t>
    </r>
    <r>
      <rPr>
        <sz val="11"/>
        <color theme="1"/>
        <rFont val="ＭＳ Ｐゴシック"/>
        <family val="3"/>
        <charset val="134"/>
        <scheme val="minor"/>
      </rPr>
      <t>岁</t>
    </r>
  </si>
  <si>
    <r>
      <t>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</si>
  <si>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峥嵘</t>
    </r>
    <r>
      <rPr>
        <sz val="11"/>
        <color theme="1"/>
        <rFont val="ＭＳ Ｐゴシック"/>
        <family val="3"/>
        <charset val="128"/>
        <scheme val="minor"/>
      </rPr>
      <t>美</t>
    </r>
  </si>
  <si>
    <t>刘伊然</t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</si>
  <si>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食用酒精; 清酒（日本米酒）; 白酒; 果酒（含酒精）; 汽酒</t>
    </r>
  </si>
  <si>
    <t>威神神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</si>
  <si>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大神食品集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</si>
  <si>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米酒;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葡萄酒; 甜酒; 果酒（含酒精）</t>
    </r>
  </si>
  <si>
    <r>
      <t>亿</t>
    </r>
    <r>
      <rPr>
        <sz val="11"/>
        <color theme="1"/>
        <rFont val="ＭＳ Ｐゴシック"/>
        <family val="3"/>
        <charset val="128"/>
        <scheme val="minor"/>
      </rPr>
      <t>生智</t>
    </r>
    <r>
      <rPr>
        <sz val="11"/>
        <color theme="1"/>
        <rFont val="ＭＳ Ｐゴシック"/>
        <family val="3"/>
        <charset val="129"/>
        <scheme val="minor"/>
      </rPr>
      <t>胜</t>
    </r>
  </si>
  <si>
    <r>
      <t>王</t>
    </r>
    <r>
      <rPr>
        <sz val="11"/>
        <color theme="1"/>
        <rFont val="ＭＳ Ｐゴシック"/>
        <family val="3"/>
        <charset val="134"/>
        <scheme val="minor"/>
      </rPr>
      <t>凯</t>
    </r>
  </si>
  <si>
    <r>
      <t>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黄酒; 白酒</t>
    </r>
  </si>
  <si>
    <t>醉麦</t>
  </si>
  <si>
    <r>
      <t>张</t>
    </r>
    <r>
      <rPr>
        <sz val="11"/>
        <color theme="1"/>
        <rFont val="ＭＳ Ｐゴシック"/>
        <family val="3"/>
        <charset val="128"/>
        <scheme val="minor"/>
      </rPr>
      <t>涛</t>
    </r>
  </si>
  <si>
    <r>
      <t xml:space="preserve">葡萄酒; 黄酒;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</si>
  <si>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上海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吃的猫影</t>
    </r>
    <r>
      <rPr>
        <sz val="11"/>
        <color theme="1"/>
        <rFont val="ＭＳ Ｐゴシック"/>
        <family val="3"/>
        <charset val="134"/>
        <scheme val="minor"/>
      </rPr>
      <t>视传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</si>
  <si>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含酒精的气泡水;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果酒（含酒精）</t>
    </r>
  </si>
  <si>
    <t>遵荐</t>
  </si>
  <si>
    <r>
      <t>史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山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</si>
  <si>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白酒; 威士忌</t>
    </r>
  </si>
  <si>
    <t>呆匠</t>
  </si>
  <si>
    <r>
      <t xml:space="preserve">葡萄酒; 蒸煮提取物（利口酒和烈酒）; 米酒; 青稞酒; 高粱酒;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</si>
  <si>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r>
      <t>承祥</t>
    </r>
    <r>
      <rPr>
        <sz val="11"/>
        <color theme="1"/>
        <rFont val="ＭＳ Ｐゴシック"/>
        <family val="3"/>
        <charset val="134"/>
        <scheme val="minor"/>
      </rPr>
      <t>门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</si>
  <si>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白干酒（中国白酒）;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汽酒; 清酒; 果酒; 黄酒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</si>
  <si>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吊</t>
    </r>
    <r>
      <rPr>
        <sz val="11"/>
        <color theme="1"/>
        <rFont val="ＭＳ Ｐゴシック"/>
        <family val="3"/>
        <charset val="134"/>
        <scheme val="minor"/>
      </rPr>
      <t>坠</t>
    </r>
  </si>
  <si>
    <r>
      <t>葡萄酒; 利口酒;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黄酒; 米酒; 白酒; 白干酒（中国白酒）;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</si>
  <si>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岁</t>
    </r>
    <r>
      <rPr>
        <sz val="11"/>
        <color theme="1"/>
        <rFont val="ＭＳ Ｐゴシック"/>
        <family val="3"/>
        <charset val="128"/>
        <scheme val="minor"/>
      </rPr>
      <t>春宴</t>
    </r>
  </si>
  <si>
    <t>深圳突破者科技有限公司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</si>
  <si>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酒（烈酒）; 清酒; 蒸煮提取物（利口酒和烈酒）; 青稞酒; 黄酒; 米酒;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</t>
    </r>
  </si>
  <si>
    <t>RAINRING</t>
  </si>
  <si>
    <r>
      <t>北京德瑞恩</t>
    </r>
    <r>
      <rPr>
        <sz val="11"/>
        <color theme="1"/>
        <rFont val="ＭＳ Ｐゴシック"/>
        <family val="3"/>
        <charset val="134"/>
        <scheme val="minor"/>
      </rPr>
      <t>钻</t>
    </r>
    <r>
      <rPr>
        <sz val="11"/>
        <color theme="1"/>
        <rFont val="ＭＳ Ｐゴシック"/>
        <family val="3"/>
        <charset val="128"/>
        <scheme val="minor"/>
      </rPr>
      <t>石有限公司</t>
    </r>
  </si>
  <si>
    <r>
      <t>果酒（含酒精）;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黄酒; 清酒; 汽酒</t>
    </r>
  </si>
  <si>
    <t>温小婉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</si>
  <si>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省洞酩酒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</si>
  <si>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薄荷酒; 威士忌; 白酒;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黄酒</t>
    </r>
  </si>
  <si>
    <r>
      <t>黔帛</t>
    </r>
    <r>
      <rPr>
        <sz val="11"/>
        <color theme="1"/>
        <rFont val="ＭＳ Ｐゴシック"/>
        <family val="3"/>
        <charset val="134"/>
        <scheme val="minor"/>
      </rPr>
      <t>记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</si>
  <si>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州夜郎物能供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</si>
  <si>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苦味酒;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白酒</t>
    </r>
  </si>
  <si>
    <t>仁睿福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</si>
  <si>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州仁睿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</si>
  <si>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果酒（含酒精）; 开胃酒; 米酒; 苹果酒;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高粱酒;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</si>
  <si>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t>鑫达韵</t>
  </si>
  <si>
    <r>
      <t xml:space="preserve">烈酒; 葡萄酒;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甜酒;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威士忌</t>
    </r>
  </si>
  <si>
    <r>
      <t>泥石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</si>
  <si>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昆明思</t>
    </r>
    <r>
      <rPr>
        <sz val="11"/>
        <color theme="1"/>
        <rFont val="ＭＳ Ｐゴシック"/>
        <family val="3"/>
        <charset val="134"/>
        <scheme val="minor"/>
      </rPr>
      <t>尔腾</t>
    </r>
    <r>
      <rPr>
        <sz val="11"/>
        <color theme="1"/>
        <rFont val="ＭＳ Ｐゴシック"/>
        <family val="3"/>
        <charset val="128"/>
        <scheme val="minor"/>
      </rPr>
      <t>科技服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</si>
  <si>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烈酒; 白酒; 米酒; 黄酒; 果酒（含酒精）;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利口酒</t>
    </r>
  </si>
  <si>
    <r>
      <t>征</t>
    </r>
    <r>
      <rPr>
        <sz val="11"/>
        <color theme="1"/>
        <rFont val="ＭＳ Ｐゴシック"/>
        <family val="3"/>
        <charset val="134"/>
        <scheme val="minor"/>
      </rPr>
      <t>嵘</t>
    </r>
  </si>
  <si>
    <r>
      <t>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果酒（含酒精）;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</si>
  <si>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淳</t>
    </r>
    <r>
      <rPr>
        <sz val="11"/>
        <color theme="1"/>
        <rFont val="ＭＳ Ｐゴシック"/>
        <family val="3"/>
        <charset val="134"/>
        <scheme val="minor"/>
      </rPr>
      <t>欢</t>
    </r>
    <r>
      <rPr>
        <sz val="11"/>
        <color theme="1"/>
        <rFont val="ＭＳ Ｐゴシック"/>
        <family val="3"/>
        <charset val="128"/>
        <scheme val="minor"/>
      </rPr>
      <t>喜</t>
    </r>
  </si>
  <si>
    <r>
      <t>卢</t>
    </r>
    <r>
      <rPr>
        <sz val="11"/>
        <color theme="1"/>
        <rFont val="ＭＳ Ｐゴシック"/>
        <family val="3"/>
        <charset val="128"/>
        <scheme val="minor"/>
      </rPr>
      <t>丹丹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</si>
  <si>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薄荷酒;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威士忌; 果酒（含酒精）</t>
    </r>
  </si>
  <si>
    <t>秦岭臻境</t>
  </si>
  <si>
    <r>
      <t>邹</t>
    </r>
    <r>
      <rPr>
        <sz val="11"/>
        <color theme="1"/>
        <rFont val="ＭＳ Ｐゴシック"/>
        <family val="3"/>
        <charset val="128"/>
        <scheme val="minor"/>
      </rPr>
      <t>会玲</t>
    </r>
  </si>
  <si>
    <t>葡萄酒; 米酒; 烈酒; 苹果酒; 高粱酒; 白酒; 果酒; 果酒（含酒精）; 黄酒; 青稞酒</t>
  </si>
  <si>
    <t>DASHIXIANG</t>
  </si>
  <si>
    <r>
      <t>广州云上伽</t>
    </r>
    <r>
      <rPr>
        <sz val="11"/>
        <color theme="1"/>
        <rFont val="ＭＳ Ｐゴシック"/>
        <family val="3"/>
        <charset val="134"/>
        <scheme val="minor"/>
      </rPr>
      <t>罗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</si>
  <si>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蒸煮提取物（利口酒和烈酒）; 果酒（含酒精）;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</t>
    </r>
  </si>
  <si>
    <t>LOVEATING-CAT FILM</t>
  </si>
  <si>
    <r>
      <t>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含酒精的气泡水;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</si>
  <si>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t>杞哈哈</t>
  </si>
  <si>
    <r>
      <t>葡萄酒; 白干酒（中国白酒）; 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利口酒;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米酒</t>
    </r>
  </si>
  <si>
    <r>
      <t>丁大</t>
    </r>
    <r>
      <rPr>
        <sz val="11"/>
        <color theme="1"/>
        <rFont val="ＭＳ Ｐゴシック"/>
        <family val="3"/>
        <charset val="134"/>
        <scheme val="minor"/>
      </rPr>
      <t>妈</t>
    </r>
    <r>
      <rPr>
        <sz val="11"/>
        <color theme="1"/>
        <rFont val="ＭＳ Ｐゴシック"/>
        <family val="3"/>
        <charset val="128"/>
        <scheme val="minor"/>
      </rPr>
      <t>的</t>
    </r>
    <r>
      <rPr>
        <sz val="11"/>
        <color theme="1"/>
        <rFont val="ＭＳ Ｐゴシック"/>
        <family val="3"/>
        <charset val="134"/>
        <scheme val="minor"/>
      </rPr>
      <t>杂货铺</t>
    </r>
  </si>
  <si>
    <r>
      <t>怒江曦典文化旅游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</si>
  <si>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白酒;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开胃酒;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烈酒; 果酒（含酒精）</t>
    </r>
  </si>
  <si>
    <t>羌塞</t>
  </si>
  <si>
    <r>
      <t>青稞酒; 黄酒; 米酒;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葡萄酒; 高粱酒; 白酒</t>
    </r>
  </si>
  <si>
    <r>
      <t>瑞</t>
    </r>
    <r>
      <rPr>
        <sz val="11"/>
        <color theme="1"/>
        <rFont val="ＭＳ Ｐゴシック"/>
        <family val="3"/>
        <charset val="134"/>
        <scheme val="minor"/>
      </rPr>
      <t>蓢</t>
    </r>
    <r>
      <rPr>
        <sz val="11"/>
        <color theme="1"/>
        <rFont val="ＭＳ Ｐゴシック"/>
        <family val="3"/>
        <charset val="128"/>
        <scheme val="minor"/>
      </rPr>
      <t>先生</t>
    </r>
  </si>
  <si>
    <r>
      <t>武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卓越国学文化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</si>
  <si>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果酒（含酒精）; 薄荷酒; 威士忌;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</si>
  <si>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卫</t>
    </r>
    <r>
      <rPr>
        <sz val="11"/>
        <color theme="1"/>
        <rFont val="ＭＳ Ｐゴシック"/>
        <family val="3"/>
        <charset val="128"/>
        <scheme val="minor"/>
      </rPr>
      <t>士小象</t>
    </r>
  </si>
  <si>
    <r>
      <t>医度冷</t>
    </r>
    <r>
      <rPr>
        <sz val="11"/>
        <color theme="1"/>
        <rFont val="ＭＳ Ｐゴシック"/>
        <family val="3"/>
        <charset val="134"/>
        <scheme val="minor"/>
      </rPr>
      <t>链</t>
    </r>
    <r>
      <rPr>
        <sz val="11"/>
        <color theme="1"/>
        <rFont val="ＭＳ Ｐゴシック"/>
        <family val="3"/>
        <charset val="128"/>
        <scheme val="minor"/>
      </rPr>
      <t>科技(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州)有限公司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</si>
  <si>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果酒;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</si>
  <si>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翰享</t>
  </si>
  <si>
    <r>
      <t xml:space="preserve">果酒（含酒精）; 白酒; 米酒;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葡萄酒; 甜酒; 威士忌</t>
    </r>
  </si>
  <si>
    <r>
      <t>跃</t>
    </r>
    <r>
      <rPr>
        <sz val="11"/>
        <color theme="1"/>
        <rFont val="ＭＳ Ｐゴシック"/>
        <family val="3"/>
        <charset val="128"/>
        <scheme val="minor"/>
      </rPr>
      <t>小</t>
    </r>
    <r>
      <rPr>
        <sz val="11"/>
        <color theme="1"/>
        <rFont val="ＭＳ Ｐゴシック"/>
        <family val="3"/>
        <charset val="134"/>
        <scheme val="minor"/>
      </rPr>
      <t>满</t>
    </r>
  </si>
  <si>
    <t>邸敬如</t>
  </si>
  <si>
    <r>
      <t xml:space="preserve">开胃酒;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果酒（含酒精）; 烈酒;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高粱酒; 白干酒（中国白酒）</t>
    </r>
  </si>
  <si>
    <t>兮野</t>
  </si>
  <si>
    <r>
      <t>高粱酒;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葡萄酒; 黄酒;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米酒; 青稞酒</t>
    </r>
  </si>
  <si>
    <t>云泰溪</t>
  </si>
  <si>
    <t>尹燕******************</t>
  </si>
  <si>
    <r>
      <t>青稞酒; 米酒; 高粱酒; 烈酒;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清酒; 白酒; 果酒（含酒精）; 葡萄酒</t>
    </r>
  </si>
  <si>
    <t>千河春</t>
  </si>
  <si>
    <r>
      <t>沐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</si>
  <si>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餐后酒（利口酒和烈酒）;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</si>
  <si>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t>青衿悠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</si>
  <si>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清酒; 白酒; 高粱酒; 葡萄酒;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青稞酒; 米酒</t>
    </r>
  </si>
  <si>
    <r>
      <t>紫色</t>
    </r>
    <r>
      <rPr>
        <sz val="11"/>
        <color theme="1"/>
        <rFont val="ＭＳ Ｐゴシック"/>
        <family val="3"/>
        <charset val="134"/>
        <scheme val="minor"/>
      </rPr>
      <t>风铃</t>
    </r>
  </si>
  <si>
    <r>
      <t>白干酒（中国白酒）; 白酒; 黄酒; 米酒;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利口酒;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</si>
  <si>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荒漠珍品</t>
  </si>
  <si>
    <r>
      <t xml:space="preserve">利口酒;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白干酒（中国白酒）</t>
    </r>
  </si>
  <si>
    <t>叠品</t>
  </si>
  <si>
    <r>
      <t>深圳市豪</t>
    </r>
    <r>
      <rPr>
        <sz val="11"/>
        <color theme="1"/>
        <rFont val="ＭＳ Ｐゴシック"/>
        <family val="3"/>
        <charset val="134"/>
        <scheme val="minor"/>
      </rPr>
      <t>华联</t>
    </r>
    <r>
      <rPr>
        <sz val="11"/>
        <color theme="1"/>
        <rFont val="ＭＳ Ｐゴシック"/>
        <family val="3"/>
        <charset val="128"/>
        <scheme val="minor"/>
      </rPr>
      <t>合科技有限公司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</si>
  <si>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伏特加酒;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</t>
    </r>
  </si>
  <si>
    <r>
      <t>炁</t>
    </r>
    <r>
      <rPr>
        <sz val="11"/>
        <color theme="1"/>
        <rFont val="ＭＳ Ｐゴシック"/>
        <family val="3"/>
        <charset val="134"/>
        <scheme val="minor"/>
      </rPr>
      <t>说</t>
    </r>
    <r>
      <rPr>
        <sz val="11"/>
        <color theme="1"/>
        <rFont val="ＭＳ Ｐゴシック"/>
        <family val="3"/>
        <charset val="128"/>
        <scheme val="minor"/>
      </rPr>
      <t>西游</t>
    </r>
  </si>
  <si>
    <r>
      <t>浙江省</t>
    </r>
    <r>
      <rPr>
        <sz val="11"/>
        <color theme="1"/>
        <rFont val="ＭＳ Ｐゴシック"/>
        <family val="3"/>
        <charset val="134"/>
        <scheme val="minor"/>
      </rPr>
      <t>现</t>
    </r>
    <r>
      <rPr>
        <sz val="11"/>
        <color theme="1"/>
        <rFont val="ＭＳ Ｐゴシック"/>
        <family val="3"/>
        <charset val="128"/>
        <scheme val="minor"/>
      </rPr>
      <t>代炁脉健康研究院</t>
    </r>
  </si>
  <si>
    <r>
      <t>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果酒（含酒精）;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</si>
  <si>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t>施汀宣</t>
  </si>
  <si>
    <r>
      <t>烟台露娜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出口有限公司</t>
    </r>
  </si>
  <si>
    <r>
      <t xml:space="preserve">葡萄酒; 威士忌; 白酒; 果酒; 黄酒; 开胃酒;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</si>
  <si>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六月名</t>
  </si>
  <si>
    <r>
      <t>白酒; 青稞酒; 黄酒; 蒸煮提取物（利口酒和烈酒）; 清酒;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</si>
  <si>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t>萄西川</t>
  </si>
  <si>
    <r>
      <t>利口酒; 白干酒（中国白酒）;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</si>
  <si>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魔</t>
    </r>
    <r>
      <rPr>
        <sz val="11"/>
        <color theme="1"/>
        <rFont val="ＭＳ Ｐゴシック"/>
        <family val="3"/>
        <charset val="134"/>
        <scheme val="minor"/>
      </rPr>
      <t>侣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</si>
  <si>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利口酒; 白干酒（中国白酒）;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葡萄酒</t>
    </r>
  </si>
  <si>
    <t>鑫川韵</t>
  </si>
  <si>
    <r>
      <t xml:space="preserve">米酒; 烈酒; 甜酒;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葡萄酒; 果酒（含酒精）;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</si>
  <si>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延牛儿</t>
    </r>
    <r>
      <rPr>
        <sz val="11"/>
        <color theme="1"/>
        <rFont val="ＭＳ Ｐゴシック"/>
        <family val="3"/>
        <charset val="134"/>
        <scheme val="minor"/>
      </rPr>
      <t>乡</t>
    </r>
  </si>
  <si>
    <r>
      <t>刘基</t>
    </r>
    <r>
      <rPr>
        <sz val="11"/>
        <color theme="1"/>
        <rFont val="ＭＳ Ｐゴシック"/>
        <family val="3"/>
        <charset val="134"/>
        <scheme val="minor"/>
      </rPr>
      <t>贵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</si>
  <si>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梨酒; 白酒;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族米酒; 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</t>
    </r>
  </si>
  <si>
    <t>得品回佳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</si>
  <si>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州智荣科技有限公司</t>
    </r>
  </si>
  <si>
    <r>
      <t xml:space="preserve">伏特加酒; 威士忌; 果酒（含酒精）; 葡萄酒;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</t>
    </r>
  </si>
  <si>
    <t>慈百味</t>
  </si>
  <si>
    <r>
      <t>李明</t>
    </r>
    <r>
      <rPr>
        <sz val="11"/>
        <color theme="1"/>
        <rFont val="ＭＳ Ｐゴシック"/>
        <family val="3"/>
        <charset val="134"/>
        <scheme val="minor"/>
      </rPr>
      <t>杨</t>
    </r>
  </si>
  <si>
    <r>
      <t>白酒;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食用酒精; 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</si>
  <si>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之商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</si>
  <si>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游富禾竹制品有限公司</t>
    </r>
  </si>
  <si>
    <r>
      <t>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白酒; 黄酒;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</si>
  <si>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泓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宏</t>
    </r>
  </si>
  <si>
    <r>
      <t>武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泓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宏科技有限公司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</si>
  <si>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高粱酒; 黄酒;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白干酒（中国白酒）;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</si>
  <si>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t>熊岳</t>
  </si>
  <si>
    <t>谢贞义</t>
  </si>
  <si>
    <r>
      <t xml:space="preserve">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果酒（含酒精）; 露酒</t>
    </r>
  </si>
  <si>
    <r>
      <t>汉韬</t>
    </r>
    <r>
      <rPr>
        <sz val="11"/>
        <color theme="1"/>
        <rFont val="ＭＳ Ｐゴシック"/>
        <family val="3"/>
        <charset val="128"/>
        <scheme val="minor"/>
      </rPr>
      <t>台</t>
    </r>
  </si>
  <si>
    <r>
      <t>吴桂</t>
    </r>
    <r>
      <rPr>
        <sz val="11"/>
        <color theme="1"/>
        <rFont val="ＭＳ Ｐゴシック"/>
        <family val="3"/>
        <charset val="134"/>
        <scheme val="minor"/>
      </rPr>
      <t>莲</t>
    </r>
  </si>
  <si>
    <r>
      <t>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葡萄酒; 白酒</t>
    </r>
  </si>
  <si>
    <r>
      <t>师</t>
    </r>
    <r>
      <rPr>
        <sz val="11"/>
        <color theme="1"/>
        <rFont val="ＭＳ Ｐゴシック"/>
        <family val="3"/>
        <charset val="128"/>
        <scheme val="minor"/>
      </rPr>
      <t>石</t>
    </r>
  </si>
  <si>
    <r>
      <t>师</t>
    </r>
    <r>
      <rPr>
        <sz val="11"/>
        <color theme="1"/>
        <rFont val="ＭＳ Ｐゴシック"/>
        <family val="3"/>
        <charset val="128"/>
        <scheme val="minor"/>
      </rPr>
      <t>石</t>
    </r>
    <r>
      <rPr>
        <sz val="11"/>
        <color theme="1"/>
        <rFont val="ＭＳ Ｐゴシック"/>
        <family val="3"/>
        <charset val="134"/>
        <scheme val="minor"/>
      </rPr>
      <t>产</t>
    </r>
    <r>
      <rPr>
        <sz val="11"/>
        <color theme="1"/>
        <rFont val="ＭＳ Ｐゴシック"/>
        <family val="3"/>
        <charset val="128"/>
        <scheme val="minor"/>
      </rPr>
      <t>教数据服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（江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</si>
  <si>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</si>
  <si>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印者信</t>
  </si>
  <si>
    <r>
      <t>河南多朴酒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</si>
  <si>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清酒（日本米酒）; 米酒; 伏特加酒;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含酒精的气泡水;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果酒（含酒精）</t>
    </r>
  </si>
  <si>
    <t>香柏丁</t>
  </si>
  <si>
    <r>
      <t>墨亭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易（杭州）有限公司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</si>
  <si>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米酒; 白酒; 黄酒; 果酒（含酒精）;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</si>
  <si>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花</t>
    </r>
    <r>
      <rPr>
        <sz val="11"/>
        <color theme="1"/>
        <rFont val="ＭＳ Ｐゴシック"/>
        <family val="3"/>
        <charset val="134"/>
        <scheme val="minor"/>
      </rPr>
      <t>晓龙</t>
    </r>
  </si>
  <si>
    <t>肖必全</t>
  </si>
  <si>
    <r>
      <t xml:space="preserve">黄酒; 高粱酒; 甜酒; 烈酒;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葡萄酒; 米酒; 白酒</t>
    </r>
  </si>
  <si>
    <r>
      <t>聚源黔</t>
    </r>
    <r>
      <rPr>
        <sz val="11"/>
        <color theme="1"/>
        <rFont val="ＭＳ Ｐゴシック"/>
        <family val="3"/>
        <charset val="134"/>
        <scheme val="minor"/>
      </rPr>
      <t>进</t>
    </r>
  </si>
  <si>
    <r>
      <t>遵</t>
    </r>
    <r>
      <rPr>
        <sz val="11"/>
        <color theme="1"/>
        <rFont val="ＭＳ Ｐゴシック"/>
        <family val="3"/>
        <charset val="134"/>
        <scheme val="minor"/>
      </rPr>
      <t>义</t>
    </r>
    <r>
      <rPr>
        <sz val="11"/>
        <color theme="1"/>
        <rFont val="ＭＳ Ｐゴシック"/>
        <family val="3"/>
        <charset val="128"/>
        <scheme val="minor"/>
      </rPr>
      <t>聚源</t>
    </r>
    <r>
      <rPr>
        <sz val="11"/>
        <color theme="1"/>
        <rFont val="ＭＳ Ｐゴシック"/>
        <family val="3"/>
        <charset val="134"/>
        <scheme val="minor"/>
      </rPr>
      <t>经贸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</si>
  <si>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清酒; 米酒; 烈酒; 利口酒; 烈性干酒; 白干酒（中国白酒）; 葡萄酒;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</si>
  <si>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t>焙合盛</t>
  </si>
  <si>
    <t>合肥焙合盛食品科技有限公司</t>
  </si>
  <si>
    <r>
      <t>果酒（含酒精）; 薄荷酒;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黄酒</t>
    </r>
  </si>
  <si>
    <t>麟中鹿阳</t>
  </si>
  <si>
    <r>
      <t>塔城一六四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天翔梅花鹿养殖</t>
    </r>
    <r>
      <rPr>
        <sz val="11"/>
        <color theme="1"/>
        <rFont val="ＭＳ Ｐゴシック"/>
        <family val="3"/>
        <charset val="134"/>
        <scheme val="minor"/>
      </rPr>
      <t>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</si>
  <si>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>果酒; 白酒;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蒸煮提取物（利口酒和烈酒）; 葡萄酒;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高粱酒;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</si>
  <si>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黄口品河</t>
    </r>
    <r>
      <rPr>
        <sz val="11"/>
        <color theme="1"/>
        <rFont val="ＭＳ Ｐゴシック"/>
        <family val="3"/>
        <charset val="129"/>
        <scheme val="minor"/>
      </rPr>
      <t>优</t>
    </r>
  </si>
  <si>
    <r>
      <t>东营</t>
    </r>
    <r>
      <rPr>
        <sz val="11"/>
        <color theme="1"/>
        <rFont val="ＭＳ Ｐゴシック"/>
        <family val="3"/>
        <charset val="128"/>
        <scheme val="minor"/>
      </rPr>
      <t>市文化旅游体育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</si>
  <si>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葡萄酒; 白酒; 果酒（含酒精）</t>
  </si>
  <si>
    <t>礼属</t>
  </si>
  <si>
    <t>刘杭丰</t>
  </si>
  <si>
    <r>
      <t xml:space="preserve">白酒; 葡萄酒; 米酒; 黄酒; 果酒（含酒精）; 蜂蜜酒; 梅酒;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</t>
    </r>
  </si>
  <si>
    <t>CHABOTIN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</si>
  <si>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黄酒; 白酒; 威士忌;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果酒（含酒精）</t>
    </r>
  </si>
  <si>
    <r>
      <t>亚狮</t>
    </r>
    <r>
      <rPr>
        <sz val="11"/>
        <color theme="1"/>
        <rFont val="ＭＳ Ｐゴシック"/>
        <family val="3"/>
        <charset val="128"/>
        <scheme val="minor"/>
      </rPr>
      <t>澳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</si>
  <si>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东亚狮</t>
    </r>
    <r>
      <rPr>
        <sz val="11"/>
        <color theme="1"/>
        <rFont val="ＭＳ Ｐゴシック"/>
        <family val="3"/>
        <charset val="128"/>
        <scheme val="minor"/>
      </rPr>
      <t>澳精准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养有限公司</t>
    </r>
  </si>
  <si>
    <r>
      <t>蜂蜜酒;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青稞酒; 米酒;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</si>
  <si>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t>超惠佳</t>
  </si>
  <si>
    <r>
      <t>陕</t>
    </r>
    <r>
      <rPr>
        <sz val="11"/>
        <color theme="1"/>
        <rFont val="ＭＳ Ｐゴシック"/>
        <family val="3"/>
        <charset val="128"/>
        <scheme val="minor"/>
      </rPr>
      <t>西超惠佳商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</si>
  <si>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利口酒</t>
    </r>
  </si>
  <si>
    <r>
      <t>精</t>
    </r>
    <r>
      <rPr>
        <sz val="11"/>
        <color theme="1"/>
        <rFont val="ＭＳ Ｐゴシック"/>
        <family val="3"/>
        <charset val="134"/>
        <scheme val="minor"/>
      </rPr>
      <t>诚华</t>
    </r>
    <r>
      <rPr>
        <sz val="11"/>
        <color theme="1"/>
        <rFont val="ＭＳ Ｐゴシック"/>
        <family val="3"/>
        <charset val="128"/>
        <scheme val="minor"/>
      </rPr>
      <t>商</t>
    </r>
  </si>
  <si>
    <r>
      <t>内蒙古精</t>
    </r>
    <r>
      <rPr>
        <sz val="11"/>
        <color theme="1"/>
        <rFont val="ＭＳ Ｐゴシック"/>
        <family val="3"/>
        <charset val="134"/>
        <scheme val="minor"/>
      </rPr>
      <t>诚华</t>
    </r>
    <r>
      <rPr>
        <sz val="11"/>
        <color theme="1"/>
        <rFont val="ＭＳ Ｐゴシック"/>
        <family val="3"/>
        <charset val="128"/>
        <scheme val="minor"/>
      </rPr>
      <t>商酒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</si>
  <si>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利口酒;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</si>
  <si>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二</t>
    </r>
    <r>
      <rPr>
        <sz val="11"/>
        <color theme="1"/>
        <rFont val="ＭＳ Ｐゴシック"/>
        <family val="3"/>
        <charset val="134"/>
        <scheme val="minor"/>
      </rPr>
      <t>师</t>
    </r>
    <r>
      <rPr>
        <sz val="11"/>
        <color theme="1"/>
        <rFont val="ＭＳ Ｐゴシック"/>
        <family val="3"/>
        <charset val="128"/>
        <scheme val="minor"/>
      </rPr>
      <t>兄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</si>
  <si>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果酒（含酒精）; 露酒;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</t>
    </r>
  </si>
  <si>
    <t>ABSIOAO</t>
  </si>
  <si>
    <r>
      <t xml:space="preserve">米酒;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白酒;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青稞酒; 黄酒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</si>
</sst>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m/dd"/>
    <numFmt numFmtId="177" formatCode="0_ "/>
  </numFmts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34"/>
      <scheme val="minor"/>
    </font>
    <font>
      <sz val="11"/>
      <color theme="1"/>
      <name val="ＭＳ Ｐゴシック"/>
      <family val="3"/>
      <charset val="129"/>
      <scheme val="minor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2" borderId="1" xfId="0" applyFill="1" applyBorder="1" applyAlignment="1">
      <alignment horizontal="center" vertical="top" wrapText="1"/>
    </xf>
    <xf numFmtId="49" fontId="0" fillId="2" borderId="1" xfId="0" applyNumberFormat="1" applyFill="1" applyBorder="1" applyAlignment="1">
      <alignment horizontal="center" vertical="top" wrapText="1"/>
    </xf>
    <xf numFmtId="177" fontId="0" fillId="2" borderId="1" xfId="0" applyNumberFormat="1" applyFill="1" applyBorder="1" applyAlignment="1">
      <alignment horizontal="center" vertical="top" wrapText="1"/>
    </xf>
    <xf numFmtId="176" fontId="0" fillId="2" borderId="1" xfId="0" applyNumberForma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1" xfId="0" applyBorder="1" applyAlignment="1">
      <alignment vertical="top" wrapText="1"/>
    </xf>
    <xf numFmtId="49" fontId="0" fillId="0" borderId="1" xfId="0" applyNumberFormat="1" applyBorder="1" applyAlignment="1">
      <alignment vertical="top" wrapText="1"/>
    </xf>
    <xf numFmtId="177" fontId="0" fillId="0" borderId="1" xfId="0" applyNumberFormat="1" applyBorder="1" applyAlignment="1">
      <alignment vertical="top" wrapText="1"/>
    </xf>
    <xf numFmtId="176" fontId="0" fillId="0" borderId="1" xfId="0" applyNumberFormat="1" applyBorder="1" applyAlignment="1">
      <alignment vertical="top" wrapText="1"/>
    </xf>
    <xf numFmtId="49" fontId="0" fillId="0" borderId="0" xfId="0" applyNumberFormat="1" applyAlignment="1">
      <alignment vertical="top" wrapText="1"/>
    </xf>
    <xf numFmtId="177" fontId="0" fillId="0" borderId="0" xfId="0" applyNumberFormat="1" applyAlignment="1">
      <alignment vertical="top" wrapText="1"/>
    </xf>
    <xf numFmtId="176" fontId="0" fillId="0" borderId="0" xfId="0" applyNumberFormat="1" applyAlignment="1">
      <alignment vertical="top" wrapText="1"/>
    </xf>
    <xf numFmtId="177" fontId="2" fillId="0" borderId="1" xfId="1" applyNumberFormat="1" applyFill="1" applyBorder="1" applyAlignment="1">
      <alignment vertical="top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976A2-E008-413A-9F0C-B77C99BA567E}">
  <dimension ref="A1:I1734"/>
  <sheetViews>
    <sheetView tabSelected="1" workbookViewId="0"/>
  </sheetViews>
  <sheetFormatPr defaultRowHeight="13.5" x14ac:dyDescent="0.15"/>
  <cols>
    <col min="1" max="1" width="9" style="5"/>
    <col min="2" max="2" width="9" style="10"/>
    <col min="3" max="3" width="9" style="11"/>
    <col min="4" max="4" width="11.625" style="12" customWidth="1"/>
    <col min="5" max="5" width="10.625" style="11" bestFit="1" customWidth="1"/>
    <col min="6" max="6" width="28.375" style="10" customWidth="1"/>
    <col min="7" max="7" width="31.375" style="10" customWidth="1"/>
    <col min="8" max="8" width="100.625" style="10" customWidth="1"/>
    <col min="9" max="9" width="11.625" style="12" bestFit="1" customWidth="1"/>
  </cols>
  <sheetData>
    <row r="1" spans="1:9" x14ac:dyDescent="0.15">
      <c r="A1" s="1" t="s">
        <v>8</v>
      </c>
      <c r="B1" s="2" t="s">
        <v>0</v>
      </c>
      <c r="C1" s="3" t="s">
        <v>1</v>
      </c>
      <c r="D1" s="4" t="s">
        <v>2</v>
      </c>
      <c r="E1" s="3" t="s">
        <v>3</v>
      </c>
      <c r="F1" s="2" t="s">
        <v>4</v>
      </c>
      <c r="G1" s="2" t="s">
        <v>5</v>
      </c>
      <c r="H1" s="2" t="s">
        <v>6</v>
      </c>
      <c r="I1" s="4" t="s">
        <v>7</v>
      </c>
    </row>
    <row r="2" spans="1:9" x14ac:dyDescent="0.15">
      <c r="A2" s="6">
        <v>1</v>
      </c>
      <c r="B2" s="7" t="s">
        <v>9</v>
      </c>
      <c r="C2" s="8">
        <v>1886</v>
      </c>
      <c r="D2" s="9">
        <v>45418</v>
      </c>
      <c r="E2" s="13" t="str">
        <f>+HYPERLINK("http://trademark.i-assist.jp/data/china/image_1886th/67429478.pdf","67429478")</f>
        <v>67429478</v>
      </c>
      <c r="F2" s="7" t="s">
        <v>11</v>
      </c>
      <c r="G2" s="7" t="s">
        <v>12</v>
      </c>
      <c r="H2" s="7" t="s">
        <v>13</v>
      </c>
      <c r="I2" s="9">
        <v>44830</v>
      </c>
    </row>
    <row r="3" spans="1:9" x14ac:dyDescent="0.15">
      <c r="A3" s="6">
        <v>2</v>
      </c>
      <c r="B3" s="7" t="s">
        <v>9</v>
      </c>
      <c r="C3" s="8">
        <v>1886</v>
      </c>
      <c r="D3" s="9">
        <v>45418</v>
      </c>
      <c r="E3" s="13" t="str">
        <f>+HYPERLINK("http://trademark.i-assist.jp/data/china/image_1886th/68469743.pdf","68469743")</f>
        <v>68469743</v>
      </c>
      <c r="F3" s="7" t="s">
        <v>14</v>
      </c>
      <c r="G3" s="7" t="s">
        <v>15</v>
      </c>
      <c r="H3" s="7" t="s">
        <v>16</v>
      </c>
      <c r="I3" s="9">
        <v>44886</v>
      </c>
    </row>
    <row r="4" spans="1:9" x14ac:dyDescent="0.15">
      <c r="A4" s="6">
        <v>3</v>
      </c>
      <c r="B4" s="7" t="s">
        <v>9</v>
      </c>
      <c r="C4" s="8">
        <v>1886</v>
      </c>
      <c r="D4" s="9">
        <v>45418</v>
      </c>
      <c r="E4" s="13" t="str">
        <f>+HYPERLINK("http://trademark.i-assist.jp/data/china/image_1886th/68682157.pdf","68682157")</f>
        <v>68682157</v>
      </c>
      <c r="F4" s="7" t="s">
        <v>17</v>
      </c>
      <c r="G4" s="7" t="s">
        <v>18</v>
      </c>
      <c r="H4" s="7" t="s">
        <v>19</v>
      </c>
      <c r="I4" s="9">
        <v>44897</v>
      </c>
    </row>
    <row r="5" spans="1:9" ht="27" x14ac:dyDescent="0.15">
      <c r="A5" s="6">
        <v>4</v>
      </c>
      <c r="B5" s="7" t="s">
        <v>9</v>
      </c>
      <c r="C5" s="8">
        <v>1886</v>
      </c>
      <c r="D5" s="9">
        <v>45418</v>
      </c>
      <c r="E5" s="13" t="str">
        <f>+HYPERLINK("http://trademark.i-assist.jp/data/china/image_1886th/69438627.pdf","69438627")</f>
        <v>69438627</v>
      </c>
      <c r="F5" s="7" t="s">
        <v>20</v>
      </c>
      <c r="G5" s="7" t="s">
        <v>21</v>
      </c>
      <c r="H5" s="7" t="s">
        <v>22</v>
      </c>
      <c r="I5" s="9">
        <v>44964</v>
      </c>
    </row>
    <row r="6" spans="1:9" x14ac:dyDescent="0.15">
      <c r="A6" s="6">
        <v>5</v>
      </c>
      <c r="B6" s="7" t="s">
        <v>9</v>
      </c>
      <c r="C6" s="8">
        <v>1886</v>
      </c>
      <c r="D6" s="9">
        <v>45418</v>
      </c>
      <c r="E6" s="13" t="str">
        <f>+HYPERLINK("http://trademark.i-assist.jp/data/china/image_1886th/69534241.pdf","69534241")</f>
        <v>69534241</v>
      </c>
      <c r="F6" s="7" t="s">
        <v>23</v>
      </c>
      <c r="G6" s="7" t="s">
        <v>24</v>
      </c>
      <c r="H6" s="7" t="s">
        <v>10</v>
      </c>
      <c r="I6" s="9">
        <v>44970</v>
      </c>
    </row>
    <row r="7" spans="1:9" x14ac:dyDescent="0.15">
      <c r="A7" s="6">
        <v>6</v>
      </c>
      <c r="B7" s="7" t="s">
        <v>9</v>
      </c>
      <c r="C7" s="8">
        <v>1886</v>
      </c>
      <c r="D7" s="9">
        <v>45418</v>
      </c>
      <c r="E7" s="13" t="str">
        <f>+HYPERLINK("http://trademark.i-assist.jp/data/china/image_1886th/69931462.pdf","69931462")</f>
        <v>69931462</v>
      </c>
      <c r="F7" s="7" t="s">
        <v>25</v>
      </c>
      <c r="G7" s="7" t="s">
        <v>26</v>
      </c>
      <c r="H7" s="7" t="s">
        <v>27</v>
      </c>
      <c r="I7" s="9">
        <v>44988</v>
      </c>
    </row>
    <row r="8" spans="1:9" x14ac:dyDescent="0.15">
      <c r="A8" s="6">
        <v>7</v>
      </c>
      <c r="B8" s="7" t="s">
        <v>9</v>
      </c>
      <c r="C8" s="8">
        <v>1886</v>
      </c>
      <c r="D8" s="9">
        <v>45418</v>
      </c>
      <c r="E8" s="13" t="str">
        <f>+HYPERLINK("http://trademark.i-assist.jp/data/china/image_1886th/69937224.pdf","69937224")</f>
        <v>69937224</v>
      </c>
      <c r="F8" s="7" t="s">
        <v>28</v>
      </c>
      <c r="G8" s="7" t="s">
        <v>29</v>
      </c>
      <c r="H8" s="7" t="s">
        <v>30</v>
      </c>
      <c r="I8" s="9">
        <v>44988</v>
      </c>
    </row>
    <row r="9" spans="1:9" x14ac:dyDescent="0.15">
      <c r="A9" s="6">
        <v>8</v>
      </c>
      <c r="B9" s="7" t="s">
        <v>9</v>
      </c>
      <c r="C9" s="8">
        <v>1886</v>
      </c>
      <c r="D9" s="9">
        <v>45418</v>
      </c>
      <c r="E9" s="13" t="str">
        <f>+HYPERLINK("http://trademark.i-assist.jp/data/china/image_1886th/69937228.pdf","69937228")</f>
        <v>69937228</v>
      </c>
      <c r="F9" s="7" t="s">
        <v>31</v>
      </c>
      <c r="G9" s="7" t="s">
        <v>29</v>
      </c>
      <c r="H9" s="7" t="s">
        <v>32</v>
      </c>
      <c r="I9" s="9">
        <v>44988</v>
      </c>
    </row>
    <row r="10" spans="1:9" x14ac:dyDescent="0.15">
      <c r="A10" s="6">
        <v>9</v>
      </c>
      <c r="B10" s="7" t="s">
        <v>9</v>
      </c>
      <c r="C10" s="8">
        <v>1886</v>
      </c>
      <c r="D10" s="9">
        <v>45418</v>
      </c>
      <c r="E10" s="13" t="str">
        <f>+HYPERLINK("http://trademark.i-assist.jp/data/china/image_1886th/70059809.pdf","70059809")</f>
        <v>70059809</v>
      </c>
      <c r="F10" s="7" t="s">
        <v>33</v>
      </c>
      <c r="G10" s="7" t="s">
        <v>34</v>
      </c>
      <c r="H10" s="7" t="s">
        <v>35</v>
      </c>
      <c r="I10" s="9">
        <v>44994</v>
      </c>
    </row>
    <row r="11" spans="1:9" ht="27" x14ac:dyDescent="0.15">
      <c r="A11" s="6">
        <v>10</v>
      </c>
      <c r="B11" s="7" t="s">
        <v>9</v>
      </c>
      <c r="C11" s="8">
        <v>1886</v>
      </c>
      <c r="D11" s="9">
        <v>45418</v>
      </c>
      <c r="E11" s="13" t="str">
        <f>+HYPERLINK("http://trademark.i-assist.jp/data/china/image_1886th/70110696.pdf","70110696")</f>
        <v>70110696</v>
      </c>
      <c r="F11" s="7" t="s">
        <v>33</v>
      </c>
      <c r="G11" s="7" t="s">
        <v>36</v>
      </c>
      <c r="H11" s="7" t="s">
        <v>37</v>
      </c>
      <c r="I11" s="9">
        <v>44995</v>
      </c>
    </row>
    <row r="12" spans="1:9" ht="27" x14ac:dyDescent="0.15">
      <c r="A12" s="6">
        <v>11</v>
      </c>
      <c r="B12" s="7" t="s">
        <v>9</v>
      </c>
      <c r="C12" s="8">
        <v>1886</v>
      </c>
      <c r="D12" s="9">
        <v>45418</v>
      </c>
      <c r="E12" s="13" t="str">
        <f>+HYPERLINK("http://trademark.i-assist.jp/data/china/image_1886th/71117088.pdf","71117088")</f>
        <v>71117088</v>
      </c>
      <c r="F12" s="7" t="s">
        <v>38</v>
      </c>
      <c r="G12" s="7" t="s">
        <v>39</v>
      </c>
      <c r="H12" s="7" t="s">
        <v>40</v>
      </c>
      <c r="I12" s="9">
        <v>45039</v>
      </c>
    </row>
    <row r="13" spans="1:9" x14ac:dyDescent="0.15">
      <c r="A13" s="6">
        <v>12</v>
      </c>
      <c r="B13" s="7" t="s">
        <v>9</v>
      </c>
      <c r="C13" s="8">
        <v>1886</v>
      </c>
      <c r="D13" s="9">
        <v>45418</v>
      </c>
      <c r="E13" s="13" t="str">
        <f>+HYPERLINK("http://trademark.i-assist.jp/data/china/image_1886th/71213262.pdf","71213262")</f>
        <v>71213262</v>
      </c>
      <c r="F13" s="7" t="s">
        <v>41</v>
      </c>
      <c r="G13" s="7" t="s">
        <v>42</v>
      </c>
      <c r="H13" s="7" t="s">
        <v>43</v>
      </c>
      <c r="I13" s="9">
        <v>45043</v>
      </c>
    </row>
    <row r="14" spans="1:9" x14ac:dyDescent="0.15">
      <c r="A14" s="6">
        <v>13</v>
      </c>
      <c r="B14" s="7" t="s">
        <v>9</v>
      </c>
      <c r="C14" s="8">
        <v>1886</v>
      </c>
      <c r="D14" s="9">
        <v>45418</v>
      </c>
      <c r="E14" s="13" t="str">
        <f>+HYPERLINK("http://trademark.i-assist.jp/data/china/image_1886th/71429338.pdf","71429338")</f>
        <v>71429338</v>
      </c>
      <c r="F14" s="7" t="s">
        <v>44</v>
      </c>
      <c r="G14" s="7" t="s">
        <v>45</v>
      </c>
      <c r="H14" s="7" t="s">
        <v>46</v>
      </c>
      <c r="I14" s="9">
        <v>45055</v>
      </c>
    </row>
    <row r="15" spans="1:9" x14ac:dyDescent="0.15">
      <c r="A15" s="6">
        <v>14</v>
      </c>
      <c r="B15" s="7" t="s">
        <v>9</v>
      </c>
      <c r="C15" s="8">
        <v>1886</v>
      </c>
      <c r="D15" s="9">
        <v>45418</v>
      </c>
      <c r="E15" s="13" t="str">
        <f>+HYPERLINK("http://trademark.i-assist.jp/data/china/image_1886th/71703787.pdf","71703787")</f>
        <v>71703787</v>
      </c>
      <c r="F15" s="7" t="s">
        <v>47</v>
      </c>
      <c r="G15" s="7" t="s">
        <v>48</v>
      </c>
      <c r="H15" s="7" t="s">
        <v>49</v>
      </c>
      <c r="I15" s="9">
        <v>45068</v>
      </c>
    </row>
    <row r="16" spans="1:9" x14ac:dyDescent="0.15">
      <c r="A16" s="6">
        <v>15</v>
      </c>
      <c r="B16" s="7" t="s">
        <v>9</v>
      </c>
      <c r="C16" s="8">
        <v>1886</v>
      </c>
      <c r="D16" s="9">
        <v>45418</v>
      </c>
      <c r="E16" s="13" t="str">
        <f>+HYPERLINK("http://trademark.i-assist.jp/data/china/image_1886th/71723661.pdf","71723661")</f>
        <v>71723661</v>
      </c>
      <c r="F16" s="7" t="s">
        <v>50</v>
      </c>
      <c r="G16" s="7" t="s">
        <v>51</v>
      </c>
      <c r="H16" s="7" t="s">
        <v>52</v>
      </c>
      <c r="I16" s="9">
        <v>45068</v>
      </c>
    </row>
    <row r="17" spans="1:9" x14ac:dyDescent="0.15">
      <c r="A17" s="6">
        <v>16</v>
      </c>
      <c r="B17" s="7" t="s">
        <v>9</v>
      </c>
      <c r="C17" s="8">
        <v>1886</v>
      </c>
      <c r="D17" s="9">
        <v>45418</v>
      </c>
      <c r="E17" s="13" t="str">
        <f>+HYPERLINK("http://trademark.i-assist.jp/data/china/image_1886th/71950697.pdf","71950697")</f>
        <v>71950697</v>
      </c>
      <c r="F17" s="7" t="s">
        <v>53</v>
      </c>
      <c r="G17" s="7" t="s">
        <v>54</v>
      </c>
      <c r="H17" s="7" t="s">
        <v>55</v>
      </c>
      <c r="I17" s="9">
        <v>45077</v>
      </c>
    </row>
    <row r="18" spans="1:9" x14ac:dyDescent="0.15">
      <c r="A18" s="6">
        <v>17</v>
      </c>
      <c r="B18" s="7" t="s">
        <v>9</v>
      </c>
      <c r="C18" s="8">
        <v>1886</v>
      </c>
      <c r="D18" s="9">
        <v>45418</v>
      </c>
      <c r="E18" s="13" t="str">
        <f>+HYPERLINK("http://trademark.i-assist.jp/data/china/image_1886th/71963318.pdf","71963318")</f>
        <v>71963318</v>
      </c>
      <c r="F18" s="7" t="s">
        <v>56</v>
      </c>
      <c r="G18" s="7" t="s">
        <v>57</v>
      </c>
      <c r="H18" s="7" t="s">
        <v>58</v>
      </c>
      <c r="I18" s="9">
        <v>45078</v>
      </c>
    </row>
    <row r="19" spans="1:9" x14ac:dyDescent="0.15">
      <c r="A19" s="6">
        <v>18</v>
      </c>
      <c r="B19" s="7" t="s">
        <v>9</v>
      </c>
      <c r="C19" s="8">
        <v>1886</v>
      </c>
      <c r="D19" s="9">
        <v>45418</v>
      </c>
      <c r="E19" s="13" t="str">
        <f>+HYPERLINK("http://trademark.i-assist.jp/data/china/image_1886th/72118760.pdf","72118760")</f>
        <v>72118760</v>
      </c>
      <c r="F19" s="7" t="s">
        <v>59</v>
      </c>
      <c r="G19" s="7" t="s">
        <v>60</v>
      </c>
      <c r="H19" s="7" t="s">
        <v>61</v>
      </c>
      <c r="I19" s="9">
        <v>45086</v>
      </c>
    </row>
    <row r="20" spans="1:9" x14ac:dyDescent="0.15">
      <c r="A20" s="6">
        <v>19</v>
      </c>
      <c r="B20" s="7" t="s">
        <v>9</v>
      </c>
      <c r="C20" s="8">
        <v>1886</v>
      </c>
      <c r="D20" s="9">
        <v>45418</v>
      </c>
      <c r="E20" s="13" t="str">
        <f>+HYPERLINK("http://trademark.i-assist.jp/data/china/image_1886th/72248705.pdf","72248705")</f>
        <v>72248705</v>
      </c>
      <c r="F20" s="7" t="s">
        <v>62</v>
      </c>
      <c r="G20" s="7" t="s">
        <v>63</v>
      </c>
      <c r="H20" s="7" t="s">
        <v>64</v>
      </c>
      <c r="I20" s="9">
        <v>45092</v>
      </c>
    </row>
    <row r="21" spans="1:9" ht="27" x14ac:dyDescent="0.15">
      <c r="A21" s="6">
        <v>20</v>
      </c>
      <c r="B21" s="7" t="s">
        <v>9</v>
      </c>
      <c r="C21" s="8">
        <v>1886</v>
      </c>
      <c r="D21" s="9">
        <v>45418</v>
      </c>
      <c r="E21" s="13" t="str">
        <f>+HYPERLINK("http://trademark.i-assist.jp/data/china/image_1886th/72670601.pdf","72670601")</f>
        <v>72670601</v>
      </c>
      <c r="F21" s="7" t="s">
        <v>33</v>
      </c>
      <c r="G21" s="7" t="s">
        <v>65</v>
      </c>
      <c r="H21" s="7" t="s">
        <v>66</v>
      </c>
      <c r="I21" s="9">
        <v>45113</v>
      </c>
    </row>
    <row r="22" spans="1:9" x14ac:dyDescent="0.15">
      <c r="A22" s="6">
        <v>21</v>
      </c>
      <c r="B22" s="7" t="s">
        <v>9</v>
      </c>
      <c r="C22" s="8">
        <v>1886</v>
      </c>
      <c r="D22" s="9">
        <v>45418</v>
      </c>
      <c r="E22" s="13" t="str">
        <f>+HYPERLINK("http://trademark.i-assist.jp/data/china/image_1886th/73106721.pdf","73106721")</f>
        <v>73106721</v>
      </c>
      <c r="F22" s="7" t="s">
        <v>67</v>
      </c>
      <c r="G22" s="7" t="s">
        <v>68</v>
      </c>
      <c r="H22" s="7" t="s">
        <v>69</v>
      </c>
      <c r="I22" s="9">
        <v>45134</v>
      </c>
    </row>
    <row r="23" spans="1:9" x14ac:dyDescent="0.15">
      <c r="A23" s="6">
        <v>22</v>
      </c>
      <c r="B23" s="7" t="s">
        <v>9</v>
      </c>
      <c r="C23" s="8">
        <v>1886</v>
      </c>
      <c r="D23" s="9">
        <v>45418</v>
      </c>
      <c r="E23" s="13" t="str">
        <f>+HYPERLINK("http://trademark.i-assist.jp/data/china/image_1886th/73112943.pdf","73112943")</f>
        <v>73112943</v>
      </c>
      <c r="F23" s="7" t="s">
        <v>33</v>
      </c>
      <c r="G23" s="7" t="s">
        <v>70</v>
      </c>
      <c r="H23" s="7" t="s">
        <v>71</v>
      </c>
      <c r="I23" s="9">
        <v>45134</v>
      </c>
    </row>
    <row r="24" spans="1:9" ht="27" x14ac:dyDescent="0.15">
      <c r="A24" s="6">
        <v>23</v>
      </c>
      <c r="B24" s="7" t="s">
        <v>9</v>
      </c>
      <c r="C24" s="8">
        <v>1886</v>
      </c>
      <c r="D24" s="9">
        <v>45418</v>
      </c>
      <c r="E24" s="13" t="str">
        <f>+HYPERLINK("http://trademark.i-assist.jp/data/china/image_1886th/74340999.pdf","74340999")</f>
        <v>74340999</v>
      </c>
      <c r="F24" s="7" t="s">
        <v>72</v>
      </c>
      <c r="G24" s="7" t="s">
        <v>73</v>
      </c>
      <c r="H24" s="7" t="s">
        <v>74</v>
      </c>
      <c r="I24" s="9">
        <v>45196</v>
      </c>
    </row>
    <row r="25" spans="1:9" x14ac:dyDescent="0.15">
      <c r="A25" s="6">
        <v>24</v>
      </c>
      <c r="B25" s="7" t="s">
        <v>9</v>
      </c>
      <c r="C25" s="8">
        <v>1886</v>
      </c>
      <c r="D25" s="9">
        <v>45418</v>
      </c>
      <c r="E25" s="13" t="str">
        <f>+HYPERLINK("http://trademark.i-assist.jp/data/china/image_1886th/74536066A.pdf","74536066A")</f>
        <v>74536066A</v>
      </c>
      <c r="F25" s="7" t="s">
        <v>75</v>
      </c>
      <c r="G25" s="7" t="s">
        <v>76</v>
      </c>
      <c r="H25" s="7" t="s">
        <v>77</v>
      </c>
      <c r="I25" s="9">
        <v>45211</v>
      </c>
    </row>
    <row r="26" spans="1:9" x14ac:dyDescent="0.15">
      <c r="A26" s="6">
        <v>25</v>
      </c>
      <c r="B26" s="7" t="s">
        <v>9</v>
      </c>
      <c r="C26" s="8">
        <v>1886</v>
      </c>
      <c r="D26" s="9">
        <v>45418</v>
      </c>
      <c r="E26" s="13" t="str">
        <f>+HYPERLINK("http://trademark.i-assist.jp/data/china/image_1886th/74604237.pdf","74604237")</f>
        <v>74604237</v>
      </c>
      <c r="F26" s="7" t="s">
        <v>78</v>
      </c>
      <c r="G26" s="7" t="s">
        <v>79</v>
      </c>
      <c r="H26" s="7" t="s">
        <v>80</v>
      </c>
      <c r="I26" s="9">
        <v>45216</v>
      </c>
    </row>
    <row r="27" spans="1:9" ht="27" x14ac:dyDescent="0.15">
      <c r="A27" s="6">
        <v>26</v>
      </c>
      <c r="B27" s="7" t="s">
        <v>9</v>
      </c>
      <c r="C27" s="8">
        <v>1886</v>
      </c>
      <c r="D27" s="9">
        <v>45418</v>
      </c>
      <c r="E27" s="13" t="str">
        <f>+HYPERLINK("http://trademark.i-assist.jp/data/china/image_1886th/74728671.pdf","74728671")</f>
        <v>74728671</v>
      </c>
      <c r="F27" s="7" t="s">
        <v>81</v>
      </c>
      <c r="G27" s="7" t="s">
        <v>82</v>
      </c>
      <c r="H27" s="7" t="s">
        <v>83</v>
      </c>
      <c r="I27" s="9">
        <v>45219</v>
      </c>
    </row>
    <row r="28" spans="1:9" ht="27" x14ac:dyDescent="0.15">
      <c r="A28" s="6">
        <v>27</v>
      </c>
      <c r="B28" s="7" t="s">
        <v>9</v>
      </c>
      <c r="C28" s="8">
        <v>1886</v>
      </c>
      <c r="D28" s="9">
        <v>45418</v>
      </c>
      <c r="E28" s="13" t="str">
        <f>+HYPERLINK("http://trademark.i-assist.jp/data/china/image_1886th/74746258.pdf","74746258")</f>
        <v>74746258</v>
      </c>
      <c r="F28" s="7" t="s">
        <v>84</v>
      </c>
      <c r="G28" s="7" t="s">
        <v>85</v>
      </c>
      <c r="H28" s="7" t="s">
        <v>86</v>
      </c>
      <c r="I28" s="9">
        <v>45223</v>
      </c>
    </row>
    <row r="29" spans="1:9" ht="27" x14ac:dyDescent="0.15">
      <c r="A29" s="6">
        <v>28</v>
      </c>
      <c r="B29" s="7" t="s">
        <v>9</v>
      </c>
      <c r="C29" s="8">
        <v>1886</v>
      </c>
      <c r="D29" s="9">
        <v>45418</v>
      </c>
      <c r="E29" s="13" t="str">
        <f>+HYPERLINK("http://trademark.i-assist.jp/data/china/image_1886th/74846455.pdf","74846455")</f>
        <v>74846455</v>
      </c>
      <c r="F29" s="7" t="s">
        <v>87</v>
      </c>
      <c r="G29" s="7" t="s">
        <v>88</v>
      </c>
      <c r="H29" s="7" t="s">
        <v>89</v>
      </c>
      <c r="I29" s="9">
        <v>45228</v>
      </c>
    </row>
    <row r="30" spans="1:9" x14ac:dyDescent="0.15">
      <c r="A30" s="6">
        <v>29</v>
      </c>
      <c r="B30" s="7" t="s">
        <v>9</v>
      </c>
      <c r="C30" s="8">
        <v>1886</v>
      </c>
      <c r="D30" s="9">
        <v>45418</v>
      </c>
      <c r="E30" s="13" t="str">
        <f>+HYPERLINK("http://trademark.i-assist.jp/data/china/image_1886th/74911195.pdf","74911195")</f>
        <v>74911195</v>
      </c>
      <c r="F30" s="7" t="s">
        <v>90</v>
      </c>
      <c r="G30" s="7" t="s">
        <v>91</v>
      </c>
      <c r="H30" s="7" t="s">
        <v>92</v>
      </c>
      <c r="I30" s="9">
        <v>45231</v>
      </c>
    </row>
    <row r="31" spans="1:9" x14ac:dyDescent="0.15">
      <c r="A31" s="6">
        <v>30</v>
      </c>
      <c r="B31" s="7" t="s">
        <v>9</v>
      </c>
      <c r="C31" s="8">
        <v>1886</v>
      </c>
      <c r="D31" s="9">
        <v>45418</v>
      </c>
      <c r="E31" s="13" t="str">
        <f>+HYPERLINK("http://trademark.i-assist.jp/data/china/image_1886th/74967848.pdf","74967848")</f>
        <v>74967848</v>
      </c>
      <c r="F31" s="7" t="s">
        <v>93</v>
      </c>
      <c r="G31" s="7" t="s">
        <v>94</v>
      </c>
      <c r="H31" s="7" t="s">
        <v>95</v>
      </c>
      <c r="I31" s="9">
        <v>45233</v>
      </c>
    </row>
    <row r="32" spans="1:9" x14ac:dyDescent="0.15">
      <c r="A32" s="6">
        <v>31</v>
      </c>
      <c r="B32" s="7" t="s">
        <v>9</v>
      </c>
      <c r="C32" s="8">
        <v>1886</v>
      </c>
      <c r="D32" s="9">
        <v>45418</v>
      </c>
      <c r="E32" s="13" t="str">
        <f>+HYPERLINK("http://trademark.i-assist.jp/data/china/image_1886th/75016176.pdf","75016176")</f>
        <v>75016176</v>
      </c>
      <c r="F32" s="7" t="s">
        <v>96</v>
      </c>
      <c r="G32" s="7" t="s">
        <v>97</v>
      </c>
      <c r="H32" s="7" t="s">
        <v>98</v>
      </c>
      <c r="I32" s="9">
        <v>45237</v>
      </c>
    </row>
    <row r="33" spans="1:9" x14ac:dyDescent="0.15">
      <c r="A33" s="6">
        <v>32</v>
      </c>
      <c r="B33" s="7" t="s">
        <v>9</v>
      </c>
      <c r="C33" s="8">
        <v>1886</v>
      </c>
      <c r="D33" s="9">
        <v>45418</v>
      </c>
      <c r="E33" s="13" t="str">
        <f>+HYPERLINK("http://trademark.i-assist.jp/data/china/image_1886th/75026413.pdf","75026413")</f>
        <v>75026413</v>
      </c>
      <c r="F33" s="7" t="s">
        <v>99</v>
      </c>
      <c r="G33" s="7" t="s">
        <v>100</v>
      </c>
      <c r="H33" s="7" t="s">
        <v>101</v>
      </c>
      <c r="I33" s="9">
        <v>45237</v>
      </c>
    </row>
    <row r="34" spans="1:9" x14ac:dyDescent="0.15">
      <c r="A34" s="6">
        <v>33</v>
      </c>
      <c r="B34" s="7" t="s">
        <v>9</v>
      </c>
      <c r="C34" s="8">
        <v>1886</v>
      </c>
      <c r="D34" s="9">
        <v>45418</v>
      </c>
      <c r="E34" s="13" t="str">
        <f>+HYPERLINK("http://trademark.i-assist.jp/data/china/image_1886th/75307623.pdf","75307623")</f>
        <v>75307623</v>
      </c>
      <c r="F34" s="7" t="s">
        <v>102</v>
      </c>
      <c r="G34" s="7" t="s">
        <v>103</v>
      </c>
      <c r="H34" s="7" t="s">
        <v>104</v>
      </c>
      <c r="I34" s="9">
        <v>45251</v>
      </c>
    </row>
    <row r="35" spans="1:9" x14ac:dyDescent="0.15">
      <c r="A35" s="6">
        <v>34</v>
      </c>
      <c r="B35" s="7" t="s">
        <v>9</v>
      </c>
      <c r="C35" s="8">
        <v>1886</v>
      </c>
      <c r="D35" s="9">
        <v>45418</v>
      </c>
      <c r="E35" s="13" t="str">
        <f>+HYPERLINK("http://trademark.i-assist.jp/data/china/image_1886th/75342232.pdf","75342232")</f>
        <v>75342232</v>
      </c>
      <c r="F35" s="7" t="s">
        <v>105</v>
      </c>
      <c r="G35" s="7" t="s">
        <v>106</v>
      </c>
      <c r="H35" s="7" t="s">
        <v>107</v>
      </c>
      <c r="I35" s="9">
        <v>45252</v>
      </c>
    </row>
    <row r="36" spans="1:9" x14ac:dyDescent="0.15">
      <c r="A36" s="6">
        <v>35</v>
      </c>
      <c r="B36" s="7" t="s">
        <v>9</v>
      </c>
      <c r="C36" s="8">
        <v>1886</v>
      </c>
      <c r="D36" s="9">
        <v>45418</v>
      </c>
      <c r="E36" s="13" t="str">
        <f>+HYPERLINK("http://trademark.i-assist.jp/data/china/image_1886th/75382884.pdf","75382884")</f>
        <v>75382884</v>
      </c>
      <c r="F36" s="7" t="s">
        <v>108</v>
      </c>
      <c r="G36" s="7" t="s">
        <v>109</v>
      </c>
      <c r="H36" s="7" t="s">
        <v>110</v>
      </c>
      <c r="I36" s="9">
        <v>45254</v>
      </c>
    </row>
    <row r="37" spans="1:9" x14ac:dyDescent="0.15">
      <c r="A37" s="6">
        <v>36</v>
      </c>
      <c r="B37" s="7" t="s">
        <v>9</v>
      </c>
      <c r="C37" s="8">
        <v>1886</v>
      </c>
      <c r="D37" s="9">
        <v>45418</v>
      </c>
      <c r="E37" s="13" t="str">
        <f>+HYPERLINK("http://trademark.i-assist.jp/data/china/image_1886th/75429288.pdf","75429288")</f>
        <v>75429288</v>
      </c>
      <c r="F37" s="7" t="s">
        <v>111</v>
      </c>
      <c r="G37" s="7" t="s">
        <v>112</v>
      </c>
      <c r="H37" s="7" t="s">
        <v>113</v>
      </c>
      <c r="I37" s="9">
        <v>45257</v>
      </c>
    </row>
    <row r="38" spans="1:9" x14ac:dyDescent="0.15">
      <c r="A38" s="6">
        <v>37</v>
      </c>
      <c r="B38" s="7" t="s">
        <v>9</v>
      </c>
      <c r="C38" s="8">
        <v>1886</v>
      </c>
      <c r="D38" s="9">
        <v>45418</v>
      </c>
      <c r="E38" s="13" t="str">
        <f>+HYPERLINK("http://trademark.i-assist.jp/data/china/image_1886th/75465533.pdf","75465533")</f>
        <v>75465533</v>
      </c>
      <c r="F38" s="7" t="s">
        <v>33</v>
      </c>
      <c r="G38" s="7" t="s">
        <v>114</v>
      </c>
      <c r="H38" s="7" t="s">
        <v>115</v>
      </c>
      <c r="I38" s="9">
        <v>45258</v>
      </c>
    </row>
    <row r="39" spans="1:9" x14ac:dyDescent="0.15">
      <c r="A39" s="6">
        <v>38</v>
      </c>
      <c r="B39" s="7" t="s">
        <v>9</v>
      </c>
      <c r="C39" s="8">
        <v>1886</v>
      </c>
      <c r="D39" s="9">
        <v>45418</v>
      </c>
      <c r="E39" s="13" t="str">
        <f>+HYPERLINK("http://trademark.i-assist.jp/data/china/image_1886th/75503354.pdf","75503354")</f>
        <v>75503354</v>
      </c>
      <c r="F39" s="7" t="s">
        <v>116</v>
      </c>
      <c r="G39" s="7" t="s">
        <v>117</v>
      </c>
      <c r="H39" s="7" t="s">
        <v>118</v>
      </c>
      <c r="I39" s="9">
        <v>45260</v>
      </c>
    </row>
    <row r="40" spans="1:9" x14ac:dyDescent="0.15">
      <c r="A40" s="6">
        <v>39</v>
      </c>
      <c r="B40" s="7" t="s">
        <v>9</v>
      </c>
      <c r="C40" s="8">
        <v>1886</v>
      </c>
      <c r="D40" s="9">
        <v>45418</v>
      </c>
      <c r="E40" s="13" t="str">
        <f>+HYPERLINK("http://trademark.i-assist.jp/data/china/image_1886th/75519631A.pdf","75519631A")</f>
        <v>75519631A</v>
      </c>
      <c r="F40" s="7" t="s">
        <v>33</v>
      </c>
      <c r="G40" s="7" t="s">
        <v>119</v>
      </c>
      <c r="H40" s="7" t="s">
        <v>120</v>
      </c>
      <c r="I40" s="9">
        <v>45260</v>
      </c>
    </row>
    <row r="41" spans="1:9" ht="27" x14ac:dyDescent="0.15">
      <c r="A41" s="6">
        <v>40</v>
      </c>
      <c r="B41" s="7" t="s">
        <v>9</v>
      </c>
      <c r="C41" s="8">
        <v>1886</v>
      </c>
      <c r="D41" s="9">
        <v>45418</v>
      </c>
      <c r="E41" s="13" t="str">
        <f>+HYPERLINK("http://trademark.i-assist.jp/data/china/image_1886th/75522503.pdf","75522503")</f>
        <v>75522503</v>
      </c>
      <c r="F41" s="7" t="s">
        <v>121</v>
      </c>
      <c r="G41" s="7" t="s">
        <v>122</v>
      </c>
      <c r="H41" s="7" t="s">
        <v>123</v>
      </c>
      <c r="I41" s="9">
        <v>45260</v>
      </c>
    </row>
    <row r="42" spans="1:9" x14ac:dyDescent="0.15">
      <c r="A42" s="6">
        <v>41</v>
      </c>
      <c r="B42" s="7" t="s">
        <v>9</v>
      </c>
      <c r="C42" s="8">
        <v>1886</v>
      </c>
      <c r="D42" s="9">
        <v>45418</v>
      </c>
      <c r="E42" s="13" t="str">
        <f>+HYPERLINK("http://trademark.i-assist.jp/data/china/image_1886th/75615854.pdf","75615854")</f>
        <v>75615854</v>
      </c>
      <c r="F42" s="7" t="s">
        <v>124</v>
      </c>
      <c r="G42" s="7" t="s">
        <v>125</v>
      </c>
      <c r="H42" s="7" t="s">
        <v>126</v>
      </c>
      <c r="I42" s="9">
        <v>45266</v>
      </c>
    </row>
    <row r="43" spans="1:9" x14ac:dyDescent="0.15">
      <c r="A43" s="6">
        <v>42</v>
      </c>
      <c r="B43" s="7" t="s">
        <v>9</v>
      </c>
      <c r="C43" s="8">
        <v>1886</v>
      </c>
      <c r="D43" s="9">
        <v>45418</v>
      </c>
      <c r="E43" s="13" t="str">
        <f>+HYPERLINK("http://trademark.i-assist.jp/data/china/image_1886th/75709240.pdf","75709240")</f>
        <v>75709240</v>
      </c>
      <c r="F43" s="7" t="s">
        <v>127</v>
      </c>
      <c r="G43" s="7" t="s">
        <v>128</v>
      </c>
      <c r="H43" s="7" t="s">
        <v>129</v>
      </c>
      <c r="I43" s="9">
        <v>45271</v>
      </c>
    </row>
    <row r="44" spans="1:9" x14ac:dyDescent="0.15">
      <c r="A44" s="6">
        <v>43</v>
      </c>
      <c r="B44" s="7" t="s">
        <v>9</v>
      </c>
      <c r="C44" s="8">
        <v>1886</v>
      </c>
      <c r="D44" s="9">
        <v>45418</v>
      </c>
      <c r="E44" s="13" t="str">
        <f>+HYPERLINK("http://trademark.i-assist.jp/data/china/image_1886th/75732771.pdf","75732771")</f>
        <v>75732771</v>
      </c>
      <c r="F44" s="7" t="s">
        <v>130</v>
      </c>
      <c r="G44" s="7" t="s">
        <v>131</v>
      </c>
      <c r="H44" s="7" t="s">
        <v>132</v>
      </c>
      <c r="I44" s="9">
        <v>45272</v>
      </c>
    </row>
    <row r="45" spans="1:9" x14ac:dyDescent="0.15">
      <c r="A45" s="6">
        <v>44</v>
      </c>
      <c r="B45" s="7" t="s">
        <v>9</v>
      </c>
      <c r="C45" s="8">
        <v>1886</v>
      </c>
      <c r="D45" s="9">
        <v>45418</v>
      </c>
      <c r="E45" s="13" t="str">
        <f>+HYPERLINK("http://trademark.i-assist.jp/data/china/image_1886th/75746055.pdf","75746055")</f>
        <v>75746055</v>
      </c>
      <c r="F45" s="7" t="s">
        <v>133</v>
      </c>
      <c r="G45" s="7" t="s">
        <v>134</v>
      </c>
      <c r="H45" s="7" t="s">
        <v>135</v>
      </c>
      <c r="I45" s="9">
        <v>45272</v>
      </c>
    </row>
    <row r="46" spans="1:9" x14ac:dyDescent="0.15">
      <c r="A46" s="6">
        <v>45</v>
      </c>
      <c r="B46" s="7" t="s">
        <v>9</v>
      </c>
      <c r="C46" s="8">
        <v>1886</v>
      </c>
      <c r="D46" s="9">
        <v>45418</v>
      </c>
      <c r="E46" s="13" t="str">
        <f>+HYPERLINK("http://trademark.i-assist.jp/data/china/image_1886th/75878779.pdf","75878779")</f>
        <v>75878779</v>
      </c>
      <c r="F46" s="7" t="s">
        <v>136</v>
      </c>
      <c r="G46" s="7" t="s">
        <v>137</v>
      </c>
      <c r="H46" s="7" t="s">
        <v>138</v>
      </c>
      <c r="I46" s="9">
        <v>45279</v>
      </c>
    </row>
    <row r="47" spans="1:9" x14ac:dyDescent="0.15">
      <c r="A47" s="6">
        <v>46</v>
      </c>
      <c r="B47" s="7" t="s">
        <v>9</v>
      </c>
      <c r="C47" s="8">
        <v>1886</v>
      </c>
      <c r="D47" s="9">
        <v>45418</v>
      </c>
      <c r="E47" s="13" t="str">
        <f>+HYPERLINK("http://trademark.i-assist.jp/data/china/image_1886th/75892058A.pdf","75892058A")</f>
        <v>75892058A</v>
      </c>
      <c r="F47" s="7" t="s">
        <v>139</v>
      </c>
      <c r="G47" s="7" t="s">
        <v>140</v>
      </c>
      <c r="H47" s="7" t="s">
        <v>141</v>
      </c>
      <c r="I47" s="9">
        <v>45279</v>
      </c>
    </row>
    <row r="48" spans="1:9" x14ac:dyDescent="0.15">
      <c r="A48" s="6">
        <v>47</v>
      </c>
      <c r="B48" s="7" t="s">
        <v>9</v>
      </c>
      <c r="C48" s="8">
        <v>1886</v>
      </c>
      <c r="D48" s="9">
        <v>45418</v>
      </c>
      <c r="E48" s="13" t="str">
        <f>+HYPERLINK("http://trademark.i-assist.jp/data/china/image_1886th/75899030.pdf","75899030")</f>
        <v>75899030</v>
      </c>
      <c r="F48" s="7" t="s">
        <v>142</v>
      </c>
      <c r="G48" s="7" t="s">
        <v>143</v>
      </c>
      <c r="H48" s="7" t="s">
        <v>144</v>
      </c>
      <c r="I48" s="9">
        <v>45280</v>
      </c>
    </row>
    <row r="49" spans="1:9" x14ac:dyDescent="0.15">
      <c r="A49" s="6">
        <v>48</v>
      </c>
      <c r="B49" s="7" t="s">
        <v>9</v>
      </c>
      <c r="C49" s="8">
        <v>1886</v>
      </c>
      <c r="D49" s="9">
        <v>45418</v>
      </c>
      <c r="E49" s="13" t="str">
        <f>+HYPERLINK("http://trademark.i-assist.jp/data/china/image_1886th/75922246.pdf","75922246")</f>
        <v>75922246</v>
      </c>
      <c r="F49" s="7" t="s">
        <v>145</v>
      </c>
      <c r="G49" s="7" t="s">
        <v>146</v>
      </c>
      <c r="H49" s="7" t="s">
        <v>147</v>
      </c>
      <c r="I49" s="9">
        <v>45280</v>
      </c>
    </row>
    <row r="50" spans="1:9" x14ac:dyDescent="0.15">
      <c r="A50" s="6">
        <v>49</v>
      </c>
      <c r="B50" s="7" t="s">
        <v>9</v>
      </c>
      <c r="C50" s="8">
        <v>1886</v>
      </c>
      <c r="D50" s="9">
        <v>45418</v>
      </c>
      <c r="E50" s="13" t="str">
        <f>+HYPERLINK("http://trademark.i-assist.jp/data/china/image_1886th/75943120A.pdf","75943120A")</f>
        <v>75943120A</v>
      </c>
      <c r="F50" s="7" t="s">
        <v>33</v>
      </c>
      <c r="G50" s="7" t="s">
        <v>148</v>
      </c>
      <c r="H50" s="7" t="s">
        <v>149</v>
      </c>
      <c r="I50" s="9">
        <v>45281</v>
      </c>
    </row>
    <row r="51" spans="1:9" ht="27" x14ac:dyDescent="0.15">
      <c r="A51" s="6">
        <v>50</v>
      </c>
      <c r="B51" s="7" t="s">
        <v>9</v>
      </c>
      <c r="C51" s="8">
        <v>1886</v>
      </c>
      <c r="D51" s="9">
        <v>45418</v>
      </c>
      <c r="E51" s="13" t="str">
        <f>+HYPERLINK("http://trademark.i-assist.jp/data/china/image_1886th/75945729A.pdf","75945729A")</f>
        <v>75945729A</v>
      </c>
      <c r="F51" s="7" t="s">
        <v>150</v>
      </c>
      <c r="G51" s="7" t="s">
        <v>151</v>
      </c>
      <c r="H51" s="7" t="s">
        <v>152</v>
      </c>
      <c r="I51" s="9">
        <v>45281</v>
      </c>
    </row>
    <row r="52" spans="1:9" x14ac:dyDescent="0.15">
      <c r="A52" s="6">
        <v>51</v>
      </c>
      <c r="B52" s="7" t="s">
        <v>9</v>
      </c>
      <c r="C52" s="8">
        <v>1886</v>
      </c>
      <c r="D52" s="9">
        <v>45418</v>
      </c>
      <c r="E52" s="13" t="str">
        <f>+HYPERLINK("http://trademark.i-assist.jp/data/china/image_1886th/75959429.pdf","75959429")</f>
        <v>75959429</v>
      </c>
      <c r="F52" s="7" t="s">
        <v>153</v>
      </c>
      <c r="G52" s="7" t="s">
        <v>154</v>
      </c>
      <c r="H52" s="7" t="s">
        <v>155</v>
      </c>
      <c r="I52" s="9">
        <v>45282</v>
      </c>
    </row>
    <row r="53" spans="1:9" ht="27" x14ac:dyDescent="0.15">
      <c r="A53" s="6">
        <v>52</v>
      </c>
      <c r="B53" s="7" t="s">
        <v>9</v>
      </c>
      <c r="C53" s="8">
        <v>1886</v>
      </c>
      <c r="D53" s="9">
        <v>45418</v>
      </c>
      <c r="E53" s="13" t="str">
        <f>+HYPERLINK("http://trademark.i-assist.jp/data/china/image_1886th/75967330.pdf","75967330")</f>
        <v>75967330</v>
      </c>
      <c r="F53" s="7" t="s">
        <v>156</v>
      </c>
      <c r="G53" s="7" t="s">
        <v>157</v>
      </c>
      <c r="H53" s="7" t="s">
        <v>158</v>
      </c>
      <c r="I53" s="9">
        <v>45282</v>
      </c>
    </row>
    <row r="54" spans="1:9" x14ac:dyDescent="0.15">
      <c r="A54" s="6">
        <v>53</v>
      </c>
      <c r="B54" s="7" t="s">
        <v>9</v>
      </c>
      <c r="C54" s="8">
        <v>1886</v>
      </c>
      <c r="D54" s="9">
        <v>45418</v>
      </c>
      <c r="E54" s="13" t="str">
        <f>+HYPERLINK("http://trademark.i-assist.jp/data/china/image_1886th/75971162.pdf","75971162")</f>
        <v>75971162</v>
      </c>
      <c r="F54" s="7" t="s">
        <v>159</v>
      </c>
      <c r="G54" s="7" t="s">
        <v>160</v>
      </c>
      <c r="H54" s="7" t="s">
        <v>161</v>
      </c>
      <c r="I54" s="9">
        <v>45282</v>
      </c>
    </row>
    <row r="55" spans="1:9" x14ac:dyDescent="0.15">
      <c r="A55" s="6">
        <v>54</v>
      </c>
      <c r="B55" s="7" t="s">
        <v>9</v>
      </c>
      <c r="C55" s="8">
        <v>1886</v>
      </c>
      <c r="D55" s="9">
        <v>45418</v>
      </c>
      <c r="E55" s="13" t="str">
        <f>+HYPERLINK("http://trademark.i-assist.jp/data/china/image_1886th/76038622.pdf","76038622")</f>
        <v>76038622</v>
      </c>
      <c r="F55" s="7" t="s">
        <v>162</v>
      </c>
      <c r="G55" s="7" t="s">
        <v>163</v>
      </c>
      <c r="H55" s="7" t="s">
        <v>164</v>
      </c>
      <c r="I55" s="9">
        <v>45287</v>
      </c>
    </row>
    <row r="56" spans="1:9" x14ac:dyDescent="0.15">
      <c r="A56" s="6">
        <v>55</v>
      </c>
      <c r="B56" s="7" t="s">
        <v>9</v>
      </c>
      <c r="C56" s="8">
        <v>1886</v>
      </c>
      <c r="D56" s="9">
        <v>45418</v>
      </c>
      <c r="E56" s="13" t="str">
        <f>+HYPERLINK("http://trademark.i-assist.jp/data/china/image_1886th/76047018.pdf","76047018")</f>
        <v>76047018</v>
      </c>
      <c r="F56" s="7" t="s">
        <v>165</v>
      </c>
      <c r="G56" s="7" t="s">
        <v>166</v>
      </c>
      <c r="H56" s="7" t="s">
        <v>167</v>
      </c>
      <c r="I56" s="9">
        <v>45287</v>
      </c>
    </row>
    <row r="57" spans="1:9" x14ac:dyDescent="0.15">
      <c r="A57" s="6">
        <v>56</v>
      </c>
      <c r="B57" s="7" t="s">
        <v>9</v>
      </c>
      <c r="C57" s="8">
        <v>1886</v>
      </c>
      <c r="D57" s="9">
        <v>45418</v>
      </c>
      <c r="E57" s="13" t="str">
        <f>+HYPERLINK("http://trademark.i-assist.jp/data/china/image_1886th/76073969.pdf","76073969")</f>
        <v>76073969</v>
      </c>
      <c r="F57" s="7" t="s">
        <v>168</v>
      </c>
      <c r="G57" s="7" t="s">
        <v>169</v>
      </c>
      <c r="H57" s="7" t="s">
        <v>170</v>
      </c>
      <c r="I57" s="9">
        <v>45288</v>
      </c>
    </row>
    <row r="58" spans="1:9" x14ac:dyDescent="0.15">
      <c r="A58" s="6">
        <v>57</v>
      </c>
      <c r="B58" s="7" t="s">
        <v>9</v>
      </c>
      <c r="C58" s="8">
        <v>1886</v>
      </c>
      <c r="D58" s="9">
        <v>45418</v>
      </c>
      <c r="E58" s="13" t="str">
        <f>+HYPERLINK("http://trademark.i-assist.jp/data/china/image_1886th/76147332.pdf","76147332")</f>
        <v>76147332</v>
      </c>
      <c r="F58" s="7" t="s">
        <v>171</v>
      </c>
      <c r="G58" s="7" t="s">
        <v>172</v>
      </c>
      <c r="H58" s="7" t="s">
        <v>173</v>
      </c>
      <c r="I58" s="9">
        <v>45293</v>
      </c>
    </row>
    <row r="59" spans="1:9" ht="27" x14ac:dyDescent="0.15">
      <c r="A59" s="6">
        <v>58</v>
      </c>
      <c r="B59" s="7" t="s">
        <v>9</v>
      </c>
      <c r="C59" s="8">
        <v>1886</v>
      </c>
      <c r="D59" s="9">
        <v>45418</v>
      </c>
      <c r="E59" s="13" t="str">
        <f>+HYPERLINK("http://trademark.i-assist.jp/data/china/image_1886th/76167912.pdf","76167912")</f>
        <v>76167912</v>
      </c>
      <c r="F59" s="7" t="s">
        <v>174</v>
      </c>
      <c r="G59" s="7" t="s">
        <v>175</v>
      </c>
      <c r="H59" s="7" t="s">
        <v>176</v>
      </c>
      <c r="I59" s="9">
        <v>45294</v>
      </c>
    </row>
    <row r="60" spans="1:9" x14ac:dyDescent="0.15">
      <c r="A60" s="6">
        <v>59</v>
      </c>
      <c r="B60" s="7" t="s">
        <v>9</v>
      </c>
      <c r="C60" s="8">
        <v>1886</v>
      </c>
      <c r="D60" s="9">
        <v>45418</v>
      </c>
      <c r="E60" s="13" t="str">
        <f>+HYPERLINK("http://trademark.i-assist.jp/data/china/image_1886th/76171794.pdf","76171794")</f>
        <v>76171794</v>
      </c>
      <c r="F60" s="7" t="s">
        <v>177</v>
      </c>
      <c r="G60" s="7" t="s">
        <v>178</v>
      </c>
      <c r="H60" s="7" t="s">
        <v>179</v>
      </c>
      <c r="I60" s="9">
        <v>45294</v>
      </c>
    </row>
    <row r="61" spans="1:9" ht="27" x14ac:dyDescent="0.15">
      <c r="A61" s="6">
        <v>60</v>
      </c>
      <c r="B61" s="7" t="s">
        <v>9</v>
      </c>
      <c r="C61" s="8">
        <v>1886</v>
      </c>
      <c r="D61" s="9">
        <v>45418</v>
      </c>
      <c r="E61" s="13" t="str">
        <f>+HYPERLINK("http://trademark.i-assist.jp/data/china/image_1886th/76178485.pdf","76178485")</f>
        <v>76178485</v>
      </c>
      <c r="F61" s="7" t="s">
        <v>180</v>
      </c>
      <c r="G61" s="7" t="s">
        <v>181</v>
      </c>
      <c r="H61" s="7" t="s">
        <v>182</v>
      </c>
      <c r="I61" s="9">
        <v>45294</v>
      </c>
    </row>
    <row r="62" spans="1:9" x14ac:dyDescent="0.15">
      <c r="A62" s="6">
        <v>61</v>
      </c>
      <c r="B62" s="7" t="s">
        <v>9</v>
      </c>
      <c r="C62" s="8">
        <v>1886</v>
      </c>
      <c r="D62" s="9">
        <v>45418</v>
      </c>
      <c r="E62" s="13" t="str">
        <f>+HYPERLINK("http://trademark.i-assist.jp/data/china/image_1886th/76198850.pdf","76198850")</f>
        <v>76198850</v>
      </c>
      <c r="F62" s="7" t="s">
        <v>183</v>
      </c>
      <c r="G62" s="7" t="s">
        <v>184</v>
      </c>
      <c r="H62" s="7" t="s">
        <v>185</v>
      </c>
      <c r="I62" s="9">
        <v>45295</v>
      </c>
    </row>
    <row r="63" spans="1:9" x14ac:dyDescent="0.15">
      <c r="A63" s="6">
        <v>62</v>
      </c>
      <c r="B63" s="7" t="s">
        <v>9</v>
      </c>
      <c r="C63" s="8">
        <v>1886</v>
      </c>
      <c r="D63" s="9">
        <v>45418</v>
      </c>
      <c r="E63" s="13" t="str">
        <f>+HYPERLINK("http://trademark.i-assist.jp/data/china/image_1886th/76205652.pdf","76205652")</f>
        <v>76205652</v>
      </c>
      <c r="F63" s="7" t="s">
        <v>186</v>
      </c>
      <c r="G63" s="7" t="s">
        <v>187</v>
      </c>
      <c r="H63" s="7" t="s">
        <v>188</v>
      </c>
      <c r="I63" s="9">
        <v>45296</v>
      </c>
    </row>
    <row r="64" spans="1:9" x14ac:dyDescent="0.15">
      <c r="A64" s="6">
        <v>63</v>
      </c>
      <c r="B64" s="7" t="s">
        <v>9</v>
      </c>
      <c r="C64" s="8">
        <v>1886</v>
      </c>
      <c r="D64" s="9">
        <v>45418</v>
      </c>
      <c r="E64" s="13" t="str">
        <f>+HYPERLINK("http://trademark.i-assist.jp/data/china/image_1886th/76226596.pdf","76226596")</f>
        <v>76226596</v>
      </c>
      <c r="F64" s="7" t="s">
        <v>189</v>
      </c>
      <c r="G64" s="7" t="s">
        <v>190</v>
      </c>
      <c r="H64" s="7" t="s">
        <v>191</v>
      </c>
      <c r="I64" s="9">
        <v>45296</v>
      </c>
    </row>
    <row r="65" spans="1:9" x14ac:dyDescent="0.15">
      <c r="A65" s="6">
        <v>64</v>
      </c>
      <c r="B65" s="7" t="s">
        <v>9</v>
      </c>
      <c r="C65" s="8">
        <v>1886</v>
      </c>
      <c r="D65" s="9">
        <v>45418</v>
      </c>
      <c r="E65" s="13" t="str">
        <f>+HYPERLINK("http://trademark.i-assist.jp/data/china/image_1886th/76250554A.pdf","76250554A")</f>
        <v>76250554A</v>
      </c>
      <c r="F65" s="7" t="s">
        <v>192</v>
      </c>
      <c r="G65" s="7" t="s">
        <v>193</v>
      </c>
      <c r="H65" s="7" t="s">
        <v>10</v>
      </c>
      <c r="I65" s="9">
        <v>45299</v>
      </c>
    </row>
    <row r="66" spans="1:9" x14ac:dyDescent="0.15">
      <c r="A66" s="6">
        <v>65</v>
      </c>
      <c r="B66" s="7" t="s">
        <v>9</v>
      </c>
      <c r="C66" s="8">
        <v>1886</v>
      </c>
      <c r="D66" s="9">
        <v>45418</v>
      </c>
      <c r="E66" s="13" t="str">
        <f>+HYPERLINK("http://trademark.i-assist.jp/data/china/image_1886th/76257922.pdf","76257922")</f>
        <v>76257922</v>
      </c>
      <c r="F66" s="7" t="s">
        <v>194</v>
      </c>
      <c r="G66" s="7" t="s">
        <v>195</v>
      </c>
      <c r="H66" s="7" t="s">
        <v>196</v>
      </c>
      <c r="I66" s="9">
        <v>45299</v>
      </c>
    </row>
    <row r="67" spans="1:9" x14ac:dyDescent="0.15">
      <c r="A67" s="6">
        <v>66</v>
      </c>
      <c r="B67" s="7" t="s">
        <v>9</v>
      </c>
      <c r="C67" s="8">
        <v>1886</v>
      </c>
      <c r="D67" s="9">
        <v>45418</v>
      </c>
      <c r="E67" s="13" t="str">
        <f>+HYPERLINK("http://trademark.i-assist.jp/data/china/image_1886th/76259138.pdf","76259138")</f>
        <v>76259138</v>
      </c>
      <c r="F67" s="7" t="s">
        <v>197</v>
      </c>
      <c r="G67" s="7" t="s">
        <v>198</v>
      </c>
      <c r="H67" s="7" t="s">
        <v>199</v>
      </c>
      <c r="I67" s="9">
        <v>45299</v>
      </c>
    </row>
    <row r="68" spans="1:9" x14ac:dyDescent="0.15">
      <c r="A68" s="6">
        <v>67</v>
      </c>
      <c r="B68" s="7" t="s">
        <v>9</v>
      </c>
      <c r="C68" s="8">
        <v>1886</v>
      </c>
      <c r="D68" s="9">
        <v>45418</v>
      </c>
      <c r="E68" s="13" t="str">
        <f>+HYPERLINK("http://trademark.i-assist.jp/data/china/image_1886th/76259198.pdf","76259198")</f>
        <v>76259198</v>
      </c>
      <c r="F68" s="7" t="s">
        <v>200</v>
      </c>
      <c r="G68" s="7" t="s">
        <v>201</v>
      </c>
      <c r="H68" s="7" t="s">
        <v>144</v>
      </c>
      <c r="I68" s="9">
        <v>45299</v>
      </c>
    </row>
    <row r="69" spans="1:9" ht="27" x14ac:dyDescent="0.15">
      <c r="A69" s="6">
        <v>68</v>
      </c>
      <c r="B69" s="7" t="s">
        <v>9</v>
      </c>
      <c r="C69" s="8">
        <v>1886</v>
      </c>
      <c r="D69" s="9">
        <v>45418</v>
      </c>
      <c r="E69" s="13" t="str">
        <f>+HYPERLINK("http://trademark.i-assist.jp/data/china/image_1886th/76260044.pdf","76260044")</f>
        <v>76260044</v>
      </c>
      <c r="F69" s="7" t="s">
        <v>202</v>
      </c>
      <c r="G69" s="7" t="s">
        <v>203</v>
      </c>
      <c r="H69" s="7" t="s">
        <v>204</v>
      </c>
      <c r="I69" s="9">
        <v>45299</v>
      </c>
    </row>
    <row r="70" spans="1:9" x14ac:dyDescent="0.15">
      <c r="A70" s="6">
        <v>69</v>
      </c>
      <c r="B70" s="7" t="s">
        <v>9</v>
      </c>
      <c r="C70" s="8">
        <v>1886</v>
      </c>
      <c r="D70" s="9">
        <v>45418</v>
      </c>
      <c r="E70" s="13" t="str">
        <f>+HYPERLINK("http://trademark.i-assist.jp/data/china/image_1886th/76265049.pdf","76265049")</f>
        <v>76265049</v>
      </c>
      <c r="F70" s="7" t="s">
        <v>205</v>
      </c>
      <c r="G70" s="7" t="s">
        <v>206</v>
      </c>
      <c r="H70" s="7" t="s">
        <v>207</v>
      </c>
      <c r="I70" s="9">
        <v>45299</v>
      </c>
    </row>
    <row r="71" spans="1:9" ht="27" x14ac:dyDescent="0.15">
      <c r="A71" s="6">
        <v>70</v>
      </c>
      <c r="B71" s="7" t="s">
        <v>9</v>
      </c>
      <c r="C71" s="8">
        <v>1886</v>
      </c>
      <c r="D71" s="9">
        <v>45418</v>
      </c>
      <c r="E71" s="13" t="str">
        <f>+HYPERLINK("http://trademark.i-assist.jp/data/china/image_1886th/76266632.pdf","76266632")</f>
        <v>76266632</v>
      </c>
      <c r="F71" s="7" t="s">
        <v>208</v>
      </c>
      <c r="G71" s="7" t="s">
        <v>209</v>
      </c>
      <c r="H71" s="7" t="s">
        <v>210</v>
      </c>
      <c r="I71" s="9">
        <v>45299</v>
      </c>
    </row>
    <row r="72" spans="1:9" x14ac:dyDescent="0.15">
      <c r="A72" s="6">
        <v>71</v>
      </c>
      <c r="B72" s="7" t="s">
        <v>9</v>
      </c>
      <c r="C72" s="8">
        <v>1886</v>
      </c>
      <c r="D72" s="9">
        <v>45418</v>
      </c>
      <c r="E72" s="13" t="str">
        <f>+HYPERLINK("http://trademark.i-assist.jp/data/china/image_1886th/76282521.pdf","76282521")</f>
        <v>76282521</v>
      </c>
      <c r="F72" s="7" t="s">
        <v>211</v>
      </c>
      <c r="G72" s="7" t="s">
        <v>212</v>
      </c>
      <c r="H72" s="7" t="s">
        <v>213</v>
      </c>
      <c r="I72" s="9">
        <v>45300</v>
      </c>
    </row>
    <row r="73" spans="1:9" x14ac:dyDescent="0.15">
      <c r="A73" s="6">
        <v>72</v>
      </c>
      <c r="B73" s="7" t="s">
        <v>9</v>
      </c>
      <c r="C73" s="8">
        <v>1886</v>
      </c>
      <c r="D73" s="9">
        <v>45418</v>
      </c>
      <c r="E73" s="13" t="str">
        <f>+HYPERLINK("http://trademark.i-assist.jp/data/china/image_1886th/76286862.pdf","76286862")</f>
        <v>76286862</v>
      </c>
      <c r="F73" s="7" t="s">
        <v>214</v>
      </c>
      <c r="G73" s="7" t="s">
        <v>215</v>
      </c>
      <c r="H73" s="7" t="s">
        <v>216</v>
      </c>
      <c r="I73" s="9">
        <v>45300</v>
      </c>
    </row>
    <row r="74" spans="1:9" x14ac:dyDescent="0.15">
      <c r="A74" s="6">
        <v>73</v>
      </c>
      <c r="B74" s="7" t="s">
        <v>9</v>
      </c>
      <c r="C74" s="8">
        <v>1886</v>
      </c>
      <c r="D74" s="9">
        <v>45418</v>
      </c>
      <c r="E74" s="13" t="str">
        <f>+HYPERLINK("http://trademark.i-assist.jp/data/china/image_1886th/76296159.pdf","76296159")</f>
        <v>76296159</v>
      </c>
      <c r="F74" s="7" t="s">
        <v>33</v>
      </c>
      <c r="G74" s="7" t="s">
        <v>217</v>
      </c>
      <c r="H74" s="7" t="s">
        <v>218</v>
      </c>
      <c r="I74" s="9">
        <v>45301</v>
      </c>
    </row>
    <row r="75" spans="1:9" x14ac:dyDescent="0.15">
      <c r="A75" s="6">
        <v>74</v>
      </c>
      <c r="B75" s="7" t="s">
        <v>9</v>
      </c>
      <c r="C75" s="8">
        <v>1886</v>
      </c>
      <c r="D75" s="9">
        <v>45418</v>
      </c>
      <c r="E75" s="13" t="str">
        <f>+HYPERLINK("http://trademark.i-assist.jp/data/china/image_1886th/76298573.pdf","76298573")</f>
        <v>76298573</v>
      </c>
      <c r="F75" s="7" t="s">
        <v>33</v>
      </c>
      <c r="G75" s="7" t="s">
        <v>219</v>
      </c>
      <c r="H75" s="7" t="s">
        <v>220</v>
      </c>
      <c r="I75" s="9">
        <v>45301</v>
      </c>
    </row>
    <row r="76" spans="1:9" x14ac:dyDescent="0.15">
      <c r="A76" s="6">
        <v>75</v>
      </c>
      <c r="B76" s="7" t="s">
        <v>9</v>
      </c>
      <c r="C76" s="8">
        <v>1886</v>
      </c>
      <c r="D76" s="9">
        <v>45418</v>
      </c>
      <c r="E76" s="13" t="str">
        <f>+HYPERLINK("http://trademark.i-assist.jp/data/china/image_1886th/76303061.pdf","76303061")</f>
        <v>76303061</v>
      </c>
      <c r="F76" s="7" t="s">
        <v>221</v>
      </c>
      <c r="G76" s="7" t="s">
        <v>217</v>
      </c>
      <c r="H76" s="7" t="s">
        <v>222</v>
      </c>
      <c r="I76" s="9">
        <v>45301</v>
      </c>
    </row>
    <row r="77" spans="1:9" x14ac:dyDescent="0.15">
      <c r="A77" s="6">
        <v>76</v>
      </c>
      <c r="B77" s="7" t="s">
        <v>9</v>
      </c>
      <c r="C77" s="8">
        <v>1886</v>
      </c>
      <c r="D77" s="9">
        <v>45418</v>
      </c>
      <c r="E77" s="13" t="str">
        <f>+HYPERLINK("http://trademark.i-assist.jp/data/china/image_1886th/76309494.pdf","76309494")</f>
        <v>76309494</v>
      </c>
      <c r="F77" s="7" t="s">
        <v>223</v>
      </c>
      <c r="G77" s="7" t="s">
        <v>224</v>
      </c>
      <c r="H77" s="7" t="s">
        <v>225</v>
      </c>
      <c r="I77" s="9">
        <v>45301</v>
      </c>
    </row>
    <row r="78" spans="1:9" x14ac:dyDescent="0.15">
      <c r="A78" s="6">
        <v>77</v>
      </c>
      <c r="B78" s="7" t="s">
        <v>9</v>
      </c>
      <c r="C78" s="8">
        <v>1886</v>
      </c>
      <c r="D78" s="9">
        <v>45418</v>
      </c>
      <c r="E78" s="13" t="str">
        <f>+HYPERLINK("http://trademark.i-assist.jp/data/china/image_1886th/76312700.pdf","76312700")</f>
        <v>76312700</v>
      </c>
      <c r="F78" s="7" t="s">
        <v>226</v>
      </c>
      <c r="G78" s="7" t="s">
        <v>227</v>
      </c>
      <c r="H78" s="7" t="s">
        <v>228</v>
      </c>
      <c r="I78" s="9">
        <v>45301</v>
      </c>
    </row>
    <row r="79" spans="1:9" x14ac:dyDescent="0.15">
      <c r="A79" s="6">
        <v>78</v>
      </c>
      <c r="B79" s="7" t="s">
        <v>9</v>
      </c>
      <c r="C79" s="8">
        <v>1886</v>
      </c>
      <c r="D79" s="9">
        <v>45418</v>
      </c>
      <c r="E79" s="13" t="str">
        <f>+HYPERLINK("http://trademark.i-assist.jp/data/china/image_1886th/76315534.pdf","76315534")</f>
        <v>76315534</v>
      </c>
      <c r="F79" s="7" t="s">
        <v>229</v>
      </c>
      <c r="G79" s="7" t="s">
        <v>230</v>
      </c>
      <c r="H79" s="7" t="s">
        <v>231</v>
      </c>
      <c r="I79" s="9">
        <v>45301</v>
      </c>
    </row>
    <row r="80" spans="1:9" x14ac:dyDescent="0.15">
      <c r="A80" s="6">
        <v>79</v>
      </c>
      <c r="B80" s="7" t="s">
        <v>9</v>
      </c>
      <c r="C80" s="8">
        <v>1886</v>
      </c>
      <c r="D80" s="9">
        <v>45418</v>
      </c>
      <c r="E80" s="13" t="str">
        <f>+HYPERLINK("http://trademark.i-assist.jp/data/china/image_1886th/76327809.pdf","76327809")</f>
        <v>76327809</v>
      </c>
      <c r="F80" s="7" t="s">
        <v>232</v>
      </c>
      <c r="G80" s="7" t="s">
        <v>233</v>
      </c>
      <c r="H80" s="7" t="s">
        <v>234</v>
      </c>
      <c r="I80" s="9">
        <v>45302</v>
      </c>
    </row>
    <row r="81" spans="1:9" x14ac:dyDescent="0.15">
      <c r="A81" s="6">
        <v>80</v>
      </c>
      <c r="B81" s="7" t="s">
        <v>9</v>
      </c>
      <c r="C81" s="8">
        <v>1886</v>
      </c>
      <c r="D81" s="9">
        <v>45418</v>
      </c>
      <c r="E81" s="13" t="str">
        <f>+HYPERLINK("http://trademark.i-assist.jp/data/china/image_1886th/76327914.pdf","76327914")</f>
        <v>76327914</v>
      </c>
      <c r="F81" s="7" t="s">
        <v>235</v>
      </c>
      <c r="G81" s="7" t="s">
        <v>236</v>
      </c>
      <c r="H81" s="7" t="s">
        <v>237</v>
      </c>
      <c r="I81" s="9">
        <v>45302</v>
      </c>
    </row>
    <row r="82" spans="1:9" x14ac:dyDescent="0.15">
      <c r="A82" s="6">
        <v>81</v>
      </c>
      <c r="B82" s="7" t="s">
        <v>9</v>
      </c>
      <c r="C82" s="8">
        <v>1886</v>
      </c>
      <c r="D82" s="9">
        <v>45418</v>
      </c>
      <c r="E82" s="13" t="str">
        <f>+HYPERLINK("http://trademark.i-assist.jp/data/china/image_1886th/76328800.pdf","76328800")</f>
        <v>76328800</v>
      </c>
      <c r="F82" s="7" t="s">
        <v>238</v>
      </c>
      <c r="G82" s="7" t="s">
        <v>239</v>
      </c>
      <c r="H82" s="7" t="s">
        <v>240</v>
      </c>
      <c r="I82" s="9">
        <v>45302</v>
      </c>
    </row>
    <row r="83" spans="1:9" x14ac:dyDescent="0.15">
      <c r="A83" s="6">
        <v>82</v>
      </c>
      <c r="B83" s="7" t="s">
        <v>9</v>
      </c>
      <c r="C83" s="8">
        <v>1886</v>
      </c>
      <c r="D83" s="9">
        <v>45418</v>
      </c>
      <c r="E83" s="13" t="str">
        <f>+HYPERLINK("http://trademark.i-assist.jp/data/china/image_1886th/76335480.pdf","76335480")</f>
        <v>76335480</v>
      </c>
      <c r="F83" s="7" t="s">
        <v>241</v>
      </c>
      <c r="G83" s="7" t="s">
        <v>242</v>
      </c>
      <c r="H83" s="7" t="s">
        <v>243</v>
      </c>
      <c r="I83" s="9">
        <v>45302</v>
      </c>
    </row>
    <row r="84" spans="1:9" x14ac:dyDescent="0.15">
      <c r="A84" s="6">
        <v>83</v>
      </c>
      <c r="B84" s="7" t="s">
        <v>9</v>
      </c>
      <c r="C84" s="8">
        <v>1886</v>
      </c>
      <c r="D84" s="9">
        <v>45418</v>
      </c>
      <c r="E84" s="13" t="str">
        <f>+HYPERLINK("http://trademark.i-assist.jp/data/china/image_1886th/76339693.pdf","76339693")</f>
        <v>76339693</v>
      </c>
      <c r="F84" s="7" t="s">
        <v>244</v>
      </c>
      <c r="G84" s="7" t="s">
        <v>245</v>
      </c>
      <c r="H84" s="7" t="s">
        <v>246</v>
      </c>
      <c r="I84" s="9">
        <v>45302</v>
      </c>
    </row>
    <row r="85" spans="1:9" x14ac:dyDescent="0.15">
      <c r="A85" s="6">
        <v>84</v>
      </c>
      <c r="B85" s="7" t="s">
        <v>9</v>
      </c>
      <c r="C85" s="8">
        <v>1886</v>
      </c>
      <c r="D85" s="9">
        <v>45418</v>
      </c>
      <c r="E85" s="13" t="str">
        <f>+HYPERLINK("http://trademark.i-assist.jp/data/china/image_1886th/76340156.pdf","76340156")</f>
        <v>76340156</v>
      </c>
      <c r="F85" s="7" t="s">
        <v>247</v>
      </c>
      <c r="G85" s="7" t="s">
        <v>248</v>
      </c>
      <c r="H85" s="7" t="s">
        <v>249</v>
      </c>
      <c r="I85" s="9">
        <v>45302</v>
      </c>
    </row>
    <row r="86" spans="1:9" x14ac:dyDescent="0.15">
      <c r="A86" s="6">
        <v>85</v>
      </c>
      <c r="B86" s="7" t="s">
        <v>9</v>
      </c>
      <c r="C86" s="8">
        <v>1886</v>
      </c>
      <c r="D86" s="9">
        <v>45418</v>
      </c>
      <c r="E86" s="13" t="str">
        <f>+HYPERLINK("http://trademark.i-assist.jp/data/china/image_1886th/76342885.pdf","76342885")</f>
        <v>76342885</v>
      </c>
      <c r="F86" s="7" t="s">
        <v>250</v>
      </c>
      <c r="G86" s="7" t="s">
        <v>251</v>
      </c>
      <c r="H86" s="7" t="s">
        <v>252</v>
      </c>
      <c r="I86" s="9">
        <v>45302</v>
      </c>
    </row>
    <row r="87" spans="1:9" x14ac:dyDescent="0.15">
      <c r="A87" s="6">
        <v>86</v>
      </c>
      <c r="B87" s="7" t="s">
        <v>9</v>
      </c>
      <c r="C87" s="8">
        <v>1886</v>
      </c>
      <c r="D87" s="9">
        <v>45418</v>
      </c>
      <c r="E87" s="13" t="str">
        <f>+HYPERLINK("http://trademark.i-assist.jp/data/china/image_1886th/76342925.pdf","76342925")</f>
        <v>76342925</v>
      </c>
      <c r="F87" s="7" t="s">
        <v>253</v>
      </c>
      <c r="G87" s="7" t="s">
        <v>254</v>
      </c>
      <c r="H87" s="7" t="s">
        <v>255</v>
      </c>
      <c r="I87" s="9">
        <v>45302</v>
      </c>
    </row>
    <row r="88" spans="1:9" x14ac:dyDescent="0.15">
      <c r="A88" s="6">
        <v>87</v>
      </c>
      <c r="B88" s="7" t="s">
        <v>9</v>
      </c>
      <c r="C88" s="8">
        <v>1886</v>
      </c>
      <c r="D88" s="9">
        <v>45418</v>
      </c>
      <c r="E88" s="13" t="str">
        <f>+HYPERLINK("http://trademark.i-assist.jp/data/china/image_1886th/76347566.pdf","76347566")</f>
        <v>76347566</v>
      </c>
      <c r="F88" s="7" t="s">
        <v>256</v>
      </c>
      <c r="G88" s="7" t="s">
        <v>257</v>
      </c>
      <c r="H88" s="7" t="s">
        <v>258</v>
      </c>
      <c r="I88" s="9">
        <v>45303</v>
      </c>
    </row>
    <row r="89" spans="1:9" x14ac:dyDescent="0.15">
      <c r="A89" s="6">
        <v>88</v>
      </c>
      <c r="B89" s="7" t="s">
        <v>9</v>
      </c>
      <c r="C89" s="8">
        <v>1886</v>
      </c>
      <c r="D89" s="9">
        <v>45418</v>
      </c>
      <c r="E89" s="13" t="str">
        <f>+HYPERLINK("http://trademark.i-assist.jp/data/china/image_1886th/76358805.pdf","76358805")</f>
        <v>76358805</v>
      </c>
      <c r="F89" s="7" t="s">
        <v>259</v>
      </c>
      <c r="G89" s="7" t="s">
        <v>260</v>
      </c>
      <c r="H89" s="7" t="s">
        <v>261</v>
      </c>
      <c r="I89" s="9">
        <v>45303</v>
      </c>
    </row>
    <row r="90" spans="1:9" x14ac:dyDescent="0.15">
      <c r="A90" s="6">
        <v>89</v>
      </c>
      <c r="B90" s="7" t="s">
        <v>9</v>
      </c>
      <c r="C90" s="8">
        <v>1886</v>
      </c>
      <c r="D90" s="9">
        <v>45418</v>
      </c>
      <c r="E90" s="13" t="str">
        <f>+HYPERLINK("http://trademark.i-assist.jp/data/china/image_1886th/76360833.pdf","76360833")</f>
        <v>76360833</v>
      </c>
      <c r="F90" s="7" t="s">
        <v>262</v>
      </c>
      <c r="G90" s="7" t="s">
        <v>263</v>
      </c>
      <c r="H90" s="7" t="s">
        <v>264</v>
      </c>
      <c r="I90" s="9">
        <v>45303</v>
      </c>
    </row>
    <row r="91" spans="1:9" x14ac:dyDescent="0.15">
      <c r="A91" s="6">
        <v>90</v>
      </c>
      <c r="B91" s="7" t="s">
        <v>9</v>
      </c>
      <c r="C91" s="8">
        <v>1886</v>
      </c>
      <c r="D91" s="9">
        <v>45418</v>
      </c>
      <c r="E91" s="13" t="str">
        <f>+HYPERLINK("http://trademark.i-assist.jp/data/china/image_1886th/76362139.pdf","76362139")</f>
        <v>76362139</v>
      </c>
      <c r="F91" s="7" t="s">
        <v>265</v>
      </c>
      <c r="G91" s="7" t="s">
        <v>266</v>
      </c>
      <c r="H91" s="7" t="s">
        <v>267</v>
      </c>
      <c r="I91" s="9">
        <v>45303</v>
      </c>
    </row>
    <row r="92" spans="1:9" x14ac:dyDescent="0.15">
      <c r="A92" s="6">
        <v>91</v>
      </c>
      <c r="B92" s="7" t="s">
        <v>9</v>
      </c>
      <c r="C92" s="8">
        <v>1886</v>
      </c>
      <c r="D92" s="9">
        <v>45418</v>
      </c>
      <c r="E92" s="13" t="str">
        <f>+HYPERLINK("http://trademark.i-assist.jp/data/china/image_1886th/76362179.pdf","76362179")</f>
        <v>76362179</v>
      </c>
      <c r="F92" s="7" t="s">
        <v>268</v>
      </c>
      <c r="G92" s="7" t="s">
        <v>269</v>
      </c>
      <c r="H92" s="7" t="s">
        <v>270</v>
      </c>
      <c r="I92" s="9">
        <v>45303</v>
      </c>
    </row>
    <row r="93" spans="1:9" x14ac:dyDescent="0.15">
      <c r="A93" s="6">
        <v>92</v>
      </c>
      <c r="B93" s="7" t="s">
        <v>9</v>
      </c>
      <c r="C93" s="8">
        <v>1886</v>
      </c>
      <c r="D93" s="9">
        <v>45418</v>
      </c>
      <c r="E93" s="13" t="str">
        <f>+HYPERLINK("http://trademark.i-assist.jp/data/china/image_1886th/76363208.pdf","76363208")</f>
        <v>76363208</v>
      </c>
      <c r="F93" s="7" t="s">
        <v>271</v>
      </c>
      <c r="G93" s="7" t="s">
        <v>272</v>
      </c>
      <c r="H93" s="7" t="s">
        <v>273</v>
      </c>
      <c r="I93" s="9">
        <v>45303</v>
      </c>
    </row>
    <row r="94" spans="1:9" x14ac:dyDescent="0.15">
      <c r="A94" s="6">
        <v>93</v>
      </c>
      <c r="B94" s="7" t="s">
        <v>9</v>
      </c>
      <c r="C94" s="8">
        <v>1886</v>
      </c>
      <c r="D94" s="9">
        <v>45418</v>
      </c>
      <c r="E94" s="13" t="str">
        <f>+HYPERLINK("http://trademark.i-assist.jp/data/china/image_1886th/76366031.pdf","76366031")</f>
        <v>76366031</v>
      </c>
      <c r="F94" s="7" t="s">
        <v>274</v>
      </c>
      <c r="G94" s="7" t="s">
        <v>275</v>
      </c>
      <c r="H94" s="7" t="s">
        <v>276</v>
      </c>
      <c r="I94" s="9">
        <v>45303</v>
      </c>
    </row>
    <row r="95" spans="1:9" x14ac:dyDescent="0.15">
      <c r="A95" s="6">
        <v>94</v>
      </c>
      <c r="B95" s="7" t="s">
        <v>9</v>
      </c>
      <c r="C95" s="8">
        <v>1886</v>
      </c>
      <c r="D95" s="9">
        <v>45418</v>
      </c>
      <c r="E95" s="13" t="str">
        <f>+HYPERLINK("http://trademark.i-assist.jp/data/china/image_1886th/76368152.pdf","76368152")</f>
        <v>76368152</v>
      </c>
      <c r="F95" s="7" t="s">
        <v>277</v>
      </c>
      <c r="G95" s="7" t="s">
        <v>278</v>
      </c>
      <c r="H95" s="7" t="s">
        <v>279</v>
      </c>
      <c r="I95" s="9">
        <v>45303</v>
      </c>
    </row>
    <row r="96" spans="1:9" x14ac:dyDescent="0.15">
      <c r="A96" s="6">
        <v>95</v>
      </c>
      <c r="B96" s="7" t="s">
        <v>9</v>
      </c>
      <c r="C96" s="8">
        <v>1886</v>
      </c>
      <c r="D96" s="9">
        <v>45418</v>
      </c>
      <c r="E96" s="13" t="str">
        <f>+HYPERLINK("http://trademark.i-assist.jp/data/china/image_1886th/76368209.pdf","76368209")</f>
        <v>76368209</v>
      </c>
      <c r="F96" s="7" t="s">
        <v>280</v>
      </c>
      <c r="G96" s="7" t="s">
        <v>281</v>
      </c>
      <c r="H96" s="7" t="s">
        <v>282</v>
      </c>
      <c r="I96" s="9">
        <v>45303</v>
      </c>
    </row>
    <row r="97" spans="1:9" x14ac:dyDescent="0.15">
      <c r="A97" s="6">
        <v>96</v>
      </c>
      <c r="B97" s="7" t="s">
        <v>9</v>
      </c>
      <c r="C97" s="8">
        <v>1886</v>
      </c>
      <c r="D97" s="9">
        <v>45418</v>
      </c>
      <c r="E97" s="13" t="str">
        <f>+HYPERLINK("http://trademark.i-assist.jp/data/china/image_1886th/76375595.pdf","76375595")</f>
        <v>76375595</v>
      </c>
      <c r="F97" s="7" t="s">
        <v>283</v>
      </c>
      <c r="G97" s="7" t="s">
        <v>284</v>
      </c>
      <c r="H97" s="7" t="s">
        <v>285</v>
      </c>
      <c r="I97" s="9">
        <v>45304</v>
      </c>
    </row>
    <row r="98" spans="1:9" x14ac:dyDescent="0.15">
      <c r="A98" s="6">
        <v>97</v>
      </c>
      <c r="B98" s="7" t="s">
        <v>9</v>
      </c>
      <c r="C98" s="8">
        <v>1886</v>
      </c>
      <c r="D98" s="9">
        <v>45418</v>
      </c>
      <c r="E98" s="13" t="str">
        <f>+HYPERLINK("http://trademark.i-assist.jp/data/china/image_1886th/76380470.pdf","76380470")</f>
        <v>76380470</v>
      </c>
      <c r="F98" s="7" t="s">
        <v>286</v>
      </c>
      <c r="G98" s="7" t="s">
        <v>287</v>
      </c>
      <c r="H98" s="7" t="s">
        <v>288</v>
      </c>
      <c r="I98" s="9">
        <v>45306</v>
      </c>
    </row>
    <row r="99" spans="1:9" ht="27" x14ac:dyDescent="0.15">
      <c r="A99" s="6">
        <v>98</v>
      </c>
      <c r="B99" s="7" t="s">
        <v>9</v>
      </c>
      <c r="C99" s="8">
        <v>1886</v>
      </c>
      <c r="D99" s="9">
        <v>45418</v>
      </c>
      <c r="E99" s="13" t="str">
        <f>+HYPERLINK("http://trademark.i-assist.jp/data/china/image_1886th/76381073A.pdf","76381073A")</f>
        <v>76381073A</v>
      </c>
      <c r="F99" s="7" t="s">
        <v>289</v>
      </c>
      <c r="G99" s="7" t="s">
        <v>290</v>
      </c>
      <c r="H99" s="7" t="s">
        <v>291</v>
      </c>
      <c r="I99" s="9">
        <v>45306</v>
      </c>
    </row>
    <row r="100" spans="1:9" x14ac:dyDescent="0.15">
      <c r="A100" s="6">
        <v>99</v>
      </c>
      <c r="B100" s="7" t="s">
        <v>9</v>
      </c>
      <c r="C100" s="8">
        <v>1886</v>
      </c>
      <c r="D100" s="9">
        <v>45418</v>
      </c>
      <c r="E100" s="13" t="str">
        <f>+HYPERLINK("http://trademark.i-assist.jp/data/china/image_1886th/76385167.pdf","76385167")</f>
        <v>76385167</v>
      </c>
      <c r="F100" s="7" t="s">
        <v>292</v>
      </c>
      <c r="G100" s="7" t="s">
        <v>293</v>
      </c>
      <c r="H100" s="7" t="s">
        <v>294</v>
      </c>
      <c r="I100" s="9">
        <v>45306</v>
      </c>
    </row>
    <row r="101" spans="1:9" ht="27" x14ac:dyDescent="0.15">
      <c r="A101" s="6">
        <v>100</v>
      </c>
      <c r="B101" s="7" t="s">
        <v>9</v>
      </c>
      <c r="C101" s="8">
        <v>1886</v>
      </c>
      <c r="D101" s="9">
        <v>45418</v>
      </c>
      <c r="E101" s="13" t="str">
        <f>+HYPERLINK("http://trademark.i-assist.jp/data/china/image_1886th/76385597.pdf","76385597")</f>
        <v>76385597</v>
      </c>
      <c r="F101" s="7" t="s">
        <v>295</v>
      </c>
      <c r="G101" s="7" t="s">
        <v>296</v>
      </c>
      <c r="H101" s="7" t="s">
        <v>297</v>
      </c>
      <c r="I101" s="9">
        <v>45306</v>
      </c>
    </row>
    <row r="102" spans="1:9" x14ac:dyDescent="0.15">
      <c r="A102" s="6">
        <v>101</v>
      </c>
      <c r="B102" s="7" t="s">
        <v>9</v>
      </c>
      <c r="C102" s="8">
        <v>1886</v>
      </c>
      <c r="D102" s="9">
        <v>45418</v>
      </c>
      <c r="E102" s="13" t="str">
        <f>+HYPERLINK("http://trademark.i-assist.jp/data/china/image_1886th/76388598.pdf","76388598")</f>
        <v>76388598</v>
      </c>
      <c r="F102" s="7" t="s">
        <v>298</v>
      </c>
      <c r="G102" s="7" t="s">
        <v>299</v>
      </c>
      <c r="H102" s="7" t="s">
        <v>300</v>
      </c>
      <c r="I102" s="9">
        <v>45306</v>
      </c>
    </row>
    <row r="103" spans="1:9" ht="27" x14ac:dyDescent="0.15">
      <c r="A103" s="6">
        <v>102</v>
      </c>
      <c r="B103" s="7" t="s">
        <v>9</v>
      </c>
      <c r="C103" s="8">
        <v>1886</v>
      </c>
      <c r="D103" s="9">
        <v>45418</v>
      </c>
      <c r="E103" s="13" t="str">
        <f>+HYPERLINK("http://trademark.i-assist.jp/data/china/image_1886th/76394169.pdf","76394169")</f>
        <v>76394169</v>
      </c>
      <c r="F103" s="7" t="s">
        <v>301</v>
      </c>
      <c r="G103" s="7" t="s">
        <v>302</v>
      </c>
      <c r="H103" s="7" t="s">
        <v>303</v>
      </c>
      <c r="I103" s="9">
        <v>45306</v>
      </c>
    </row>
    <row r="104" spans="1:9" x14ac:dyDescent="0.15">
      <c r="A104" s="6">
        <v>103</v>
      </c>
      <c r="B104" s="7" t="s">
        <v>9</v>
      </c>
      <c r="C104" s="8">
        <v>1886</v>
      </c>
      <c r="D104" s="9">
        <v>45418</v>
      </c>
      <c r="E104" s="13" t="str">
        <f>+HYPERLINK("http://trademark.i-assist.jp/data/china/image_1886th/76396565A.pdf","76396565A")</f>
        <v>76396565A</v>
      </c>
      <c r="F104" s="7" t="s">
        <v>304</v>
      </c>
      <c r="G104" s="7" t="s">
        <v>305</v>
      </c>
      <c r="H104" s="7" t="s">
        <v>306</v>
      </c>
      <c r="I104" s="9">
        <v>45306</v>
      </c>
    </row>
    <row r="105" spans="1:9" x14ac:dyDescent="0.15">
      <c r="A105" s="6">
        <v>104</v>
      </c>
      <c r="B105" s="7" t="s">
        <v>9</v>
      </c>
      <c r="C105" s="8">
        <v>1886</v>
      </c>
      <c r="D105" s="9">
        <v>45418</v>
      </c>
      <c r="E105" s="13" t="str">
        <f>+HYPERLINK("http://trademark.i-assist.jp/data/china/image_1886th/76407392.pdf","76407392")</f>
        <v>76407392</v>
      </c>
      <c r="F105" s="7" t="s">
        <v>307</v>
      </c>
      <c r="G105" s="7" t="s">
        <v>308</v>
      </c>
      <c r="H105" s="7" t="s">
        <v>309</v>
      </c>
      <c r="I105" s="9">
        <v>45307</v>
      </c>
    </row>
    <row r="106" spans="1:9" x14ac:dyDescent="0.15">
      <c r="A106" s="6">
        <v>105</v>
      </c>
      <c r="B106" s="7" t="s">
        <v>9</v>
      </c>
      <c r="C106" s="8">
        <v>1886</v>
      </c>
      <c r="D106" s="9">
        <v>45418</v>
      </c>
      <c r="E106" s="13" t="str">
        <f>+HYPERLINK("http://trademark.i-assist.jp/data/china/image_1886th/76411245.pdf","76411245")</f>
        <v>76411245</v>
      </c>
      <c r="F106" s="7" t="s">
        <v>310</v>
      </c>
      <c r="G106" s="7" t="s">
        <v>311</v>
      </c>
      <c r="H106" s="7" t="s">
        <v>312</v>
      </c>
      <c r="I106" s="9">
        <v>45307</v>
      </c>
    </row>
    <row r="107" spans="1:9" x14ac:dyDescent="0.15">
      <c r="A107" s="6">
        <v>106</v>
      </c>
      <c r="B107" s="7" t="s">
        <v>9</v>
      </c>
      <c r="C107" s="8">
        <v>1886</v>
      </c>
      <c r="D107" s="9">
        <v>45418</v>
      </c>
      <c r="E107" s="13" t="str">
        <f>+HYPERLINK("http://trademark.i-assist.jp/data/china/image_1886th/76411580.pdf","76411580")</f>
        <v>76411580</v>
      </c>
      <c r="F107" s="7" t="s">
        <v>313</v>
      </c>
      <c r="G107" s="7" t="s">
        <v>314</v>
      </c>
      <c r="H107" s="7" t="s">
        <v>315</v>
      </c>
      <c r="I107" s="9">
        <v>45307</v>
      </c>
    </row>
    <row r="108" spans="1:9" x14ac:dyDescent="0.15">
      <c r="A108" s="6">
        <v>107</v>
      </c>
      <c r="B108" s="7" t="s">
        <v>9</v>
      </c>
      <c r="C108" s="8">
        <v>1886</v>
      </c>
      <c r="D108" s="9">
        <v>45418</v>
      </c>
      <c r="E108" s="13" t="str">
        <f>+HYPERLINK("http://trademark.i-assist.jp/data/china/image_1886th/76414250.pdf","76414250")</f>
        <v>76414250</v>
      </c>
      <c r="F108" s="7" t="s">
        <v>316</v>
      </c>
      <c r="G108" s="7" t="s">
        <v>317</v>
      </c>
      <c r="H108" s="7" t="s">
        <v>318</v>
      </c>
      <c r="I108" s="9">
        <v>45307</v>
      </c>
    </row>
    <row r="109" spans="1:9" x14ac:dyDescent="0.15">
      <c r="A109" s="6">
        <v>108</v>
      </c>
      <c r="B109" s="7" t="s">
        <v>9</v>
      </c>
      <c r="C109" s="8">
        <v>1886</v>
      </c>
      <c r="D109" s="9">
        <v>45418</v>
      </c>
      <c r="E109" s="13" t="str">
        <f>+HYPERLINK("http://trademark.i-assist.jp/data/china/image_1886th/76417573.pdf","76417573")</f>
        <v>76417573</v>
      </c>
      <c r="F109" s="7" t="s">
        <v>319</v>
      </c>
      <c r="G109" s="7" t="s">
        <v>320</v>
      </c>
      <c r="H109" s="7" t="s">
        <v>321</v>
      </c>
      <c r="I109" s="9">
        <v>45307</v>
      </c>
    </row>
    <row r="110" spans="1:9" x14ac:dyDescent="0.15">
      <c r="A110" s="6">
        <v>109</v>
      </c>
      <c r="B110" s="7" t="s">
        <v>9</v>
      </c>
      <c r="C110" s="8">
        <v>1886</v>
      </c>
      <c r="D110" s="9">
        <v>45418</v>
      </c>
      <c r="E110" s="13" t="str">
        <f>+HYPERLINK("http://trademark.i-assist.jp/data/china/image_1886th/76419054.pdf","76419054")</f>
        <v>76419054</v>
      </c>
      <c r="F110" s="7" t="s">
        <v>322</v>
      </c>
      <c r="G110" s="7" t="s">
        <v>323</v>
      </c>
      <c r="H110" s="7" t="s">
        <v>324</v>
      </c>
      <c r="I110" s="9">
        <v>45307</v>
      </c>
    </row>
    <row r="111" spans="1:9" x14ac:dyDescent="0.15">
      <c r="A111" s="6">
        <v>110</v>
      </c>
      <c r="B111" s="7" t="s">
        <v>9</v>
      </c>
      <c r="C111" s="8">
        <v>1886</v>
      </c>
      <c r="D111" s="9">
        <v>45418</v>
      </c>
      <c r="E111" s="13" t="str">
        <f>+HYPERLINK("http://trademark.i-assist.jp/data/china/image_1886th/76420347.pdf","76420347")</f>
        <v>76420347</v>
      </c>
      <c r="F111" s="7" t="s">
        <v>325</v>
      </c>
      <c r="G111" s="7" t="s">
        <v>326</v>
      </c>
      <c r="H111" s="7" t="s">
        <v>327</v>
      </c>
      <c r="I111" s="9">
        <v>45307</v>
      </c>
    </row>
    <row r="112" spans="1:9" ht="27" x14ac:dyDescent="0.15">
      <c r="A112" s="6">
        <v>111</v>
      </c>
      <c r="B112" s="7" t="s">
        <v>9</v>
      </c>
      <c r="C112" s="8">
        <v>1886</v>
      </c>
      <c r="D112" s="9">
        <v>45418</v>
      </c>
      <c r="E112" s="13" t="str">
        <f>+HYPERLINK("http://trademark.i-assist.jp/data/china/image_1886th/76426671.pdf","76426671")</f>
        <v>76426671</v>
      </c>
      <c r="F112" s="7" t="s">
        <v>328</v>
      </c>
      <c r="G112" s="7" t="s">
        <v>329</v>
      </c>
      <c r="H112" s="7" t="s">
        <v>330</v>
      </c>
      <c r="I112" s="9">
        <v>45307</v>
      </c>
    </row>
    <row r="113" spans="1:9" ht="27" x14ac:dyDescent="0.15">
      <c r="A113" s="6">
        <v>112</v>
      </c>
      <c r="B113" s="7" t="s">
        <v>9</v>
      </c>
      <c r="C113" s="8">
        <v>1886</v>
      </c>
      <c r="D113" s="9">
        <v>45418</v>
      </c>
      <c r="E113" s="13" t="str">
        <f>+HYPERLINK("http://trademark.i-assist.jp/data/china/image_1886th/76428400.pdf","76428400")</f>
        <v>76428400</v>
      </c>
      <c r="F113" s="7" t="s">
        <v>331</v>
      </c>
      <c r="G113" s="7" t="s">
        <v>332</v>
      </c>
      <c r="H113" s="7" t="s">
        <v>333</v>
      </c>
      <c r="I113" s="9">
        <v>45307</v>
      </c>
    </row>
    <row r="114" spans="1:9" ht="27" x14ac:dyDescent="0.15">
      <c r="A114" s="6">
        <v>113</v>
      </c>
      <c r="B114" s="7" t="s">
        <v>9</v>
      </c>
      <c r="C114" s="8">
        <v>1886</v>
      </c>
      <c r="D114" s="9">
        <v>45418</v>
      </c>
      <c r="E114" s="13" t="str">
        <f>+HYPERLINK("http://trademark.i-assist.jp/data/china/image_1886th/76428403.pdf","76428403")</f>
        <v>76428403</v>
      </c>
      <c r="F114" s="7" t="s">
        <v>334</v>
      </c>
      <c r="G114" s="7" t="s">
        <v>332</v>
      </c>
      <c r="H114" s="7" t="s">
        <v>335</v>
      </c>
      <c r="I114" s="9">
        <v>45307</v>
      </c>
    </row>
    <row r="115" spans="1:9" x14ac:dyDescent="0.15">
      <c r="A115" s="6">
        <v>114</v>
      </c>
      <c r="B115" s="7" t="s">
        <v>9</v>
      </c>
      <c r="C115" s="8">
        <v>1886</v>
      </c>
      <c r="D115" s="9">
        <v>45418</v>
      </c>
      <c r="E115" s="13" t="str">
        <f>+HYPERLINK("http://trademark.i-assist.jp/data/china/image_1886th/76429324.pdf","76429324")</f>
        <v>76429324</v>
      </c>
      <c r="F115" s="7" t="s">
        <v>336</v>
      </c>
      <c r="G115" s="7" t="s">
        <v>337</v>
      </c>
      <c r="H115" s="7" t="s">
        <v>338</v>
      </c>
      <c r="I115" s="9">
        <v>45307</v>
      </c>
    </row>
    <row r="116" spans="1:9" ht="27" x14ac:dyDescent="0.15">
      <c r="A116" s="6">
        <v>115</v>
      </c>
      <c r="B116" s="7" t="s">
        <v>9</v>
      </c>
      <c r="C116" s="8">
        <v>1886</v>
      </c>
      <c r="D116" s="9">
        <v>45418</v>
      </c>
      <c r="E116" s="13" t="str">
        <f>+HYPERLINK("http://trademark.i-assist.jp/data/china/image_1886th/76429351.pdf","76429351")</f>
        <v>76429351</v>
      </c>
      <c r="F116" s="7" t="s">
        <v>339</v>
      </c>
      <c r="G116" s="7" t="s">
        <v>340</v>
      </c>
      <c r="H116" s="7" t="s">
        <v>341</v>
      </c>
      <c r="I116" s="9">
        <v>45307</v>
      </c>
    </row>
    <row r="117" spans="1:9" ht="27" x14ac:dyDescent="0.15">
      <c r="A117" s="6">
        <v>116</v>
      </c>
      <c r="B117" s="7" t="s">
        <v>9</v>
      </c>
      <c r="C117" s="8">
        <v>1886</v>
      </c>
      <c r="D117" s="9">
        <v>45418</v>
      </c>
      <c r="E117" s="13" t="str">
        <f>+HYPERLINK("http://trademark.i-assist.jp/data/china/image_1886th/76430855.pdf","76430855")</f>
        <v>76430855</v>
      </c>
      <c r="F117" s="7" t="s">
        <v>342</v>
      </c>
      <c r="G117" s="7" t="s">
        <v>343</v>
      </c>
      <c r="H117" s="7" t="s">
        <v>344</v>
      </c>
      <c r="I117" s="9">
        <v>45307</v>
      </c>
    </row>
    <row r="118" spans="1:9" ht="27" x14ac:dyDescent="0.15">
      <c r="A118" s="6">
        <v>117</v>
      </c>
      <c r="B118" s="7" t="s">
        <v>9</v>
      </c>
      <c r="C118" s="8">
        <v>1886</v>
      </c>
      <c r="D118" s="9">
        <v>45418</v>
      </c>
      <c r="E118" s="13" t="str">
        <f>+HYPERLINK("http://trademark.i-assist.jp/data/china/image_1886th/76435950.pdf","76435950")</f>
        <v>76435950</v>
      </c>
      <c r="F118" s="7" t="s">
        <v>345</v>
      </c>
      <c r="G118" s="7" t="s">
        <v>346</v>
      </c>
      <c r="H118" s="7" t="s">
        <v>347</v>
      </c>
      <c r="I118" s="9">
        <v>45308</v>
      </c>
    </row>
    <row r="119" spans="1:9" x14ac:dyDescent="0.15">
      <c r="A119" s="6">
        <v>118</v>
      </c>
      <c r="B119" s="7" t="s">
        <v>9</v>
      </c>
      <c r="C119" s="8">
        <v>1886</v>
      </c>
      <c r="D119" s="9">
        <v>45418</v>
      </c>
      <c r="E119" s="13" t="str">
        <f>+HYPERLINK("http://trademark.i-assist.jp/data/china/image_1886th/76440998.pdf","76440998")</f>
        <v>76440998</v>
      </c>
      <c r="F119" s="7" t="s">
        <v>348</v>
      </c>
      <c r="G119" s="7" t="s">
        <v>349</v>
      </c>
      <c r="H119" s="7" t="s">
        <v>350</v>
      </c>
      <c r="I119" s="9">
        <v>45308</v>
      </c>
    </row>
    <row r="120" spans="1:9" x14ac:dyDescent="0.15">
      <c r="A120" s="6">
        <v>119</v>
      </c>
      <c r="B120" s="7" t="s">
        <v>9</v>
      </c>
      <c r="C120" s="8">
        <v>1886</v>
      </c>
      <c r="D120" s="9">
        <v>45418</v>
      </c>
      <c r="E120" s="13" t="str">
        <f>+HYPERLINK("http://trademark.i-assist.jp/data/china/image_1886th/76447516.pdf","76447516")</f>
        <v>76447516</v>
      </c>
      <c r="F120" s="7" t="s">
        <v>351</v>
      </c>
      <c r="G120" s="7" t="s">
        <v>352</v>
      </c>
      <c r="H120" s="7" t="s">
        <v>353</v>
      </c>
      <c r="I120" s="9">
        <v>45308</v>
      </c>
    </row>
    <row r="121" spans="1:9" x14ac:dyDescent="0.15">
      <c r="A121" s="6">
        <v>120</v>
      </c>
      <c r="B121" s="7" t="s">
        <v>9</v>
      </c>
      <c r="C121" s="8">
        <v>1886</v>
      </c>
      <c r="D121" s="9">
        <v>45418</v>
      </c>
      <c r="E121" s="13" t="str">
        <f>+HYPERLINK("http://trademark.i-assist.jp/data/china/image_1886th/76451705.pdf","76451705")</f>
        <v>76451705</v>
      </c>
      <c r="F121" s="7" t="s">
        <v>33</v>
      </c>
      <c r="G121" s="7" t="s">
        <v>354</v>
      </c>
      <c r="H121" s="7" t="s">
        <v>355</v>
      </c>
      <c r="I121" s="9">
        <v>45308</v>
      </c>
    </row>
    <row r="122" spans="1:9" x14ac:dyDescent="0.15">
      <c r="A122" s="6">
        <v>121</v>
      </c>
      <c r="B122" s="7" t="s">
        <v>9</v>
      </c>
      <c r="C122" s="8">
        <v>1886</v>
      </c>
      <c r="D122" s="9">
        <v>45418</v>
      </c>
      <c r="E122" s="13" t="str">
        <f>+HYPERLINK("http://trademark.i-assist.jp/data/china/image_1886th/76451715.pdf","76451715")</f>
        <v>76451715</v>
      </c>
      <c r="F122" s="7" t="s">
        <v>356</v>
      </c>
      <c r="G122" s="7" t="s">
        <v>357</v>
      </c>
      <c r="H122" s="7" t="s">
        <v>358</v>
      </c>
      <c r="I122" s="9">
        <v>45308</v>
      </c>
    </row>
    <row r="123" spans="1:9" x14ac:dyDescent="0.15">
      <c r="A123" s="6">
        <v>122</v>
      </c>
      <c r="B123" s="7" t="s">
        <v>9</v>
      </c>
      <c r="C123" s="8">
        <v>1886</v>
      </c>
      <c r="D123" s="9">
        <v>45418</v>
      </c>
      <c r="E123" s="13" t="str">
        <f>+HYPERLINK("http://trademark.i-assist.jp/data/china/image_1886th/76452313.pdf","76452313")</f>
        <v>76452313</v>
      </c>
      <c r="F123" s="7" t="s">
        <v>359</v>
      </c>
      <c r="G123" s="7" t="s">
        <v>360</v>
      </c>
      <c r="H123" s="7" t="s">
        <v>361</v>
      </c>
      <c r="I123" s="9">
        <v>45308</v>
      </c>
    </row>
    <row r="124" spans="1:9" x14ac:dyDescent="0.15">
      <c r="A124" s="6">
        <v>123</v>
      </c>
      <c r="B124" s="7" t="s">
        <v>9</v>
      </c>
      <c r="C124" s="8">
        <v>1886</v>
      </c>
      <c r="D124" s="9">
        <v>45418</v>
      </c>
      <c r="E124" s="13" t="str">
        <f>+HYPERLINK("http://trademark.i-assist.jp/data/china/image_1886th/76452822.pdf","76452822")</f>
        <v>76452822</v>
      </c>
      <c r="F124" s="7" t="s">
        <v>362</v>
      </c>
      <c r="G124" s="7" t="s">
        <v>363</v>
      </c>
      <c r="H124" s="7" t="s">
        <v>364</v>
      </c>
      <c r="I124" s="9">
        <v>45308</v>
      </c>
    </row>
    <row r="125" spans="1:9" x14ac:dyDescent="0.15">
      <c r="A125" s="6">
        <v>124</v>
      </c>
      <c r="B125" s="7" t="s">
        <v>9</v>
      </c>
      <c r="C125" s="8">
        <v>1886</v>
      </c>
      <c r="D125" s="9">
        <v>45418</v>
      </c>
      <c r="E125" s="13" t="str">
        <f>+HYPERLINK("http://trademark.i-assist.jp/data/china/image_1886th/76457463.pdf","76457463")</f>
        <v>76457463</v>
      </c>
      <c r="F125" s="7" t="s">
        <v>365</v>
      </c>
      <c r="G125" s="7" t="s">
        <v>366</v>
      </c>
      <c r="H125" s="7" t="s">
        <v>367</v>
      </c>
      <c r="I125" s="9">
        <v>45308</v>
      </c>
    </row>
    <row r="126" spans="1:9" ht="27" x14ac:dyDescent="0.15">
      <c r="A126" s="6">
        <v>125</v>
      </c>
      <c r="B126" s="7" t="s">
        <v>9</v>
      </c>
      <c r="C126" s="8">
        <v>1886</v>
      </c>
      <c r="D126" s="9">
        <v>45418</v>
      </c>
      <c r="E126" s="13" t="str">
        <f>+HYPERLINK("http://trademark.i-assist.jp/data/china/image_1886th/76461731.pdf","76461731")</f>
        <v>76461731</v>
      </c>
      <c r="F126" s="7" t="s">
        <v>368</v>
      </c>
      <c r="G126" s="7" t="s">
        <v>369</v>
      </c>
      <c r="H126" s="7" t="s">
        <v>370</v>
      </c>
      <c r="I126" s="9">
        <v>45309</v>
      </c>
    </row>
    <row r="127" spans="1:9" x14ac:dyDescent="0.15">
      <c r="A127" s="6">
        <v>126</v>
      </c>
      <c r="B127" s="7" t="s">
        <v>9</v>
      </c>
      <c r="C127" s="8">
        <v>1886</v>
      </c>
      <c r="D127" s="9">
        <v>45418</v>
      </c>
      <c r="E127" s="13" t="str">
        <f>+HYPERLINK("http://trademark.i-assist.jp/data/china/image_1886th/76464341.pdf","76464341")</f>
        <v>76464341</v>
      </c>
      <c r="F127" s="7" t="s">
        <v>371</v>
      </c>
      <c r="G127" s="7" t="s">
        <v>372</v>
      </c>
      <c r="H127" s="7" t="s">
        <v>373</v>
      </c>
      <c r="I127" s="9">
        <v>45309</v>
      </c>
    </row>
    <row r="128" spans="1:9" x14ac:dyDescent="0.15">
      <c r="A128" s="6">
        <v>127</v>
      </c>
      <c r="B128" s="7" t="s">
        <v>9</v>
      </c>
      <c r="C128" s="8">
        <v>1886</v>
      </c>
      <c r="D128" s="9">
        <v>45418</v>
      </c>
      <c r="E128" s="13" t="str">
        <f>+HYPERLINK("http://trademark.i-assist.jp/data/china/image_1886th/76468894.pdf","76468894")</f>
        <v>76468894</v>
      </c>
      <c r="F128" s="7" t="s">
        <v>374</v>
      </c>
      <c r="G128" s="7" t="s">
        <v>375</v>
      </c>
      <c r="H128" s="7" t="s">
        <v>376</v>
      </c>
      <c r="I128" s="9">
        <v>45309</v>
      </c>
    </row>
    <row r="129" spans="1:9" x14ac:dyDescent="0.15">
      <c r="A129" s="6">
        <v>128</v>
      </c>
      <c r="B129" s="7" t="s">
        <v>9</v>
      </c>
      <c r="C129" s="8">
        <v>1886</v>
      </c>
      <c r="D129" s="9">
        <v>45418</v>
      </c>
      <c r="E129" s="13" t="str">
        <f>+HYPERLINK("http://trademark.i-assist.jp/data/china/image_1886th/76472633.pdf","76472633")</f>
        <v>76472633</v>
      </c>
      <c r="F129" s="7" t="s">
        <v>377</v>
      </c>
      <c r="G129" s="7" t="s">
        <v>378</v>
      </c>
      <c r="H129" s="7" t="s">
        <v>379</v>
      </c>
      <c r="I129" s="9">
        <v>45309</v>
      </c>
    </row>
    <row r="130" spans="1:9" x14ac:dyDescent="0.15">
      <c r="A130" s="6">
        <v>129</v>
      </c>
      <c r="B130" s="7" t="s">
        <v>9</v>
      </c>
      <c r="C130" s="8">
        <v>1886</v>
      </c>
      <c r="D130" s="9">
        <v>45418</v>
      </c>
      <c r="E130" s="13" t="str">
        <f>+HYPERLINK("http://trademark.i-assist.jp/data/china/image_1886th/76474187.pdf","76474187")</f>
        <v>76474187</v>
      </c>
      <c r="F130" s="7" t="s">
        <v>380</v>
      </c>
      <c r="G130" s="7" t="s">
        <v>381</v>
      </c>
      <c r="H130" s="7" t="s">
        <v>382</v>
      </c>
      <c r="I130" s="9">
        <v>45310</v>
      </c>
    </row>
    <row r="131" spans="1:9" ht="27" x14ac:dyDescent="0.15">
      <c r="A131" s="6">
        <v>130</v>
      </c>
      <c r="B131" s="7" t="s">
        <v>9</v>
      </c>
      <c r="C131" s="8">
        <v>1886</v>
      </c>
      <c r="D131" s="9">
        <v>45418</v>
      </c>
      <c r="E131" s="13" t="str">
        <f>+HYPERLINK("http://trademark.i-assist.jp/data/china/image_1886th/76475529.pdf","76475529")</f>
        <v>76475529</v>
      </c>
      <c r="F131" s="7" t="s">
        <v>383</v>
      </c>
      <c r="G131" s="7" t="s">
        <v>384</v>
      </c>
      <c r="H131" s="7" t="s">
        <v>385</v>
      </c>
      <c r="I131" s="9">
        <v>45310</v>
      </c>
    </row>
    <row r="132" spans="1:9" x14ac:dyDescent="0.15">
      <c r="A132" s="6">
        <v>131</v>
      </c>
      <c r="B132" s="7" t="s">
        <v>9</v>
      </c>
      <c r="C132" s="8">
        <v>1886</v>
      </c>
      <c r="D132" s="9">
        <v>45418</v>
      </c>
      <c r="E132" s="13" t="str">
        <f>+HYPERLINK("http://trademark.i-assist.jp/data/china/image_1886th/76482208.pdf","76482208")</f>
        <v>76482208</v>
      </c>
      <c r="F132" s="7" t="s">
        <v>386</v>
      </c>
      <c r="G132" s="7" t="s">
        <v>387</v>
      </c>
      <c r="H132" s="7" t="s">
        <v>388</v>
      </c>
      <c r="I132" s="9">
        <v>45309</v>
      </c>
    </row>
    <row r="133" spans="1:9" ht="27" x14ac:dyDescent="0.15">
      <c r="A133" s="6">
        <v>132</v>
      </c>
      <c r="B133" s="7" t="s">
        <v>9</v>
      </c>
      <c r="C133" s="8">
        <v>1886</v>
      </c>
      <c r="D133" s="9">
        <v>45418</v>
      </c>
      <c r="E133" s="13" t="str">
        <f>+HYPERLINK("http://trademark.i-assist.jp/data/china/image_1886th/76484475.pdf","76484475")</f>
        <v>76484475</v>
      </c>
      <c r="F133" s="7" t="s">
        <v>389</v>
      </c>
      <c r="G133" s="7" t="s">
        <v>390</v>
      </c>
      <c r="H133" s="7" t="s">
        <v>391</v>
      </c>
      <c r="I133" s="9">
        <v>45309</v>
      </c>
    </row>
    <row r="134" spans="1:9" ht="27" x14ac:dyDescent="0.15">
      <c r="A134" s="6">
        <v>133</v>
      </c>
      <c r="B134" s="7" t="s">
        <v>9</v>
      </c>
      <c r="C134" s="8">
        <v>1886</v>
      </c>
      <c r="D134" s="9">
        <v>45418</v>
      </c>
      <c r="E134" s="13" t="str">
        <f>+HYPERLINK("http://trademark.i-assist.jp/data/china/image_1886th/76485540.pdf","76485540")</f>
        <v>76485540</v>
      </c>
      <c r="F134" s="7" t="s">
        <v>392</v>
      </c>
      <c r="G134" s="7" t="s">
        <v>393</v>
      </c>
      <c r="H134" s="7" t="s">
        <v>394</v>
      </c>
      <c r="I134" s="9">
        <v>45310</v>
      </c>
    </row>
    <row r="135" spans="1:9" x14ac:dyDescent="0.15">
      <c r="A135" s="6">
        <v>134</v>
      </c>
      <c r="B135" s="7" t="s">
        <v>9</v>
      </c>
      <c r="C135" s="8">
        <v>1886</v>
      </c>
      <c r="D135" s="9">
        <v>45418</v>
      </c>
      <c r="E135" s="13" t="str">
        <f>+HYPERLINK("http://trademark.i-assist.jp/data/china/image_1886th/76486991.pdf","76486991")</f>
        <v>76486991</v>
      </c>
      <c r="F135" s="7" t="s">
        <v>395</v>
      </c>
      <c r="G135" s="7" t="s">
        <v>396</v>
      </c>
      <c r="H135" s="7" t="s">
        <v>397</v>
      </c>
      <c r="I135" s="9">
        <v>45310</v>
      </c>
    </row>
    <row r="136" spans="1:9" x14ac:dyDescent="0.15">
      <c r="A136" s="6">
        <v>135</v>
      </c>
      <c r="B136" s="7" t="s">
        <v>9</v>
      </c>
      <c r="C136" s="8">
        <v>1886</v>
      </c>
      <c r="D136" s="9">
        <v>45418</v>
      </c>
      <c r="E136" s="13" t="str">
        <f>+HYPERLINK("http://trademark.i-assist.jp/data/china/image_1886th/76489100.pdf","76489100")</f>
        <v>76489100</v>
      </c>
      <c r="F136" s="7" t="s">
        <v>398</v>
      </c>
      <c r="G136" s="7" t="s">
        <v>399</v>
      </c>
      <c r="H136" s="7" t="s">
        <v>400</v>
      </c>
      <c r="I136" s="9">
        <v>45310</v>
      </c>
    </row>
    <row r="137" spans="1:9" ht="27" x14ac:dyDescent="0.15">
      <c r="A137" s="6">
        <v>136</v>
      </c>
      <c r="B137" s="7" t="s">
        <v>9</v>
      </c>
      <c r="C137" s="8">
        <v>1886</v>
      </c>
      <c r="D137" s="9">
        <v>45418</v>
      </c>
      <c r="E137" s="13" t="str">
        <f>+HYPERLINK("http://trademark.i-assist.jp/data/china/image_1886th/76489200.pdf","76489200")</f>
        <v>76489200</v>
      </c>
      <c r="F137" s="7" t="s">
        <v>401</v>
      </c>
      <c r="G137" s="7" t="s">
        <v>402</v>
      </c>
      <c r="H137" s="7" t="s">
        <v>403</v>
      </c>
      <c r="I137" s="9">
        <v>45310</v>
      </c>
    </row>
    <row r="138" spans="1:9" x14ac:dyDescent="0.15">
      <c r="A138" s="6">
        <v>137</v>
      </c>
      <c r="B138" s="7" t="s">
        <v>9</v>
      </c>
      <c r="C138" s="8">
        <v>1886</v>
      </c>
      <c r="D138" s="9">
        <v>45418</v>
      </c>
      <c r="E138" s="13" t="str">
        <f>+HYPERLINK("http://trademark.i-assist.jp/data/china/image_1886th/76489511.pdf","76489511")</f>
        <v>76489511</v>
      </c>
      <c r="F138" s="7" t="s">
        <v>33</v>
      </c>
      <c r="G138" s="7" t="s">
        <v>404</v>
      </c>
      <c r="H138" s="7" t="s">
        <v>405</v>
      </c>
      <c r="I138" s="9">
        <v>45310</v>
      </c>
    </row>
    <row r="139" spans="1:9" x14ac:dyDescent="0.15">
      <c r="A139" s="6">
        <v>138</v>
      </c>
      <c r="B139" s="7" t="s">
        <v>9</v>
      </c>
      <c r="C139" s="8">
        <v>1886</v>
      </c>
      <c r="D139" s="9">
        <v>45418</v>
      </c>
      <c r="E139" s="13" t="str">
        <f>+HYPERLINK("http://trademark.i-assist.jp/data/china/image_1886th/76490009.pdf","76490009")</f>
        <v>76490009</v>
      </c>
      <c r="F139" s="7" t="s">
        <v>406</v>
      </c>
      <c r="G139" s="7" t="s">
        <v>407</v>
      </c>
      <c r="H139" s="7" t="s">
        <v>408</v>
      </c>
      <c r="I139" s="9">
        <v>45310</v>
      </c>
    </row>
    <row r="140" spans="1:9" x14ac:dyDescent="0.15">
      <c r="A140" s="6">
        <v>139</v>
      </c>
      <c r="B140" s="7" t="s">
        <v>9</v>
      </c>
      <c r="C140" s="8">
        <v>1886</v>
      </c>
      <c r="D140" s="9">
        <v>45418</v>
      </c>
      <c r="E140" s="13" t="str">
        <f>+HYPERLINK("http://trademark.i-assist.jp/data/china/image_1886th/76491883.pdf","76491883")</f>
        <v>76491883</v>
      </c>
      <c r="F140" s="7" t="s">
        <v>409</v>
      </c>
      <c r="G140" s="7" t="s">
        <v>251</v>
      </c>
      <c r="H140" s="7" t="s">
        <v>410</v>
      </c>
      <c r="I140" s="9">
        <v>45309</v>
      </c>
    </row>
    <row r="141" spans="1:9" x14ac:dyDescent="0.15">
      <c r="A141" s="6">
        <v>140</v>
      </c>
      <c r="B141" s="7" t="s">
        <v>9</v>
      </c>
      <c r="C141" s="8">
        <v>1886</v>
      </c>
      <c r="D141" s="9">
        <v>45418</v>
      </c>
      <c r="E141" s="13" t="str">
        <f>+HYPERLINK("http://trademark.i-assist.jp/data/china/image_1886th/76492539.pdf","76492539")</f>
        <v>76492539</v>
      </c>
      <c r="F141" s="7" t="s">
        <v>411</v>
      </c>
      <c r="G141" s="7" t="s">
        <v>412</v>
      </c>
      <c r="H141" s="7" t="s">
        <v>413</v>
      </c>
      <c r="I141" s="9">
        <v>45310</v>
      </c>
    </row>
    <row r="142" spans="1:9" ht="27" x14ac:dyDescent="0.15">
      <c r="A142" s="6">
        <v>141</v>
      </c>
      <c r="B142" s="7" t="s">
        <v>9</v>
      </c>
      <c r="C142" s="8">
        <v>1886</v>
      </c>
      <c r="D142" s="9">
        <v>45418</v>
      </c>
      <c r="E142" s="13" t="str">
        <f>+HYPERLINK("http://trademark.i-assist.jp/data/china/image_1886th/76492759.pdf","76492759")</f>
        <v>76492759</v>
      </c>
      <c r="F142" s="7" t="s">
        <v>414</v>
      </c>
      <c r="G142" s="7" t="s">
        <v>415</v>
      </c>
      <c r="H142" s="7" t="s">
        <v>416</v>
      </c>
      <c r="I142" s="9">
        <v>45309</v>
      </c>
    </row>
    <row r="143" spans="1:9" ht="27" x14ac:dyDescent="0.15">
      <c r="A143" s="6">
        <v>142</v>
      </c>
      <c r="B143" s="7" t="s">
        <v>9</v>
      </c>
      <c r="C143" s="8">
        <v>1886</v>
      </c>
      <c r="D143" s="9">
        <v>45418</v>
      </c>
      <c r="E143" s="13" t="str">
        <f>+HYPERLINK("http://trademark.i-assist.jp/data/china/image_1886th/76495001.pdf","76495001")</f>
        <v>76495001</v>
      </c>
      <c r="F143" s="7" t="s">
        <v>417</v>
      </c>
      <c r="G143" s="7" t="s">
        <v>418</v>
      </c>
      <c r="H143" s="7" t="s">
        <v>419</v>
      </c>
      <c r="I143" s="9">
        <v>45310</v>
      </c>
    </row>
    <row r="144" spans="1:9" x14ac:dyDescent="0.15">
      <c r="A144" s="6">
        <v>143</v>
      </c>
      <c r="B144" s="7" t="s">
        <v>9</v>
      </c>
      <c r="C144" s="8">
        <v>1886</v>
      </c>
      <c r="D144" s="9">
        <v>45418</v>
      </c>
      <c r="E144" s="13" t="str">
        <f>+HYPERLINK("http://trademark.i-assist.jp/data/china/image_1886th/76495253.pdf","76495253")</f>
        <v>76495253</v>
      </c>
      <c r="F144" s="7" t="s">
        <v>420</v>
      </c>
      <c r="G144" s="7" t="s">
        <v>421</v>
      </c>
      <c r="H144" s="7" t="s">
        <v>422</v>
      </c>
      <c r="I144" s="9">
        <v>45310</v>
      </c>
    </row>
    <row r="145" spans="1:9" x14ac:dyDescent="0.15">
      <c r="A145" s="6">
        <v>144</v>
      </c>
      <c r="B145" s="7" t="s">
        <v>9</v>
      </c>
      <c r="C145" s="8">
        <v>1886</v>
      </c>
      <c r="D145" s="9">
        <v>45418</v>
      </c>
      <c r="E145" s="13" t="str">
        <f>+HYPERLINK("http://trademark.i-assist.jp/data/china/image_1886th/76496898.pdf","76496898")</f>
        <v>76496898</v>
      </c>
      <c r="F145" s="7" t="s">
        <v>423</v>
      </c>
      <c r="G145" s="7" t="s">
        <v>424</v>
      </c>
      <c r="H145" s="7" t="s">
        <v>425</v>
      </c>
      <c r="I145" s="9">
        <v>45310</v>
      </c>
    </row>
    <row r="146" spans="1:9" x14ac:dyDescent="0.15">
      <c r="A146" s="6">
        <v>145</v>
      </c>
      <c r="B146" s="7" t="s">
        <v>9</v>
      </c>
      <c r="C146" s="8">
        <v>1886</v>
      </c>
      <c r="D146" s="9">
        <v>45418</v>
      </c>
      <c r="E146" s="13" t="str">
        <f>+HYPERLINK("http://trademark.i-assist.jp/data/china/image_1886th/76498069.pdf","76498069")</f>
        <v>76498069</v>
      </c>
      <c r="F146" s="7" t="s">
        <v>426</v>
      </c>
      <c r="G146" s="7" t="s">
        <v>427</v>
      </c>
      <c r="H146" s="7" t="s">
        <v>428</v>
      </c>
      <c r="I146" s="9">
        <v>45310</v>
      </c>
    </row>
    <row r="147" spans="1:9" ht="27" x14ac:dyDescent="0.15">
      <c r="A147" s="6">
        <v>146</v>
      </c>
      <c r="B147" s="7" t="s">
        <v>9</v>
      </c>
      <c r="C147" s="8">
        <v>1886</v>
      </c>
      <c r="D147" s="9">
        <v>45418</v>
      </c>
      <c r="E147" s="13" t="str">
        <f>+HYPERLINK("http://trademark.i-assist.jp/data/china/image_1886th/76498253.pdf","76498253")</f>
        <v>76498253</v>
      </c>
      <c r="F147" s="7" t="s">
        <v>429</v>
      </c>
      <c r="G147" s="7" t="s">
        <v>418</v>
      </c>
      <c r="H147" s="7" t="s">
        <v>419</v>
      </c>
      <c r="I147" s="9">
        <v>45310</v>
      </c>
    </row>
    <row r="148" spans="1:9" x14ac:dyDescent="0.15">
      <c r="A148" s="6">
        <v>147</v>
      </c>
      <c r="B148" s="7" t="s">
        <v>9</v>
      </c>
      <c r="C148" s="8">
        <v>1886</v>
      </c>
      <c r="D148" s="9">
        <v>45418</v>
      </c>
      <c r="E148" s="13" t="str">
        <f>+HYPERLINK("http://trademark.i-assist.jp/data/china/image_1886th/76501340.pdf","76501340")</f>
        <v>76501340</v>
      </c>
      <c r="F148" s="7" t="s">
        <v>430</v>
      </c>
      <c r="G148" s="7" t="s">
        <v>431</v>
      </c>
      <c r="H148" s="7" t="s">
        <v>432</v>
      </c>
      <c r="I148" s="9">
        <v>45310</v>
      </c>
    </row>
    <row r="149" spans="1:9" x14ac:dyDescent="0.15">
      <c r="A149" s="6">
        <v>148</v>
      </c>
      <c r="B149" s="7" t="s">
        <v>9</v>
      </c>
      <c r="C149" s="8">
        <v>1886</v>
      </c>
      <c r="D149" s="9">
        <v>45418</v>
      </c>
      <c r="E149" s="13" t="str">
        <f>+HYPERLINK("http://trademark.i-assist.jp/data/china/image_1886th/76502606.pdf","76502606")</f>
        <v>76502606</v>
      </c>
      <c r="F149" s="7" t="s">
        <v>433</v>
      </c>
      <c r="G149" s="7" t="s">
        <v>434</v>
      </c>
      <c r="H149" s="7" t="s">
        <v>435</v>
      </c>
      <c r="I149" s="9">
        <v>45309</v>
      </c>
    </row>
    <row r="150" spans="1:9" x14ac:dyDescent="0.15">
      <c r="A150" s="6">
        <v>149</v>
      </c>
      <c r="B150" s="7" t="s">
        <v>9</v>
      </c>
      <c r="C150" s="8">
        <v>1886</v>
      </c>
      <c r="D150" s="9">
        <v>45418</v>
      </c>
      <c r="E150" s="13" t="str">
        <f>+HYPERLINK("http://trademark.i-assist.jp/data/china/image_1886th/76502924.pdf","76502924")</f>
        <v>76502924</v>
      </c>
      <c r="F150" s="7" t="s">
        <v>436</v>
      </c>
      <c r="G150" s="7" t="s">
        <v>437</v>
      </c>
      <c r="H150" s="7" t="s">
        <v>438</v>
      </c>
      <c r="I150" s="9">
        <v>45310</v>
      </c>
    </row>
    <row r="151" spans="1:9" x14ac:dyDescent="0.15">
      <c r="A151" s="6">
        <v>150</v>
      </c>
      <c r="B151" s="7" t="s">
        <v>9</v>
      </c>
      <c r="C151" s="8">
        <v>1886</v>
      </c>
      <c r="D151" s="9">
        <v>45418</v>
      </c>
      <c r="E151" s="13" t="str">
        <f>+HYPERLINK("http://trademark.i-assist.jp/data/china/image_1886th/76503463.pdf","76503463")</f>
        <v>76503463</v>
      </c>
      <c r="F151" s="7" t="s">
        <v>439</v>
      </c>
      <c r="G151" s="7" t="s">
        <v>434</v>
      </c>
      <c r="H151" s="7" t="s">
        <v>435</v>
      </c>
      <c r="I151" s="9">
        <v>45309</v>
      </c>
    </row>
    <row r="152" spans="1:9" x14ac:dyDescent="0.15">
      <c r="A152" s="6">
        <v>151</v>
      </c>
      <c r="B152" s="7" t="s">
        <v>9</v>
      </c>
      <c r="C152" s="8">
        <v>1886</v>
      </c>
      <c r="D152" s="9">
        <v>45418</v>
      </c>
      <c r="E152" s="13" t="str">
        <f>+HYPERLINK("http://trademark.i-assist.jp/data/china/image_1886th/76507212.pdf","76507212")</f>
        <v>76507212</v>
      </c>
      <c r="F152" s="7" t="s">
        <v>440</v>
      </c>
      <c r="G152" s="7" t="s">
        <v>441</v>
      </c>
      <c r="H152" s="7" t="s">
        <v>442</v>
      </c>
      <c r="I152" s="9">
        <v>45310</v>
      </c>
    </row>
    <row r="153" spans="1:9" ht="27" x14ac:dyDescent="0.15">
      <c r="A153" s="6">
        <v>152</v>
      </c>
      <c r="B153" s="7" t="s">
        <v>9</v>
      </c>
      <c r="C153" s="8">
        <v>1886</v>
      </c>
      <c r="D153" s="9">
        <v>45418</v>
      </c>
      <c r="E153" s="13" t="str">
        <f>+HYPERLINK("http://trademark.i-assist.jp/data/china/image_1886th/76507304.pdf","76507304")</f>
        <v>76507304</v>
      </c>
      <c r="F153" s="7" t="s">
        <v>443</v>
      </c>
      <c r="G153" s="7" t="s">
        <v>384</v>
      </c>
      <c r="H153" s="7" t="s">
        <v>385</v>
      </c>
      <c r="I153" s="9">
        <v>45310</v>
      </c>
    </row>
    <row r="154" spans="1:9" x14ac:dyDescent="0.15">
      <c r="A154" s="6">
        <v>153</v>
      </c>
      <c r="B154" s="7" t="s">
        <v>9</v>
      </c>
      <c r="C154" s="8">
        <v>1886</v>
      </c>
      <c r="D154" s="9">
        <v>45418</v>
      </c>
      <c r="E154" s="13" t="str">
        <f>+HYPERLINK("http://trademark.i-assist.jp/data/china/image_1886th/76507701.pdf","76507701")</f>
        <v>76507701</v>
      </c>
      <c r="F154" s="7" t="s">
        <v>444</v>
      </c>
      <c r="G154" s="7" t="s">
        <v>445</v>
      </c>
      <c r="H154" s="7" t="s">
        <v>446</v>
      </c>
      <c r="I154" s="9">
        <v>45310</v>
      </c>
    </row>
    <row r="155" spans="1:9" x14ac:dyDescent="0.15">
      <c r="A155" s="6">
        <v>154</v>
      </c>
      <c r="B155" s="7" t="s">
        <v>9</v>
      </c>
      <c r="C155" s="8">
        <v>1886</v>
      </c>
      <c r="D155" s="9">
        <v>45418</v>
      </c>
      <c r="E155" s="13" t="str">
        <f>+HYPERLINK("http://trademark.i-assist.jp/data/china/image_1886th/76509164.pdf","76509164")</f>
        <v>76509164</v>
      </c>
      <c r="F155" s="7" t="s">
        <v>447</v>
      </c>
      <c r="G155" s="7" t="s">
        <v>448</v>
      </c>
      <c r="H155" s="7" t="s">
        <v>449</v>
      </c>
      <c r="I155" s="9">
        <v>45309</v>
      </c>
    </row>
    <row r="156" spans="1:9" x14ac:dyDescent="0.15">
      <c r="A156" s="6">
        <v>155</v>
      </c>
      <c r="B156" s="7" t="s">
        <v>9</v>
      </c>
      <c r="C156" s="8">
        <v>1886</v>
      </c>
      <c r="D156" s="9">
        <v>45418</v>
      </c>
      <c r="E156" s="13" t="str">
        <f>+HYPERLINK("http://trademark.i-assist.jp/data/china/image_1886th/76514554.pdf","76514554")</f>
        <v>76514554</v>
      </c>
      <c r="F156" s="7" t="s">
        <v>450</v>
      </c>
      <c r="G156" s="7" t="s">
        <v>451</v>
      </c>
      <c r="H156" s="7" t="s">
        <v>452</v>
      </c>
      <c r="I156" s="9">
        <v>45311</v>
      </c>
    </row>
    <row r="157" spans="1:9" x14ac:dyDescent="0.15">
      <c r="A157" s="6">
        <v>156</v>
      </c>
      <c r="B157" s="7" t="s">
        <v>9</v>
      </c>
      <c r="C157" s="8">
        <v>1886</v>
      </c>
      <c r="D157" s="9">
        <v>45418</v>
      </c>
      <c r="E157" s="13" t="str">
        <f>+HYPERLINK("http://trademark.i-assist.jp/data/china/image_1886th/76515635.pdf","76515635")</f>
        <v>76515635</v>
      </c>
      <c r="F157" s="7" t="s">
        <v>453</v>
      </c>
      <c r="G157" s="7" t="s">
        <v>454</v>
      </c>
      <c r="H157" s="7" t="s">
        <v>455</v>
      </c>
      <c r="I157" s="9">
        <v>45311</v>
      </c>
    </row>
    <row r="158" spans="1:9" ht="27" x14ac:dyDescent="0.15">
      <c r="A158" s="6">
        <v>157</v>
      </c>
      <c r="B158" s="7" t="s">
        <v>9</v>
      </c>
      <c r="C158" s="8">
        <v>1886</v>
      </c>
      <c r="D158" s="9">
        <v>45418</v>
      </c>
      <c r="E158" s="13" t="str">
        <f>+HYPERLINK("http://trademark.i-assist.jp/data/china/image_1886th/76516230.pdf","76516230")</f>
        <v>76516230</v>
      </c>
      <c r="F158" s="7" t="s">
        <v>456</v>
      </c>
      <c r="G158" s="7" t="s">
        <v>457</v>
      </c>
      <c r="H158" s="7" t="s">
        <v>458</v>
      </c>
      <c r="I158" s="9">
        <v>45311</v>
      </c>
    </row>
    <row r="159" spans="1:9" x14ac:dyDescent="0.15">
      <c r="A159" s="6">
        <v>158</v>
      </c>
      <c r="B159" s="7" t="s">
        <v>9</v>
      </c>
      <c r="C159" s="8">
        <v>1886</v>
      </c>
      <c r="D159" s="9">
        <v>45418</v>
      </c>
      <c r="E159" s="13" t="str">
        <f>+HYPERLINK("http://trademark.i-assist.jp/data/china/image_1886th/76517894.pdf","76517894")</f>
        <v>76517894</v>
      </c>
      <c r="F159" s="7" t="s">
        <v>459</v>
      </c>
      <c r="G159" s="7" t="s">
        <v>460</v>
      </c>
      <c r="H159" s="7" t="s">
        <v>461</v>
      </c>
      <c r="I159" s="9">
        <v>45312</v>
      </c>
    </row>
    <row r="160" spans="1:9" ht="27" x14ac:dyDescent="0.15">
      <c r="A160" s="6">
        <v>159</v>
      </c>
      <c r="B160" s="7" t="s">
        <v>9</v>
      </c>
      <c r="C160" s="8">
        <v>1886</v>
      </c>
      <c r="D160" s="9">
        <v>45418</v>
      </c>
      <c r="E160" s="13" t="str">
        <f>+HYPERLINK("http://trademark.i-assist.jp/data/china/image_1886th/76518458.pdf","76518458")</f>
        <v>76518458</v>
      </c>
      <c r="F160" s="7" t="s">
        <v>462</v>
      </c>
      <c r="G160" s="7" t="s">
        <v>463</v>
      </c>
      <c r="H160" s="7" t="s">
        <v>464</v>
      </c>
      <c r="I160" s="9">
        <v>45312</v>
      </c>
    </row>
    <row r="161" spans="1:9" x14ac:dyDescent="0.15">
      <c r="A161" s="6">
        <v>160</v>
      </c>
      <c r="B161" s="7" t="s">
        <v>9</v>
      </c>
      <c r="C161" s="8">
        <v>1886</v>
      </c>
      <c r="D161" s="9">
        <v>45418</v>
      </c>
      <c r="E161" s="13" t="str">
        <f>+HYPERLINK("http://trademark.i-assist.jp/data/china/image_1886th/76518851.pdf","76518851")</f>
        <v>76518851</v>
      </c>
      <c r="F161" s="7" t="s">
        <v>465</v>
      </c>
      <c r="G161" s="7" t="s">
        <v>466</v>
      </c>
      <c r="H161" s="7" t="s">
        <v>467</v>
      </c>
      <c r="I161" s="9">
        <v>45312</v>
      </c>
    </row>
    <row r="162" spans="1:9" x14ac:dyDescent="0.15">
      <c r="A162" s="6">
        <v>161</v>
      </c>
      <c r="B162" s="7" t="s">
        <v>9</v>
      </c>
      <c r="C162" s="8">
        <v>1886</v>
      </c>
      <c r="D162" s="9">
        <v>45418</v>
      </c>
      <c r="E162" s="13" t="str">
        <f>+HYPERLINK("http://trademark.i-assist.jp/data/china/image_1886th/76518918.pdf","76518918")</f>
        <v>76518918</v>
      </c>
      <c r="F162" s="7" t="s">
        <v>468</v>
      </c>
      <c r="G162" s="7" t="s">
        <v>469</v>
      </c>
      <c r="H162" s="7" t="s">
        <v>470</v>
      </c>
      <c r="I162" s="9">
        <v>45312</v>
      </c>
    </row>
    <row r="163" spans="1:9" x14ac:dyDescent="0.15">
      <c r="A163" s="6">
        <v>162</v>
      </c>
      <c r="B163" s="7" t="s">
        <v>9</v>
      </c>
      <c r="C163" s="8">
        <v>1886</v>
      </c>
      <c r="D163" s="9">
        <v>45418</v>
      </c>
      <c r="E163" s="13" t="str">
        <f>+HYPERLINK("http://trademark.i-assist.jp/data/china/image_1886th/76519096.pdf","76519096")</f>
        <v>76519096</v>
      </c>
      <c r="F163" s="7" t="s">
        <v>471</v>
      </c>
      <c r="G163" s="7" t="s">
        <v>471</v>
      </c>
      <c r="H163" s="7" t="s">
        <v>472</v>
      </c>
      <c r="I163" s="9">
        <v>45312</v>
      </c>
    </row>
    <row r="164" spans="1:9" x14ac:dyDescent="0.15">
      <c r="A164" s="6">
        <v>163</v>
      </c>
      <c r="B164" s="7" t="s">
        <v>9</v>
      </c>
      <c r="C164" s="8">
        <v>1886</v>
      </c>
      <c r="D164" s="9">
        <v>45418</v>
      </c>
      <c r="E164" s="13" t="str">
        <f>+HYPERLINK("http://trademark.i-assist.jp/data/china/image_1886th/76519259.pdf","76519259")</f>
        <v>76519259</v>
      </c>
      <c r="F164" s="7" t="s">
        <v>473</v>
      </c>
      <c r="G164" s="7" t="s">
        <v>474</v>
      </c>
      <c r="H164" s="7" t="s">
        <v>475</v>
      </c>
      <c r="I164" s="9">
        <v>45312</v>
      </c>
    </row>
    <row r="165" spans="1:9" ht="27" x14ac:dyDescent="0.15">
      <c r="A165" s="6">
        <v>164</v>
      </c>
      <c r="B165" s="7" t="s">
        <v>9</v>
      </c>
      <c r="C165" s="8">
        <v>1886</v>
      </c>
      <c r="D165" s="9">
        <v>45418</v>
      </c>
      <c r="E165" s="13" t="str">
        <f>+HYPERLINK("http://trademark.i-assist.jp/data/china/image_1886th/76520887.pdf","76520887")</f>
        <v>76520887</v>
      </c>
      <c r="F165" s="7" t="s">
        <v>476</v>
      </c>
      <c r="G165" s="7" t="s">
        <v>477</v>
      </c>
      <c r="H165" s="7" t="s">
        <v>478</v>
      </c>
      <c r="I165" s="9">
        <v>45313</v>
      </c>
    </row>
    <row r="166" spans="1:9" ht="27" x14ac:dyDescent="0.15">
      <c r="A166" s="6">
        <v>165</v>
      </c>
      <c r="B166" s="7" t="s">
        <v>9</v>
      </c>
      <c r="C166" s="8">
        <v>1886</v>
      </c>
      <c r="D166" s="9">
        <v>45418</v>
      </c>
      <c r="E166" s="13" t="str">
        <f>+HYPERLINK("http://trademark.i-assist.jp/data/china/image_1886th/76521025.pdf","76521025")</f>
        <v>76521025</v>
      </c>
      <c r="F166" s="7" t="s">
        <v>479</v>
      </c>
      <c r="G166" s="7" t="s">
        <v>480</v>
      </c>
      <c r="H166" s="7" t="s">
        <v>481</v>
      </c>
      <c r="I166" s="9">
        <v>45313</v>
      </c>
    </row>
    <row r="167" spans="1:9" x14ac:dyDescent="0.15">
      <c r="A167" s="6">
        <v>166</v>
      </c>
      <c r="B167" s="7" t="s">
        <v>9</v>
      </c>
      <c r="C167" s="8">
        <v>1886</v>
      </c>
      <c r="D167" s="9">
        <v>45418</v>
      </c>
      <c r="E167" s="13" t="str">
        <f>+HYPERLINK("http://trademark.i-assist.jp/data/china/image_1886th/76521076.pdf","76521076")</f>
        <v>76521076</v>
      </c>
      <c r="F167" s="7" t="s">
        <v>482</v>
      </c>
      <c r="G167" s="7" t="s">
        <v>201</v>
      </c>
      <c r="H167" s="7" t="s">
        <v>483</v>
      </c>
      <c r="I167" s="9">
        <v>45313</v>
      </c>
    </row>
    <row r="168" spans="1:9" x14ac:dyDescent="0.15">
      <c r="A168" s="6">
        <v>167</v>
      </c>
      <c r="B168" s="7" t="s">
        <v>9</v>
      </c>
      <c r="C168" s="8">
        <v>1886</v>
      </c>
      <c r="D168" s="9">
        <v>45418</v>
      </c>
      <c r="E168" s="13" t="str">
        <f>+HYPERLINK("http://trademark.i-assist.jp/data/china/image_1886th/76521608.pdf","76521608")</f>
        <v>76521608</v>
      </c>
      <c r="F168" s="7" t="s">
        <v>484</v>
      </c>
      <c r="G168" s="7" t="s">
        <v>485</v>
      </c>
      <c r="H168" s="7" t="s">
        <v>486</v>
      </c>
      <c r="I168" s="9">
        <v>45313</v>
      </c>
    </row>
    <row r="169" spans="1:9" ht="27" x14ac:dyDescent="0.15">
      <c r="A169" s="6">
        <v>168</v>
      </c>
      <c r="B169" s="7" t="s">
        <v>9</v>
      </c>
      <c r="C169" s="8">
        <v>1886</v>
      </c>
      <c r="D169" s="9">
        <v>45418</v>
      </c>
      <c r="E169" s="13" t="str">
        <f>+HYPERLINK("http://trademark.i-assist.jp/data/china/image_1886th/76522042.pdf","76522042")</f>
        <v>76522042</v>
      </c>
      <c r="F169" s="7" t="s">
        <v>487</v>
      </c>
      <c r="G169" s="7" t="s">
        <v>488</v>
      </c>
      <c r="H169" s="7" t="s">
        <v>478</v>
      </c>
      <c r="I169" s="9">
        <v>45313</v>
      </c>
    </row>
    <row r="170" spans="1:9" ht="27" x14ac:dyDescent="0.15">
      <c r="A170" s="6">
        <v>169</v>
      </c>
      <c r="B170" s="7" t="s">
        <v>9</v>
      </c>
      <c r="C170" s="8">
        <v>1886</v>
      </c>
      <c r="D170" s="9">
        <v>45418</v>
      </c>
      <c r="E170" s="13" t="str">
        <f>+HYPERLINK("http://trademark.i-assist.jp/data/china/image_1886th/76522666.pdf","76522666")</f>
        <v>76522666</v>
      </c>
      <c r="F170" s="7" t="s">
        <v>489</v>
      </c>
      <c r="G170" s="7" t="s">
        <v>490</v>
      </c>
      <c r="H170" s="7" t="s">
        <v>491</v>
      </c>
      <c r="I170" s="9">
        <v>45313</v>
      </c>
    </row>
    <row r="171" spans="1:9" x14ac:dyDescent="0.15">
      <c r="A171" s="6">
        <v>170</v>
      </c>
      <c r="B171" s="7" t="s">
        <v>9</v>
      </c>
      <c r="C171" s="8">
        <v>1886</v>
      </c>
      <c r="D171" s="9">
        <v>45418</v>
      </c>
      <c r="E171" s="13" t="str">
        <f>+HYPERLINK("http://trademark.i-assist.jp/data/china/image_1886th/76522934.pdf","76522934")</f>
        <v>76522934</v>
      </c>
      <c r="F171" s="7" t="s">
        <v>492</v>
      </c>
      <c r="G171" s="7" t="s">
        <v>493</v>
      </c>
      <c r="H171" s="7" t="s">
        <v>494</v>
      </c>
      <c r="I171" s="9">
        <v>45313</v>
      </c>
    </row>
    <row r="172" spans="1:9" x14ac:dyDescent="0.15">
      <c r="A172" s="6">
        <v>171</v>
      </c>
      <c r="B172" s="7" t="s">
        <v>9</v>
      </c>
      <c r="C172" s="8">
        <v>1886</v>
      </c>
      <c r="D172" s="9">
        <v>45418</v>
      </c>
      <c r="E172" s="13" t="str">
        <f>+HYPERLINK("http://trademark.i-assist.jp/data/china/image_1886th/76523775.pdf","76523775")</f>
        <v>76523775</v>
      </c>
      <c r="F172" s="7" t="s">
        <v>495</v>
      </c>
      <c r="G172" s="7" t="s">
        <v>485</v>
      </c>
      <c r="H172" s="7" t="s">
        <v>486</v>
      </c>
      <c r="I172" s="9">
        <v>45313</v>
      </c>
    </row>
    <row r="173" spans="1:9" x14ac:dyDescent="0.15">
      <c r="A173" s="6">
        <v>172</v>
      </c>
      <c r="B173" s="7" t="s">
        <v>9</v>
      </c>
      <c r="C173" s="8">
        <v>1886</v>
      </c>
      <c r="D173" s="9">
        <v>45418</v>
      </c>
      <c r="E173" s="13" t="str">
        <f>+HYPERLINK("http://trademark.i-assist.jp/data/china/image_1886th/76523821.pdf","76523821")</f>
        <v>76523821</v>
      </c>
      <c r="F173" s="7" t="s">
        <v>496</v>
      </c>
      <c r="G173" s="7" t="s">
        <v>485</v>
      </c>
      <c r="H173" s="7" t="s">
        <v>497</v>
      </c>
      <c r="I173" s="9">
        <v>45313</v>
      </c>
    </row>
    <row r="174" spans="1:9" ht="27" x14ac:dyDescent="0.15">
      <c r="A174" s="6">
        <v>173</v>
      </c>
      <c r="B174" s="7" t="s">
        <v>9</v>
      </c>
      <c r="C174" s="8">
        <v>1886</v>
      </c>
      <c r="D174" s="9">
        <v>45418</v>
      </c>
      <c r="E174" s="13" t="str">
        <f>+HYPERLINK("http://trademark.i-assist.jp/data/china/image_1886th/76524172.pdf","76524172")</f>
        <v>76524172</v>
      </c>
      <c r="F174" s="7" t="s">
        <v>498</v>
      </c>
      <c r="G174" s="7" t="s">
        <v>488</v>
      </c>
      <c r="H174" s="7" t="s">
        <v>499</v>
      </c>
      <c r="I174" s="9">
        <v>45313</v>
      </c>
    </row>
    <row r="175" spans="1:9" x14ac:dyDescent="0.15">
      <c r="A175" s="6">
        <v>174</v>
      </c>
      <c r="B175" s="7" t="s">
        <v>9</v>
      </c>
      <c r="C175" s="8">
        <v>1886</v>
      </c>
      <c r="D175" s="9">
        <v>45418</v>
      </c>
      <c r="E175" s="13" t="str">
        <f>+HYPERLINK("http://trademark.i-assist.jp/data/china/image_1886th/76525122.pdf","76525122")</f>
        <v>76525122</v>
      </c>
      <c r="F175" s="7" t="s">
        <v>500</v>
      </c>
      <c r="G175" s="7" t="s">
        <v>485</v>
      </c>
      <c r="H175" s="7" t="s">
        <v>486</v>
      </c>
      <c r="I175" s="9">
        <v>45313</v>
      </c>
    </row>
    <row r="176" spans="1:9" x14ac:dyDescent="0.15">
      <c r="A176" s="6">
        <v>175</v>
      </c>
      <c r="B176" s="7" t="s">
        <v>9</v>
      </c>
      <c r="C176" s="8">
        <v>1886</v>
      </c>
      <c r="D176" s="9">
        <v>45418</v>
      </c>
      <c r="E176" s="13" t="str">
        <f>+HYPERLINK("http://trademark.i-assist.jp/data/china/image_1886th/76525125.pdf","76525125")</f>
        <v>76525125</v>
      </c>
      <c r="F176" s="7" t="s">
        <v>501</v>
      </c>
      <c r="G176" s="7" t="s">
        <v>485</v>
      </c>
      <c r="H176" s="7" t="s">
        <v>502</v>
      </c>
      <c r="I176" s="9">
        <v>45313</v>
      </c>
    </row>
    <row r="177" spans="1:9" x14ac:dyDescent="0.15">
      <c r="A177" s="6">
        <v>176</v>
      </c>
      <c r="B177" s="7" t="s">
        <v>9</v>
      </c>
      <c r="C177" s="8">
        <v>1886</v>
      </c>
      <c r="D177" s="9">
        <v>45418</v>
      </c>
      <c r="E177" s="13" t="str">
        <f>+HYPERLINK("http://trademark.i-assist.jp/data/china/image_1886th/76526163.pdf","76526163")</f>
        <v>76526163</v>
      </c>
      <c r="F177" s="7" t="s">
        <v>33</v>
      </c>
      <c r="G177" s="7" t="s">
        <v>503</v>
      </c>
      <c r="H177" s="7" t="s">
        <v>504</v>
      </c>
      <c r="I177" s="9">
        <v>45313</v>
      </c>
    </row>
    <row r="178" spans="1:9" x14ac:dyDescent="0.15">
      <c r="A178" s="6">
        <v>177</v>
      </c>
      <c r="B178" s="7" t="s">
        <v>9</v>
      </c>
      <c r="C178" s="8">
        <v>1886</v>
      </c>
      <c r="D178" s="9">
        <v>45418</v>
      </c>
      <c r="E178" s="13" t="str">
        <f>+HYPERLINK("http://trademark.i-assist.jp/data/china/image_1886th/76526576.pdf","76526576")</f>
        <v>76526576</v>
      </c>
      <c r="F178" s="7" t="s">
        <v>505</v>
      </c>
      <c r="G178" s="7" t="s">
        <v>506</v>
      </c>
      <c r="H178" s="7" t="s">
        <v>507</v>
      </c>
      <c r="I178" s="9">
        <v>45313</v>
      </c>
    </row>
    <row r="179" spans="1:9" x14ac:dyDescent="0.15">
      <c r="A179" s="6">
        <v>178</v>
      </c>
      <c r="B179" s="7" t="s">
        <v>9</v>
      </c>
      <c r="C179" s="8">
        <v>1886</v>
      </c>
      <c r="D179" s="9">
        <v>45418</v>
      </c>
      <c r="E179" s="13" t="str">
        <f>+HYPERLINK("http://trademark.i-assist.jp/data/china/image_1886th/76526738.pdf","76526738")</f>
        <v>76526738</v>
      </c>
      <c r="F179" s="7" t="s">
        <v>508</v>
      </c>
      <c r="G179" s="7" t="s">
        <v>509</v>
      </c>
      <c r="H179" s="7" t="s">
        <v>510</v>
      </c>
      <c r="I179" s="9">
        <v>45313</v>
      </c>
    </row>
    <row r="180" spans="1:9" ht="27" x14ac:dyDescent="0.15">
      <c r="A180" s="6">
        <v>179</v>
      </c>
      <c r="B180" s="7" t="s">
        <v>9</v>
      </c>
      <c r="C180" s="8">
        <v>1886</v>
      </c>
      <c r="D180" s="9">
        <v>45418</v>
      </c>
      <c r="E180" s="13" t="str">
        <f>+HYPERLINK("http://trademark.i-assist.jp/data/china/image_1886th/76527468.pdf","76527468")</f>
        <v>76527468</v>
      </c>
      <c r="F180" s="7" t="s">
        <v>511</v>
      </c>
      <c r="G180" s="7" t="s">
        <v>512</v>
      </c>
      <c r="H180" s="7" t="s">
        <v>513</v>
      </c>
      <c r="I180" s="9">
        <v>45313</v>
      </c>
    </row>
    <row r="181" spans="1:9" x14ac:dyDescent="0.15">
      <c r="A181" s="6">
        <v>180</v>
      </c>
      <c r="B181" s="7" t="s">
        <v>9</v>
      </c>
      <c r="C181" s="8">
        <v>1886</v>
      </c>
      <c r="D181" s="9">
        <v>45418</v>
      </c>
      <c r="E181" s="13" t="str">
        <f>+HYPERLINK("http://trademark.i-assist.jp/data/china/image_1886th/76527722.pdf","76527722")</f>
        <v>76527722</v>
      </c>
      <c r="F181" s="7" t="s">
        <v>514</v>
      </c>
      <c r="G181" s="7" t="s">
        <v>515</v>
      </c>
      <c r="H181" s="7" t="s">
        <v>516</v>
      </c>
      <c r="I181" s="9">
        <v>45313</v>
      </c>
    </row>
    <row r="182" spans="1:9" x14ac:dyDescent="0.15">
      <c r="A182" s="6">
        <v>181</v>
      </c>
      <c r="B182" s="7" t="s">
        <v>9</v>
      </c>
      <c r="C182" s="8">
        <v>1886</v>
      </c>
      <c r="D182" s="9">
        <v>45418</v>
      </c>
      <c r="E182" s="13" t="str">
        <f>+HYPERLINK("http://trademark.i-assist.jp/data/china/image_1886th/76528238.pdf","76528238")</f>
        <v>76528238</v>
      </c>
      <c r="F182" s="7" t="s">
        <v>517</v>
      </c>
      <c r="G182" s="7" t="s">
        <v>518</v>
      </c>
      <c r="H182" s="7" t="s">
        <v>519</v>
      </c>
      <c r="I182" s="9">
        <v>45313</v>
      </c>
    </row>
    <row r="183" spans="1:9" x14ac:dyDescent="0.15">
      <c r="A183" s="6">
        <v>182</v>
      </c>
      <c r="B183" s="7" t="s">
        <v>9</v>
      </c>
      <c r="C183" s="8">
        <v>1886</v>
      </c>
      <c r="D183" s="9">
        <v>45418</v>
      </c>
      <c r="E183" s="13" t="str">
        <f>+HYPERLINK("http://trademark.i-assist.jp/data/china/image_1886th/76528262.pdf","76528262")</f>
        <v>76528262</v>
      </c>
      <c r="F183" s="7" t="s">
        <v>520</v>
      </c>
      <c r="G183" s="7" t="s">
        <v>521</v>
      </c>
      <c r="H183" s="7" t="s">
        <v>522</v>
      </c>
      <c r="I183" s="9">
        <v>45313</v>
      </c>
    </row>
    <row r="184" spans="1:9" x14ac:dyDescent="0.15">
      <c r="A184" s="6">
        <v>183</v>
      </c>
      <c r="B184" s="7" t="s">
        <v>9</v>
      </c>
      <c r="C184" s="8">
        <v>1886</v>
      </c>
      <c r="D184" s="9">
        <v>45418</v>
      </c>
      <c r="E184" s="13" t="str">
        <f>+HYPERLINK("http://trademark.i-assist.jp/data/china/image_1886th/76528682.pdf","76528682")</f>
        <v>76528682</v>
      </c>
      <c r="F184" s="7" t="s">
        <v>523</v>
      </c>
      <c r="G184" s="7" t="s">
        <v>524</v>
      </c>
      <c r="H184" s="7" t="s">
        <v>525</v>
      </c>
      <c r="I184" s="9">
        <v>45313</v>
      </c>
    </row>
    <row r="185" spans="1:9" x14ac:dyDescent="0.15">
      <c r="A185" s="6">
        <v>184</v>
      </c>
      <c r="B185" s="7" t="s">
        <v>9</v>
      </c>
      <c r="C185" s="8">
        <v>1886</v>
      </c>
      <c r="D185" s="9">
        <v>45418</v>
      </c>
      <c r="E185" s="13" t="str">
        <f>+HYPERLINK("http://trademark.i-assist.jp/data/china/image_1886th/76529036.pdf","76529036")</f>
        <v>76529036</v>
      </c>
      <c r="F185" s="7" t="s">
        <v>526</v>
      </c>
      <c r="G185" s="7" t="s">
        <v>485</v>
      </c>
      <c r="H185" s="7" t="s">
        <v>527</v>
      </c>
      <c r="I185" s="9">
        <v>45313</v>
      </c>
    </row>
    <row r="186" spans="1:9" x14ac:dyDescent="0.15">
      <c r="A186" s="6">
        <v>185</v>
      </c>
      <c r="B186" s="7" t="s">
        <v>9</v>
      </c>
      <c r="C186" s="8">
        <v>1886</v>
      </c>
      <c r="D186" s="9">
        <v>45418</v>
      </c>
      <c r="E186" s="13" t="str">
        <f>+HYPERLINK("http://trademark.i-assist.jp/data/china/image_1886th/76529100.pdf","76529100")</f>
        <v>76529100</v>
      </c>
      <c r="F186" s="7" t="s">
        <v>528</v>
      </c>
      <c r="G186" s="7" t="s">
        <v>485</v>
      </c>
      <c r="H186" s="7" t="s">
        <v>486</v>
      </c>
      <c r="I186" s="9">
        <v>45313</v>
      </c>
    </row>
    <row r="187" spans="1:9" x14ac:dyDescent="0.15">
      <c r="A187" s="6">
        <v>186</v>
      </c>
      <c r="B187" s="7" t="s">
        <v>9</v>
      </c>
      <c r="C187" s="8">
        <v>1886</v>
      </c>
      <c r="D187" s="9">
        <v>45418</v>
      </c>
      <c r="E187" s="13" t="str">
        <f>+HYPERLINK("http://trademark.i-assist.jp/data/china/image_1886th/76530565.pdf","76530565")</f>
        <v>76530565</v>
      </c>
      <c r="F187" s="7" t="s">
        <v>529</v>
      </c>
      <c r="G187" s="7" t="s">
        <v>485</v>
      </c>
      <c r="H187" s="7" t="s">
        <v>530</v>
      </c>
      <c r="I187" s="9">
        <v>45313</v>
      </c>
    </row>
    <row r="188" spans="1:9" x14ac:dyDescent="0.15">
      <c r="A188" s="6">
        <v>187</v>
      </c>
      <c r="B188" s="7" t="s">
        <v>9</v>
      </c>
      <c r="C188" s="8">
        <v>1886</v>
      </c>
      <c r="D188" s="9">
        <v>45418</v>
      </c>
      <c r="E188" s="13" t="str">
        <f>+HYPERLINK("http://trademark.i-assist.jp/data/china/image_1886th/76530570.pdf","76530570")</f>
        <v>76530570</v>
      </c>
      <c r="F188" s="7" t="s">
        <v>531</v>
      </c>
      <c r="G188" s="7" t="s">
        <v>485</v>
      </c>
      <c r="H188" s="7" t="s">
        <v>486</v>
      </c>
      <c r="I188" s="9">
        <v>45313</v>
      </c>
    </row>
    <row r="189" spans="1:9" x14ac:dyDescent="0.15">
      <c r="A189" s="6">
        <v>188</v>
      </c>
      <c r="B189" s="7" t="s">
        <v>9</v>
      </c>
      <c r="C189" s="8">
        <v>1886</v>
      </c>
      <c r="D189" s="9">
        <v>45418</v>
      </c>
      <c r="E189" s="13" t="str">
        <f>+HYPERLINK("http://trademark.i-assist.jp/data/china/image_1886th/76530929.pdf","76530929")</f>
        <v>76530929</v>
      </c>
      <c r="F189" s="7" t="s">
        <v>532</v>
      </c>
      <c r="G189" s="7" t="s">
        <v>533</v>
      </c>
      <c r="H189" s="7" t="s">
        <v>534</v>
      </c>
      <c r="I189" s="9">
        <v>45313</v>
      </c>
    </row>
    <row r="190" spans="1:9" x14ac:dyDescent="0.15">
      <c r="A190" s="6">
        <v>189</v>
      </c>
      <c r="B190" s="7" t="s">
        <v>9</v>
      </c>
      <c r="C190" s="8">
        <v>1886</v>
      </c>
      <c r="D190" s="9">
        <v>45418</v>
      </c>
      <c r="E190" s="13" t="str">
        <f>+HYPERLINK("http://trademark.i-assist.jp/data/china/image_1886th/76531596.pdf","76531596")</f>
        <v>76531596</v>
      </c>
      <c r="F190" s="7" t="s">
        <v>535</v>
      </c>
      <c r="G190" s="7" t="s">
        <v>536</v>
      </c>
      <c r="H190" s="7" t="s">
        <v>537</v>
      </c>
      <c r="I190" s="9">
        <v>45313</v>
      </c>
    </row>
    <row r="191" spans="1:9" ht="27" x14ac:dyDescent="0.15">
      <c r="A191" s="6">
        <v>190</v>
      </c>
      <c r="B191" s="7" t="s">
        <v>9</v>
      </c>
      <c r="C191" s="8">
        <v>1886</v>
      </c>
      <c r="D191" s="9">
        <v>45418</v>
      </c>
      <c r="E191" s="13" t="str">
        <f>+HYPERLINK("http://trademark.i-assist.jp/data/china/image_1886th/76531875.pdf","76531875")</f>
        <v>76531875</v>
      </c>
      <c r="F191" s="7" t="s">
        <v>538</v>
      </c>
      <c r="G191" s="7" t="s">
        <v>539</v>
      </c>
      <c r="H191" s="7" t="s">
        <v>478</v>
      </c>
      <c r="I191" s="9">
        <v>45313</v>
      </c>
    </row>
    <row r="192" spans="1:9" x14ac:dyDescent="0.15">
      <c r="A192" s="6">
        <v>191</v>
      </c>
      <c r="B192" s="7" t="s">
        <v>9</v>
      </c>
      <c r="C192" s="8">
        <v>1886</v>
      </c>
      <c r="D192" s="9">
        <v>45418</v>
      </c>
      <c r="E192" s="13" t="str">
        <f>+HYPERLINK("http://trademark.i-assist.jp/data/china/image_1886th/76532231.pdf","76532231")</f>
        <v>76532231</v>
      </c>
      <c r="F192" s="7" t="s">
        <v>540</v>
      </c>
      <c r="G192" s="7" t="s">
        <v>485</v>
      </c>
      <c r="H192" s="7" t="s">
        <v>486</v>
      </c>
      <c r="I192" s="9">
        <v>45313</v>
      </c>
    </row>
    <row r="193" spans="1:9" x14ac:dyDescent="0.15">
      <c r="A193" s="6">
        <v>192</v>
      </c>
      <c r="B193" s="7" t="s">
        <v>9</v>
      </c>
      <c r="C193" s="8">
        <v>1886</v>
      </c>
      <c r="D193" s="9">
        <v>45418</v>
      </c>
      <c r="E193" s="13" t="str">
        <f>+HYPERLINK("http://trademark.i-assist.jp/data/china/image_1886th/76532418.pdf","76532418")</f>
        <v>76532418</v>
      </c>
      <c r="F193" s="7" t="s">
        <v>541</v>
      </c>
      <c r="G193" s="7" t="s">
        <v>542</v>
      </c>
      <c r="H193" s="7" t="s">
        <v>543</v>
      </c>
      <c r="I193" s="9">
        <v>45313</v>
      </c>
    </row>
    <row r="194" spans="1:9" ht="27" x14ac:dyDescent="0.15">
      <c r="A194" s="6">
        <v>193</v>
      </c>
      <c r="B194" s="7" t="s">
        <v>9</v>
      </c>
      <c r="C194" s="8">
        <v>1886</v>
      </c>
      <c r="D194" s="9">
        <v>45418</v>
      </c>
      <c r="E194" s="13" t="str">
        <f>+HYPERLINK("http://trademark.i-assist.jp/data/china/image_1886th/76532644.pdf","76532644")</f>
        <v>76532644</v>
      </c>
      <c r="F194" s="7" t="s">
        <v>544</v>
      </c>
      <c r="G194" s="7" t="s">
        <v>488</v>
      </c>
      <c r="H194" s="7" t="s">
        <v>545</v>
      </c>
      <c r="I194" s="9">
        <v>45313</v>
      </c>
    </row>
    <row r="195" spans="1:9" x14ac:dyDescent="0.15">
      <c r="A195" s="6">
        <v>194</v>
      </c>
      <c r="B195" s="7" t="s">
        <v>9</v>
      </c>
      <c r="C195" s="8">
        <v>1886</v>
      </c>
      <c r="D195" s="9">
        <v>45418</v>
      </c>
      <c r="E195" s="13" t="str">
        <f>+HYPERLINK("http://trademark.i-assist.jp/data/china/image_1886th/76532719.pdf","76532719")</f>
        <v>76532719</v>
      </c>
      <c r="F195" s="7" t="s">
        <v>546</v>
      </c>
      <c r="G195" s="7" t="s">
        <v>201</v>
      </c>
      <c r="H195" s="7" t="s">
        <v>547</v>
      </c>
      <c r="I195" s="9">
        <v>45313</v>
      </c>
    </row>
    <row r="196" spans="1:9" ht="27" x14ac:dyDescent="0.15">
      <c r="A196" s="6">
        <v>195</v>
      </c>
      <c r="B196" s="7" t="s">
        <v>9</v>
      </c>
      <c r="C196" s="8">
        <v>1886</v>
      </c>
      <c r="D196" s="9">
        <v>45418</v>
      </c>
      <c r="E196" s="13" t="str">
        <f>+HYPERLINK("http://trademark.i-assist.jp/data/china/image_1886th/76532934.pdf","76532934")</f>
        <v>76532934</v>
      </c>
      <c r="F196" s="7" t="s">
        <v>548</v>
      </c>
      <c r="G196" s="7" t="s">
        <v>549</v>
      </c>
      <c r="H196" s="7" t="s">
        <v>550</v>
      </c>
      <c r="I196" s="9">
        <v>45313</v>
      </c>
    </row>
    <row r="197" spans="1:9" x14ac:dyDescent="0.15">
      <c r="A197" s="6">
        <v>196</v>
      </c>
      <c r="B197" s="7" t="s">
        <v>9</v>
      </c>
      <c r="C197" s="8">
        <v>1886</v>
      </c>
      <c r="D197" s="9">
        <v>45418</v>
      </c>
      <c r="E197" s="13" t="str">
        <f>+HYPERLINK("http://trademark.i-assist.jp/data/china/image_1886th/76533393.pdf","76533393")</f>
        <v>76533393</v>
      </c>
      <c r="F197" s="7" t="s">
        <v>551</v>
      </c>
      <c r="G197" s="7" t="s">
        <v>112</v>
      </c>
      <c r="H197" s="7" t="s">
        <v>552</v>
      </c>
      <c r="I197" s="9">
        <v>45313</v>
      </c>
    </row>
    <row r="198" spans="1:9" ht="27" x14ac:dyDescent="0.15">
      <c r="A198" s="6">
        <v>197</v>
      </c>
      <c r="B198" s="7" t="s">
        <v>9</v>
      </c>
      <c r="C198" s="8">
        <v>1886</v>
      </c>
      <c r="D198" s="9">
        <v>45418</v>
      </c>
      <c r="E198" s="13" t="str">
        <f>+HYPERLINK("http://trademark.i-assist.jp/data/china/image_1886th/76533872.pdf","76533872")</f>
        <v>76533872</v>
      </c>
      <c r="F198" s="7" t="s">
        <v>553</v>
      </c>
      <c r="G198" s="7" t="s">
        <v>554</v>
      </c>
      <c r="H198" s="7" t="s">
        <v>555</v>
      </c>
      <c r="I198" s="9">
        <v>45313</v>
      </c>
    </row>
    <row r="199" spans="1:9" x14ac:dyDescent="0.15">
      <c r="A199" s="6">
        <v>198</v>
      </c>
      <c r="B199" s="7" t="s">
        <v>9</v>
      </c>
      <c r="C199" s="8">
        <v>1886</v>
      </c>
      <c r="D199" s="9">
        <v>45418</v>
      </c>
      <c r="E199" s="13" t="str">
        <f>+HYPERLINK("http://trademark.i-assist.jp/data/china/image_1886th/76534435.pdf","76534435")</f>
        <v>76534435</v>
      </c>
      <c r="F199" s="7" t="s">
        <v>556</v>
      </c>
      <c r="G199" s="7" t="s">
        <v>557</v>
      </c>
      <c r="H199" s="7" t="s">
        <v>558</v>
      </c>
      <c r="I199" s="9">
        <v>45313</v>
      </c>
    </row>
    <row r="200" spans="1:9" x14ac:dyDescent="0.15">
      <c r="A200" s="6">
        <v>199</v>
      </c>
      <c r="B200" s="7" t="s">
        <v>9</v>
      </c>
      <c r="C200" s="8">
        <v>1886</v>
      </c>
      <c r="D200" s="9">
        <v>45418</v>
      </c>
      <c r="E200" s="13" t="str">
        <f>+HYPERLINK("http://trademark.i-assist.jp/data/china/image_1886th/76534661.pdf","76534661")</f>
        <v>76534661</v>
      </c>
      <c r="F200" s="7" t="s">
        <v>559</v>
      </c>
      <c r="G200" s="7" t="s">
        <v>560</v>
      </c>
      <c r="H200" s="7" t="s">
        <v>561</v>
      </c>
      <c r="I200" s="9">
        <v>45313</v>
      </c>
    </row>
    <row r="201" spans="1:9" x14ac:dyDescent="0.15">
      <c r="A201" s="6">
        <v>200</v>
      </c>
      <c r="B201" s="7" t="s">
        <v>9</v>
      </c>
      <c r="C201" s="8">
        <v>1886</v>
      </c>
      <c r="D201" s="9">
        <v>45418</v>
      </c>
      <c r="E201" s="13" t="str">
        <f>+HYPERLINK("http://trademark.i-assist.jp/data/china/image_1886th/76534896.pdf","76534896")</f>
        <v>76534896</v>
      </c>
      <c r="F201" s="7" t="s">
        <v>562</v>
      </c>
      <c r="G201" s="7" t="s">
        <v>485</v>
      </c>
      <c r="H201" s="7" t="s">
        <v>563</v>
      </c>
      <c r="I201" s="9">
        <v>45313</v>
      </c>
    </row>
    <row r="202" spans="1:9" x14ac:dyDescent="0.15">
      <c r="A202" s="6">
        <v>201</v>
      </c>
      <c r="B202" s="7" t="s">
        <v>9</v>
      </c>
      <c r="C202" s="8">
        <v>1886</v>
      </c>
      <c r="D202" s="9">
        <v>45418</v>
      </c>
      <c r="E202" s="13" t="str">
        <f>+HYPERLINK("http://trademark.i-assist.jp/data/china/image_1886th/76535338.pdf","76535338")</f>
        <v>76535338</v>
      </c>
      <c r="F202" s="7" t="s">
        <v>564</v>
      </c>
      <c r="G202" s="7" t="s">
        <v>565</v>
      </c>
      <c r="H202" s="7" t="s">
        <v>566</v>
      </c>
      <c r="I202" s="9">
        <v>45313</v>
      </c>
    </row>
    <row r="203" spans="1:9" x14ac:dyDescent="0.15">
      <c r="A203" s="6">
        <v>202</v>
      </c>
      <c r="B203" s="7" t="s">
        <v>9</v>
      </c>
      <c r="C203" s="8">
        <v>1886</v>
      </c>
      <c r="D203" s="9">
        <v>45418</v>
      </c>
      <c r="E203" s="13" t="str">
        <f>+HYPERLINK("http://trademark.i-assist.jp/data/china/image_1886th/76535648.pdf","76535648")</f>
        <v>76535648</v>
      </c>
      <c r="F203" s="7" t="s">
        <v>567</v>
      </c>
      <c r="G203" s="7" t="s">
        <v>568</v>
      </c>
      <c r="H203" s="7" t="s">
        <v>569</v>
      </c>
      <c r="I203" s="9">
        <v>45313</v>
      </c>
    </row>
    <row r="204" spans="1:9" x14ac:dyDescent="0.15">
      <c r="A204" s="6">
        <v>203</v>
      </c>
      <c r="B204" s="7" t="s">
        <v>9</v>
      </c>
      <c r="C204" s="8">
        <v>1886</v>
      </c>
      <c r="D204" s="9">
        <v>45418</v>
      </c>
      <c r="E204" s="13" t="str">
        <f>+HYPERLINK("http://trademark.i-assist.jp/data/china/image_1886th/76536223.pdf","76536223")</f>
        <v>76536223</v>
      </c>
      <c r="F204" s="7" t="s">
        <v>570</v>
      </c>
      <c r="G204" s="7" t="s">
        <v>571</v>
      </c>
      <c r="H204" s="7" t="s">
        <v>572</v>
      </c>
      <c r="I204" s="9">
        <v>45313</v>
      </c>
    </row>
    <row r="205" spans="1:9" x14ac:dyDescent="0.15">
      <c r="A205" s="6">
        <v>204</v>
      </c>
      <c r="B205" s="7" t="s">
        <v>9</v>
      </c>
      <c r="C205" s="8">
        <v>1886</v>
      </c>
      <c r="D205" s="9">
        <v>45418</v>
      </c>
      <c r="E205" s="13" t="str">
        <f>+HYPERLINK("http://trademark.i-assist.jp/data/china/image_1886th/76537170.pdf","76537170")</f>
        <v>76537170</v>
      </c>
      <c r="F205" s="7" t="s">
        <v>573</v>
      </c>
      <c r="G205" s="7" t="s">
        <v>574</v>
      </c>
      <c r="H205" s="7" t="s">
        <v>575</v>
      </c>
      <c r="I205" s="9">
        <v>45313</v>
      </c>
    </row>
    <row r="206" spans="1:9" ht="27" x14ac:dyDescent="0.15">
      <c r="A206" s="6">
        <v>205</v>
      </c>
      <c r="B206" s="7" t="s">
        <v>9</v>
      </c>
      <c r="C206" s="8">
        <v>1886</v>
      </c>
      <c r="D206" s="9">
        <v>45418</v>
      </c>
      <c r="E206" s="13" t="str">
        <f>+HYPERLINK("http://trademark.i-assist.jp/data/china/image_1886th/76537193.pdf","76537193")</f>
        <v>76537193</v>
      </c>
      <c r="F206" s="7" t="s">
        <v>576</v>
      </c>
      <c r="G206" s="7" t="s">
        <v>539</v>
      </c>
      <c r="H206" s="7" t="s">
        <v>478</v>
      </c>
      <c r="I206" s="9">
        <v>45313</v>
      </c>
    </row>
    <row r="207" spans="1:9" x14ac:dyDescent="0.15">
      <c r="A207" s="6">
        <v>206</v>
      </c>
      <c r="B207" s="7" t="s">
        <v>9</v>
      </c>
      <c r="C207" s="8">
        <v>1886</v>
      </c>
      <c r="D207" s="9">
        <v>45418</v>
      </c>
      <c r="E207" s="13" t="str">
        <f>+HYPERLINK("http://trademark.i-assist.jp/data/china/image_1886th/76537560.pdf","76537560")</f>
        <v>76537560</v>
      </c>
      <c r="F207" s="7" t="s">
        <v>577</v>
      </c>
      <c r="G207" s="7" t="s">
        <v>578</v>
      </c>
      <c r="H207" s="7" t="s">
        <v>579</v>
      </c>
      <c r="I207" s="9">
        <v>45313</v>
      </c>
    </row>
    <row r="208" spans="1:9" x14ac:dyDescent="0.15">
      <c r="A208" s="6">
        <v>207</v>
      </c>
      <c r="B208" s="7" t="s">
        <v>9</v>
      </c>
      <c r="C208" s="8">
        <v>1886</v>
      </c>
      <c r="D208" s="9">
        <v>45418</v>
      </c>
      <c r="E208" s="13" t="str">
        <f>+HYPERLINK("http://trademark.i-assist.jp/data/china/image_1886th/76538200.pdf","76538200")</f>
        <v>76538200</v>
      </c>
      <c r="F208" s="7" t="s">
        <v>580</v>
      </c>
      <c r="G208" s="7" t="s">
        <v>485</v>
      </c>
      <c r="H208" s="7" t="s">
        <v>486</v>
      </c>
      <c r="I208" s="9">
        <v>45313</v>
      </c>
    </row>
    <row r="209" spans="1:9" x14ac:dyDescent="0.15">
      <c r="A209" s="6">
        <v>208</v>
      </c>
      <c r="B209" s="7" t="s">
        <v>9</v>
      </c>
      <c r="C209" s="8">
        <v>1886</v>
      </c>
      <c r="D209" s="9">
        <v>45418</v>
      </c>
      <c r="E209" s="13" t="str">
        <f>+HYPERLINK("http://trademark.i-assist.jp/data/china/image_1886th/76538951.pdf","76538951")</f>
        <v>76538951</v>
      </c>
      <c r="F209" s="7" t="s">
        <v>581</v>
      </c>
      <c r="G209" s="7" t="s">
        <v>582</v>
      </c>
      <c r="H209" s="7" t="s">
        <v>583</v>
      </c>
      <c r="I209" s="9">
        <v>45313</v>
      </c>
    </row>
    <row r="210" spans="1:9" x14ac:dyDescent="0.15">
      <c r="A210" s="6">
        <v>209</v>
      </c>
      <c r="B210" s="7" t="s">
        <v>9</v>
      </c>
      <c r="C210" s="8">
        <v>1886</v>
      </c>
      <c r="D210" s="9">
        <v>45418</v>
      </c>
      <c r="E210" s="13" t="str">
        <f>+HYPERLINK("http://trademark.i-assist.jp/data/china/image_1886th/76539520.pdf","76539520")</f>
        <v>76539520</v>
      </c>
      <c r="F210" s="7" t="s">
        <v>584</v>
      </c>
      <c r="G210" s="7" t="s">
        <v>585</v>
      </c>
      <c r="H210" s="7" t="s">
        <v>586</v>
      </c>
      <c r="I210" s="9">
        <v>45313</v>
      </c>
    </row>
    <row r="211" spans="1:9" x14ac:dyDescent="0.15">
      <c r="A211" s="6">
        <v>210</v>
      </c>
      <c r="B211" s="7" t="s">
        <v>9</v>
      </c>
      <c r="C211" s="8">
        <v>1886</v>
      </c>
      <c r="D211" s="9">
        <v>45418</v>
      </c>
      <c r="E211" s="13" t="str">
        <f>+HYPERLINK("http://trademark.i-assist.jp/data/china/image_1886th/76540094.pdf","76540094")</f>
        <v>76540094</v>
      </c>
      <c r="F211" s="7" t="s">
        <v>587</v>
      </c>
      <c r="G211" s="7" t="s">
        <v>588</v>
      </c>
      <c r="H211" s="7" t="s">
        <v>589</v>
      </c>
      <c r="I211" s="9">
        <v>45313</v>
      </c>
    </row>
    <row r="212" spans="1:9" x14ac:dyDescent="0.15">
      <c r="A212" s="6">
        <v>211</v>
      </c>
      <c r="B212" s="7" t="s">
        <v>9</v>
      </c>
      <c r="C212" s="8">
        <v>1886</v>
      </c>
      <c r="D212" s="9">
        <v>45418</v>
      </c>
      <c r="E212" s="13" t="str">
        <f>+HYPERLINK("http://trademark.i-assist.jp/data/china/image_1886th/76540495.pdf","76540495")</f>
        <v>76540495</v>
      </c>
      <c r="F212" s="7" t="s">
        <v>590</v>
      </c>
      <c r="G212" s="7" t="s">
        <v>591</v>
      </c>
      <c r="H212" s="7" t="s">
        <v>592</v>
      </c>
      <c r="I212" s="9">
        <v>45313</v>
      </c>
    </row>
    <row r="213" spans="1:9" x14ac:dyDescent="0.15">
      <c r="A213" s="6">
        <v>212</v>
      </c>
      <c r="B213" s="7" t="s">
        <v>9</v>
      </c>
      <c r="C213" s="8">
        <v>1886</v>
      </c>
      <c r="D213" s="9">
        <v>45418</v>
      </c>
      <c r="E213" s="13" t="str">
        <f>+HYPERLINK("http://trademark.i-assist.jp/data/china/image_1886th/76541298.pdf","76541298")</f>
        <v>76541298</v>
      </c>
      <c r="F213" s="7" t="s">
        <v>593</v>
      </c>
      <c r="G213" s="7" t="s">
        <v>485</v>
      </c>
      <c r="H213" s="7" t="s">
        <v>594</v>
      </c>
      <c r="I213" s="9">
        <v>45313</v>
      </c>
    </row>
    <row r="214" spans="1:9" x14ac:dyDescent="0.15">
      <c r="A214" s="6">
        <v>213</v>
      </c>
      <c r="B214" s="7" t="s">
        <v>9</v>
      </c>
      <c r="C214" s="8">
        <v>1886</v>
      </c>
      <c r="D214" s="9">
        <v>45418</v>
      </c>
      <c r="E214" s="13" t="str">
        <f>+HYPERLINK("http://trademark.i-assist.jp/data/china/image_1886th/76541370.pdf","76541370")</f>
        <v>76541370</v>
      </c>
      <c r="F214" s="7" t="s">
        <v>595</v>
      </c>
      <c r="G214" s="7" t="s">
        <v>485</v>
      </c>
      <c r="H214" s="7" t="s">
        <v>486</v>
      </c>
      <c r="I214" s="9">
        <v>45313</v>
      </c>
    </row>
    <row r="215" spans="1:9" ht="27" x14ac:dyDescent="0.15">
      <c r="A215" s="6">
        <v>214</v>
      </c>
      <c r="B215" s="7" t="s">
        <v>9</v>
      </c>
      <c r="C215" s="8">
        <v>1886</v>
      </c>
      <c r="D215" s="9">
        <v>45418</v>
      </c>
      <c r="E215" s="13" t="str">
        <f>+HYPERLINK("http://trademark.i-assist.jp/data/china/image_1886th/76541489.pdf","76541489")</f>
        <v>76541489</v>
      </c>
      <c r="F215" s="7" t="s">
        <v>596</v>
      </c>
      <c r="G215" s="7" t="s">
        <v>597</v>
      </c>
      <c r="H215" s="7" t="s">
        <v>598</v>
      </c>
      <c r="I215" s="9">
        <v>45313</v>
      </c>
    </row>
    <row r="216" spans="1:9" x14ac:dyDescent="0.15">
      <c r="A216" s="6">
        <v>215</v>
      </c>
      <c r="B216" s="7" t="s">
        <v>9</v>
      </c>
      <c r="C216" s="8">
        <v>1886</v>
      </c>
      <c r="D216" s="9">
        <v>45418</v>
      </c>
      <c r="E216" s="13" t="str">
        <f>+HYPERLINK("http://trademark.i-assist.jp/data/china/image_1886th/76541778.pdf","76541778")</f>
        <v>76541778</v>
      </c>
      <c r="F216" s="7" t="s">
        <v>599</v>
      </c>
      <c r="G216" s="7" t="s">
        <v>600</v>
      </c>
      <c r="H216" s="7" t="s">
        <v>601</v>
      </c>
      <c r="I216" s="9">
        <v>45313</v>
      </c>
    </row>
    <row r="217" spans="1:9" x14ac:dyDescent="0.15">
      <c r="A217" s="6">
        <v>216</v>
      </c>
      <c r="B217" s="7" t="s">
        <v>9</v>
      </c>
      <c r="C217" s="8">
        <v>1886</v>
      </c>
      <c r="D217" s="9">
        <v>45418</v>
      </c>
      <c r="E217" s="13" t="str">
        <f>+HYPERLINK("http://trademark.i-assist.jp/data/china/image_1886th/76542312.pdf","76542312")</f>
        <v>76542312</v>
      </c>
      <c r="F217" s="7" t="s">
        <v>602</v>
      </c>
      <c r="G217" s="7" t="s">
        <v>485</v>
      </c>
      <c r="H217" s="7" t="s">
        <v>486</v>
      </c>
      <c r="I217" s="9">
        <v>45313</v>
      </c>
    </row>
    <row r="218" spans="1:9" x14ac:dyDescent="0.15">
      <c r="A218" s="6">
        <v>217</v>
      </c>
      <c r="B218" s="7" t="s">
        <v>9</v>
      </c>
      <c r="C218" s="8">
        <v>1886</v>
      </c>
      <c r="D218" s="9">
        <v>45418</v>
      </c>
      <c r="E218" s="13" t="str">
        <f>+HYPERLINK("http://trademark.i-assist.jp/data/china/image_1886th/76542350.pdf","76542350")</f>
        <v>76542350</v>
      </c>
      <c r="F218" s="7" t="s">
        <v>603</v>
      </c>
      <c r="G218" s="7" t="s">
        <v>604</v>
      </c>
      <c r="H218" s="7" t="s">
        <v>605</v>
      </c>
      <c r="I218" s="9">
        <v>45313</v>
      </c>
    </row>
    <row r="219" spans="1:9" x14ac:dyDescent="0.15">
      <c r="A219" s="6">
        <v>218</v>
      </c>
      <c r="B219" s="7" t="s">
        <v>9</v>
      </c>
      <c r="C219" s="8">
        <v>1886</v>
      </c>
      <c r="D219" s="9">
        <v>45418</v>
      </c>
      <c r="E219" s="13" t="str">
        <f>+HYPERLINK("http://trademark.i-assist.jp/data/china/image_1886th/76542359.pdf","76542359")</f>
        <v>76542359</v>
      </c>
      <c r="F219" s="7" t="s">
        <v>606</v>
      </c>
      <c r="G219" s="7" t="s">
        <v>485</v>
      </c>
      <c r="H219" s="7" t="s">
        <v>486</v>
      </c>
      <c r="I219" s="9">
        <v>45313</v>
      </c>
    </row>
    <row r="220" spans="1:9" x14ac:dyDescent="0.15">
      <c r="A220" s="6">
        <v>219</v>
      </c>
      <c r="B220" s="7" t="s">
        <v>9</v>
      </c>
      <c r="C220" s="8">
        <v>1886</v>
      </c>
      <c r="D220" s="9">
        <v>45418</v>
      </c>
      <c r="E220" s="13" t="str">
        <f>+HYPERLINK("http://trademark.i-assist.jp/data/china/image_1886th/76543419.pdf","76543419")</f>
        <v>76543419</v>
      </c>
      <c r="F220" s="7" t="s">
        <v>607</v>
      </c>
      <c r="G220" s="7" t="s">
        <v>608</v>
      </c>
      <c r="H220" s="7" t="s">
        <v>609</v>
      </c>
      <c r="I220" s="9">
        <v>45313</v>
      </c>
    </row>
    <row r="221" spans="1:9" x14ac:dyDescent="0.15">
      <c r="A221" s="6">
        <v>220</v>
      </c>
      <c r="B221" s="7" t="s">
        <v>9</v>
      </c>
      <c r="C221" s="8">
        <v>1886</v>
      </c>
      <c r="D221" s="9">
        <v>45418</v>
      </c>
      <c r="E221" s="13" t="str">
        <f>+HYPERLINK("http://trademark.i-assist.jp/data/china/image_1886th/76544310.pdf","76544310")</f>
        <v>76544310</v>
      </c>
      <c r="F221" s="7" t="s">
        <v>610</v>
      </c>
      <c r="G221" s="7" t="s">
        <v>611</v>
      </c>
      <c r="H221" s="7" t="s">
        <v>612</v>
      </c>
      <c r="I221" s="9">
        <v>45313</v>
      </c>
    </row>
    <row r="222" spans="1:9" ht="27" x14ac:dyDescent="0.15">
      <c r="A222" s="6">
        <v>221</v>
      </c>
      <c r="B222" s="7" t="s">
        <v>9</v>
      </c>
      <c r="C222" s="8">
        <v>1886</v>
      </c>
      <c r="D222" s="9">
        <v>45418</v>
      </c>
      <c r="E222" s="13" t="str">
        <f>+HYPERLINK("http://trademark.i-assist.jp/data/china/image_1886th/76544349.pdf","76544349")</f>
        <v>76544349</v>
      </c>
      <c r="F222" s="7" t="s">
        <v>613</v>
      </c>
      <c r="G222" s="7" t="s">
        <v>614</v>
      </c>
      <c r="H222" s="7" t="s">
        <v>161</v>
      </c>
      <c r="I222" s="9">
        <v>45314</v>
      </c>
    </row>
    <row r="223" spans="1:9" ht="27" x14ac:dyDescent="0.15">
      <c r="A223" s="6">
        <v>222</v>
      </c>
      <c r="B223" s="7" t="s">
        <v>9</v>
      </c>
      <c r="C223" s="8">
        <v>1886</v>
      </c>
      <c r="D223" s="9">
        <v>45418</v>
      </c>
      <c r="E223" s="13" t="str">
        <f>+HYPERLINK("http://trademark.i-assist.jp/data/china/image_1886th/76544352.pdf","76544352")</f>
        <v>76544352</v>
      </c>
      <c r="F223" s="7" t="s">
        <v>615</v>
      </c>
      <c r="G223" s="7" t="s">
        <v>614</v>
      </c>
      <c r="H223" s="7" t="s">
        <v>161</v>
      </c>
      <c r="I223" s="9">
        <v>45314</v>
      </c>
    </row>
    <row r="224" spans="1:9" x14ac:dyDescent="0.15">
      <c r="A224" s="6">
        <v>223</v>
      </c>
      <c r="B224" s="7" t="s">
        <v>9</v>
      </c>
      <c r="C224" s="8">
        <v>1886</v>
      </c>
      <c r="D224" s="9">
        <v>45418</v>
      </c>
      <c r="E224" s="13" t="str">
        <f>+HYPERLINK("http://trademark.i-assist.jp/data/china/image_1886th/76545936.pdf","76545936")</f>
        <v>76545936</v>
      </c>
      <c r="F224" s="7" t="s">
        <v>616</v>
      </c>
      <c r="G224" s="7" t="s">
        <v>617</v>
      </c>
      <c r="H224" s="7" t="s">
        <v>618</v>
      </c>
      <c r="I224" s="9">
        <v>45314</v>
      </c>
    </row>
    <row r="225" spans="1:9" x14ac:dyDescent="0.15">
      <c r="A225" s="6">
        <v>224</v>
      </c>
      <c r="B225" s="7" t="s">
        <v>9</v>
      </c>
      <c r="C225" s="8">
        <v>1886</v>
      </c>
      <c r="D225" s="9">
        <v>45418</v>
      </c>
      <c r="E225" s="13" t="str">
        <f>+HYPERLINK("http://trademark.i-assist.jp/data/china/image_1886th/76546882.pdf","76546882")</f>
        <v>76546882</v>
      </c>
      <c r="F225" s="7" t="s">
        <v>619</v>
      </c>
      <c r="G225" s="7" t="s">
        <v>620</v>
      </c>
      <c r="H225" s="7" t="s">
        <v>621</v>
      </c>
      <c r="I225" s="9">
        <v>45314</v>
      </c>
    </row>
    <row r="226" spans="1:9" x14ac:dyDescent="0.15">
      <c r="A226" s="6">
        <v>225</v>
      </c>
      <c r="B226" s="7" t="s">
        <v>9</v>
      </c>
      <c r="C226" s="8">
        <v>1886</v>
      </c>
      <c r="D226" s="9">
        <v>45418</v>
      </c>
      <c r="E226" s="13" t="str">
        <f>+HYPERLINK("http://trademark.i-assist.jp/data/china/image_1886th/76549862.pdf","76549862")</f>
        <v>76549862</v>
      </c>
      <c r="F226" s="7" t="s">
        <v>622</v>
      </c>
      <c r="G226" s="7" t="s">
        <v>623</v>
      </c>
      <c r="H226" s="7" t="s">
        <v>624</v>
      </c>
      <c r="I226" s="9">
        <v>45314</v>
      </c>
    </row>
    <row r="227" spans="1:9" ht="27" x14ac:dyDescent="0.15">
      <c r="A227" s="6">
        <v>226</v>
      </c>
      <c r="B227" s="7" t="s">
        <v>9</v>
      </c>
      <c r="C227" s="8">
        <v>1886</v>
      </c>
      <c r="D227" s="9">
        <v>45418</v>
      </c>
      <c r="E227" s="13" t="str">
        <f>+HYPERLINK("http://trademark.i-assist.jp/data/china/image_1886th/76550181.pdf","76550181")</f>
        <v>76550181</v>
      </c>
      <c r="F227" s="7" t="s">
        <v>625</v>
      </c>
      <c r="G227" s="7" t="s">
        <v>626</v>
      </c>
      <c r="H227" s="7" t="s">
        <v>627</v>
      </c>
      <c r="I227" s="9">
        <v>45314</v>
      </c>
    </row>
    <row r="228" spans="1:9" x14ac:dyDescent="0.15">
      <c r="A228" s="6">
        <v>227</v>
      </c>
      <c r="B228" s="7" t="s">
        <v>9</v>
      </c>
      <c r="C228" s="8">
        <v>1886</v>
      </c>
      <c r="D228" s="9">
        <v>45418</v>
      </c>
      <c r="E228" s="13" t="str">
        <f>+HYPERLINK("http://trademark.i-assist.jp/data/china/image_1886th/76550325.pdf","76550325")</f>
        <v>76550325</v>
      </c>
      <c r="F228" s="7" t="s">
        <v>628</v>
      </c>
      <c r="G228" s="7" t="s">
        <v>629</v>
      </c>
      <c r="H228" s="7" t="s">
        <v>630</v>
      </c>
      <c r="I228" s="9">
        <v>45314</v>
      </c>
    </row>
    <row r="229" spans="1:9" x14ac:dyDescent="0.15">
      <c r="A229" s="6">
        <v>228</v>
      </c>
      <c r="B229" s="7" t="s">
        <v>9</v>
      </c>
      <c r="C229" s="8">
        <v>1886</v>
      </c>
      <c r="D229" s="9">
        <v>45418</v>
      </c>
      <c r="E229" s="13" t="str">
        <f>+HYPERLINK("http://trademark.i-assist.jp/data/china/image_1886th/76552913.pdf","76552913")</f>
        <v>76552913</v>
      </c>
      <c r="F229" s="7" t="s">
        <v>631</v>
      </c>
      <c r="G229" s="7" t="s">
        <v>632</v>
      </c>
      <c r="H229" s="7" t="s">
        <v>633</v>
      </c>
      <c r="I229" s="9">
        <v>45314</v>
      </c>
    </row>
    <row r="230" spans="1:9" x14ac:dyDescent="0.15">
      <c r="A230" s="6">
        <v>229</v>
      </c>
      <c r="B230" s="7" t="s">
        <v>9</v>
      </c>
      <c r="C230" s="8">
        <v>1886</v>
      </c>
      <c r="D230" s="9">
        <v>45418</v>
      </c>
      <c r="E230" s="13" t="str">
        <f>+HYPERLINK("http://trademark.i-assist.jp/data/china/image_1886th/76556377.pdf","76556377")</f>
        <v>76556377</v>
      </c>
      <c r="F230" s="7" t="s">
        <v>634</v>
      </c>
      <c r="G230" s="7" t="s">
        <v>635</v>
      </c>
      <c r="H230" s="7" t="s">
        <v>636</v>
      </c>
      <c r="I230" s="9">
        <v>45314</v>
      </c>
    </row>
    <row r="231" spans="1:9" x14ac:dyDescent="0.15">
      <c r="A231" s="6">
        <v>230</v>
      </c>
      <c r="B231" s="7" t="s">
        <v>9</v>
      </c>
      <c r="C231" s="8">
        <v>1886</v>
      </c>
      <c r="D231" s="9">
        <v>45418</v>
      </c>
      <c r="E231" s="13" t="str">
        <f>+HYPERLINK("http://trademark.i-assist.jp/data/china/image_1886th/76556730.pdf","76556730")</f>
        <v>76556730</v>
      </c>
      <c r="F231" s="7" t="s">
        <v>637</v>
      </c>
      <c r="G231" s="7" t="s">
        <v>638</v>
      </c>
      <c r="H231" s="7" t="s">
        <v>639</v>
      </c>
      <c r="I231" s="9">
        <v>45314</v>
      </c>
    </row>
    <row r="232" spans="1:9" ht="27" x14ac:dyDescent="0.15">
      <c r="A232" s="6">
        <v>231</v>
      </c>
      <c r="B232" s="7" t="s">
        <v>9</v>
      </c>
      <c r="C232" s="8">
        <v>1886</v>
      </c>
      <c r="D232" s="9">
        <v>45418</v>
      </c>
      <c r="E232" s="13" t="str">
        <f>+HYPERLINK("http://trademark.i-assist.jp/data/china/image_1886th/76557096.pdf","76557096")</f>
        <v>76557096</v>
      </c>
      <c r="F232" s="7" t="s">
        <v>640</v>
      </c>
      <c r="G232" s="7" t="s">
        <v>641</v>
      </c>
      <c r="H232" s="7" t="s">
        <v>642</v>
      </c>
      <c r="I232" s="9">
        <v>45314</v>
      </c>
    </row>
    <row r="233" spans="1:9" x14ac:dyDescent="0.15">
      <c r="A233" s="6">
        <v>232</v>
      </c>
      <c r="B233" s="7" t="s">
        <v>9</v>
      </c>
      <c r="C233" s="8">
        <v>1886</v>
      </c>
      <c r="D233" s="9">
        <v>45418</v>
      </c>
      <c r="E233" s="13" t="str">
        <f>+HYPERLINK("http://trademark.i-assist.jp/data/china/image_1886th/76558288.pdf","76558288")</f>
        <v>76558288</v>
      </c>
      <c r="F233" s="7" t="s">
        <v>643</v>
      </c>
      <c r="G233" s="7" t="s">
        <v>644</v>
      </c>
      <c r="H233" s="7" t="s">
        <v>645</v>
      </c>
      <c r="I233" s="9">
        <v>45314</v>
      </c>
    </row>
    <row r="234" spans="1:9" x14ac:dyDescent="0.15">
      <c r="A234" s="6">
        <v>233</v>
      </c>
      <c r="B234" s="7" t="s">
        <v>9</v>
      </c>
      <c r="C234" s="8">
        <v>1886</v>
      </c>
      <c r="D234" s="9">
        <v>45418</v>
      </c>
      <c r="E234" s="13" t="str">
        <f>+HYPERLINK("http://trademark.i-assist.jp/data/china/image_1886th/76561509.pdf","76561509")</f>
        <v>76561509</v>
      </c>
      <c r="F234" s="7" t="s">
        <v>646</v>
      </c>
      <c r="G234" s="7" t="s">
        <v>647</v>
      </c>
      <c r="H234" s="7" t="s">
        <v>648</v>
      </c>
      <c r="I234" s="9">
        <v>45314</v>
      </c>
    </row>
    <row r="235" spans="1:9" x14ac:dyDescent="0.15">
      <c r="A235" s="6">
        <v>234</v>
      </c>
      <c r="B235" s="7" t="s">
        <v>9</v>
      </c>
      <c r="C235" s="8">
        <v>1886</v>
      </c>
      <c r="D235" s="9">
        <v>45418</v>
      </c>
      <c r="E235" s="13" t="str">
        <f>+HYPERLINK("http://trademark.i-assist.jp/data/china/image_1886th/76562467.pdf","76562467")</f>
        <v>76562467</v>
      </c>
      <c r="F235" s="7" t="s">
        <v>649</v>
      </c>
      <c r="G235" s="7" t="s">
        <v>650</v>
      </c>
      <c r="H235" s="7" t="s">
        <v>651</v>
      </c>
      <c r="I235" s="9">
        <v>45314</v>
      </c>
    </row>
    <row r="236" spans="1:9" x14ac:dyDescent="0.15">
      <c r="A236" s="6">
        <v>235</v>
      </c>
      <c r="B236" s="7" t="s">
        <v>9</v>
      </c>
      <c r="C236" s="8">
        <v>1886</v>
      </c>
      <c r="D236" s="9">
        <v>45418</v>
      </c>
      <c r="E236" s="13" t="str">
        <f>+HYPERLINK("http://trademark.i-assist.jp/data/china/image_1886th/76563127.pdf","76563127")</f>
        <v>76563127</v>
      </c>
      <c r="F236" s="7" t="s">
        <v>652</v>
      </c>
      <c r="G236" s="7" t="s">
        <v>653</v>
      </c>
      <c r="H236" s="7" t="s">
        <v>654</v>
      </c>
      <c r="I236" s="9">
        <v>45314</v>
      </c>
    </row>
    <row r="237" spans="1:9" x14ac:dyDescent="0.15">
      <c r="A237" s="6">
        <v>236</v>
      </c>
      <c r="B237" s="7" t="s">
        <v>9</v>
      </c>
      <c r="C237" s="8">
        <v>1886</v>
      </c>
      <c r="D237" s="9">
        <v>45418</v>
      </c>
      <c r="E237" s="13" t="str">
        <f>+HYPERLINK("http://trademark.i-assist.jp/data/china/image_1886th/76563533.pdf","76563533")</f>
        <v>76563533</v>
      </c>
      <c r="F237" s="7" t="s">
        <v>655</v>
      </c>
      <c r="G237" s="7" t="s">
        <v>656</v>
      </c>
      <c r="H237" s="7" t="s">
        <v>657</v>
      </c>
      <c r="I237" s="9">
        <v>45314</v>
      </c>
    </row>
    <row r="238" spans="1:9" x14ac:dyDescent="0.15">
      <c r="A238" s="6">
        <v>237</v>
      </c>
      <c r="B238" s="7" t="s">
        <v>9</v>
      </c>
      <c r="C238" s="8">
        <v>1886</v>
      </c>
      <c r="D238" s="9">
        <v>45418</v>
      </c>
      <c r="E238" s="13" t="str">
        <f>+HYPERLINK("http://trademark.i-assist.jp/data/china/image_1886th/76563914.pdf","76563914")</f>
        <v>76563914</v>
      </c>
      <c r="F238" s="7" t="s">
        <v>658</v>
      </c>
      <c r="G238" s="7" t="s">
        <v>659</v>
      </c>
      <c r="H238" s="7" t="s">
        <v>660</v>
      </c>
      <c r="I238" s="9">
        <v>45314</v>
      </c>
    </row>
    <row r="239" spans="1:9" x14ac:dyDescent="0.15">
      <c r="A239" s="6">
        <v>238</v>
      </c>
      <c r="B239" s="7" t="s">
        <v>9</v>
      </c>
      <c r="C239" s="8">
        <v>1886</v>
      </c>
      <c r="D239" s="9">
        <v>45418</v>
      </c>
      <c r="E239" s="13" t="str">
        <f>+HYPERLINK("http://trademark.i-assist.jp/data/china/image_1886th/76564617.pdf","76564617")</f>
        <v>76564617</v>
      </c>
      <c r="F239" s="7" t="s">
        <v>661</v>
      </c>
      <c r="G239" s="7" t="s">
        <v>662</v>
      </c>
      <c r="H239" s="7" t="s">
        <v>663</v>
      </c>
      <c r="I239" s="9">
        <v>45314</v>
      </c>
    </row>
    <row r="240" spans="1:9" x14ac:dyDescent="0.15">
      <c r="A240" s="6">
        <v>239</v>
      </c>
      <c r="B240" s="7" t="s">
        <v>9</v>
      </c>
      <c r="C240" s="8">
        <v>1886</v>
      </c>
      <c r="D240" s="9">
        <v>45418</v>
      </c>
      <c r="E240" s="13" t="str">
        <f>+HYPERLINK("http://trademark.i-assist.jp/data/china/image_1886th/76566196.pdf","76566196")</f>
        <v>76566196</v>
      </c>
      <c r="F240" s="7" t="s">
        <v>664</v>
      </c>
      <c r="G240" s="7" t="s">
        <v>665</v>
      </c>
      <c r="H240" s="7" t="s">
        <v>666</v>
      </c>
      <c r="I240" s="9">
        <v>45314</v>
      </c>
    </row>
    <row r="241" spans="1:9" x14ac:dyDescent="0.15">
      <c r="A241" s="6">
        <v>240</v>
      </c>
      <c r="B241" s="7" t="s">
        <v>9</v>
      </c>
      <c r="C241" s="8">
        <v>1886</v>
      </c>
      <c r="D241" s="9">
        <v>45418</v>
      </c>
      <c r="E241" s="13" t="str">
        <f>+HYPERLINK("http://trademark.i-assist.jp/data/china/image_1886th/76566613.pdf","76566613")</f>
        <v>76566613</v>
      </c>
      <c r="F241" s="7" t="s">
        <v>667</v>
      </c>
      <c r="G241" s="7" t="s">
        <v>668</v>
      </c>
      <c r="H241" s="7" t="s">
        <v>669</v>
      </c>
      <c r="I241" s="9">
        <v>45314</v>
      </c>
    </row>
    <row r="242" spans="1:9" x14ac:dyDescent="0.15">
      <c r="A242" s="6">
        <v>241</v>
      </c>
      <c r="B242" s="7" t="s">
        <v>9</v>
      </c>
      <c r="C242" s="8">
        <v>1886</v>
      </c>
      <c r="D242" s="9">
        <v>45418</v>
      </c>
      <c r="E242" s="13" t="str">
        <f>+HYPERLINK("http://trademark.i-assist.jp/data/china/image_1886th/76567112.pdf","76567112")</f>
        <v>76567112</v>
      </c>
      <c r="F242" s="7" t="s">
        <v>670</v>
      </c>
      <c r="G242" s="7" t="s">
        <v>671</v>
      </c>
      <c r="H242" s="7" t="s">
        <v>672</v>
      </c>
      <c r="I242" s="9">
        <v>45314</v>
      </c>
    </row>
    <row r="243" spans="1:9" ht="27" x14ac:dyDescent="0.15">
      <c r="A243" s="6">
        <v>242</v>
      </c>
      <c r="B243" s="7" t="s">
        <v>9</v>
      </c>
      <c r="C243" s="8">
        <v>1886</v>
      </c>
      <c r="D243" s="9">
        <v>45418</v>
      </c>
      <c r="E243" s="13" t="str">
        <f>+HYPERLINK("http://trademark.i-assist.jp/data/china/image_1886th/76567753.pdf","76567753")</f>
        <v>76567753</v>
      </c>
      <c r="F243" s="7" t="s">
        <v>673</v>
      </c>
      <c r="G243" s="7" t="s">
        <v>251</v>
      </c>
      <c r="H243" s="7" t="s">
        <v>674</v>
      </c>
      <c r="I243" s="9">
        <v>45314</v>
      </c>
    </row>
    <row r="244" spans="1:9" x14ac:dyDescent="0.15">
      <c r="A244" s="6">
        <v>243</v>
      </c>
      <c r="B244" s="7" t="s">
        <v>9</v>
      </c>
      <c r="C244" s="8">
        <v>1886</v>
      </c>
      <c r="D244" s="9">
        <v>45418</v>
      </c>
      <c r="E244" s="13" t="str">
        <f>+HYPERLINK("http://trademark.i-assist.jp/data/china/image_1886th/76568297.pdf","76568297")</f>
        <v>76568297</v>
      </c>
      <c r="F244" s="7" t="s">
        <v>675</v>
      </c>
      <c r="G244" s="7" t="s">
        <v>676</v>
      </c>
      <c r="H244" s="7" t="s">
        <v>677</v>
      </c>
      <c r="I244" s="9">
        <v>45314</v>
      </c>
    </row>
    <row r="245" spans="1:9" x14ac:dyDescent="0.15">
      <c r="A245" s="6">
        <v>244</v>
      </c>
      <c r="B245" s="7" t="s">
        <v>9</v>
      </c>
      <c r="C245" s="8">
        <v>1886</v>
      </c>
      <c r="D245" s="9">
        <v>45418</v>
      </c>
      <c r="E245" s="13" t="str">
        <f>+HYPERLINK("http://trademark.i-assist.jp/data/china/image_1886th/76569650.pdf","76569650")</f>
        <v>76569650</v>
      </c>
      <c r="F245" s="7" t="s">
        <v>678</v>
      </c>
      <c r="G245" s="7" t="s">
        <v>679</v>
      </c>
      <c r="H245" s="7" t="s">
        <v>680</v>
      </c>
      <c r="I245" s="9">
        <v>45315</v>
      </c>
    </row>
    <row r="246" spans="1:9" x14ac:dyDescent="0.15">
      <c r="A246" s="6">
        <v>245</v>
      </c>
      <c r="B246" s="7" t="s">
        <v>9</v>
      </c>
      <c r="C246" s="8">
        <v>1886</v>
      </c>
      <c r="D246" s="9">
        <v>45418</v>
      </c>
      <c r="E246" s="13" t="str">
        <f>+HYPERLINK("http://trademark.i-assist.jp/data/china/image_1886th/76569943.pdf","76569943")</f>
        <v>76569943</v>
      </c>
      <c r="F246" s="7" t="s">
        <v>681</v>
      </c>
      <c r="G246" s="7" t="s">
        <v>682</v>
      </c>
      <c r="H246" s="7" t="s">
        <v>683</v>
      </c>
      <c r="I246" s="9">
        <v>45315</v>
      </c>
    </row>
    <row r="247" spans="1:9" x14ac:dyDescent="0.15">
      <c r="A247" s="6">
        <v>246</v>
      </c>
      <c r="B247" s="7" t="s">
        <v>9</v>
      </c>
      <c r="C247" s="8">
        <v>1886</v>
      </c>
      <c r="D247" s="9">
        <v>45418</v>
      </c>
      <c r="E247" s="13" t="str">
        <f>+HYPERLINK("http://trademark.i-assist.jp/data/china/image_1886th/76570864.pdf","76570864")</f>
        <v>76570864</v>
      </c>
      <c r="F247" s="7" t="s">
        <v>684</v>
      </c>
      <c r="G247" s="7" t="s">
        <v>685</v>
      </c>
      <c r="H247" s="7" t="s">
        <v>686</v>
      </c>
      <c r="I247" s="9">
        <v>45315</v>
      </c>
    </row>
    <row r="248" spans="1:9" x14ac:dyDescent="0.15">
      <c r="A248" s="6">
        <v>247</v>
      </c>
      <c r="B248" s="7" t="s">
        <v>9</v>
      </c>
      <c r="C248" s="8">
        <v>1886</v>
      </c>
      <c r="D248" s="9">
        <v>45418</v>
      </c>
      <c r="E248" s="13" t="str">
        <f>+HYPERLINK("http://trademark.i-assist.jp/data/china/image_1886th/76579311.pdf","76579311")</f>
        <v>76579311</v>
      </c>
      <c r="F248" s="7" t="s">
        <v>687</v>
      </c>
      <c r="G248" s="7" t="s">
        <v>679</v>
      </c>
      <c r="H248" s="7" t="s">
        <v>688</v>
      </c>
      <c r="I248" s="9">
        <v>45315</v>
      </c>
    </row>
    <row r="249" spans="1:9" x14ac:dyDescent="0.15">
      <c r="A249" s="6">
        <v>248</v>
      </c>
      <c r="B249" s="7" t="s">
        <v>9</v>
      </c>
      <c r="C249" s="8">
        <v>1886</v>
      </c>
      <c r="D249" s="9">
        <v>45418</v>
      </c>
      <c r="E249" s="13" t="str">
        <f>+HYPERLINK("http://trademark.i-assist.jp/data/china/image_1886th/76579986.pdf","76579986")</f>
        <v>76579986</v>
      </c>
      <c r="F249" s="7" t="s">
        <v>689</v>
      </c>
      <c r="G249" s="7" t="s">
        <v>690</v>
      </c>
      <c r="H249" s="7" t="s">
        <v>691</v>
      </c>
      <c r="I249" s="9">
        <v>45315</v>
      </c>
    </row>
    <row r="250" spans="1:9" x14ac:dyDescent="0.15">
      <c r="A250" s="6">
        <v>249</v>
      </c>
      <c r="B250" s="7" t="s">
        <v>9</v>
      </c>
      <c r="C250" s="8">
        <v>1886</v>
      </c>
      <c r="D250" s="9">
        <v>45418</v>
      </c>
      <c r="E250" s="13" t="str">
        <f>+HYPERLINK("http://trademark.i-assist.jp/data/china/image_1886th/76580016.pdf","76580016")</f>
        <v>76580016</v>
      </c>
      <c r="F250" s="7" t="s">
        <v>692</v>
      </c>
      <c r="G250" s="7" t="s">
        <v>693</v>
      </c>
      <c r="H250" s="7" t="s">
        <v>694</v>
      </c>
      <c r="I250" s="9">
        <v>45315</v>
      </c>
    </row>
    <row r="251" spans="1:9" ht="27" x14ac:dyDescent="0.15">
      <c r="A251" s="6">
        <v>250</v>
      </c>
      <c r="B251" s="7" t="s">
        <v>9</v>
      </c>
      <c r="C251" s="8">
        <v>1886</v>
      </c>
      <c r="D251" s="9">
        <v>45418</v>
      </c>
      <c r="E251" s="13" t="str">
        <f>+HYPERLINK("http://trademark.i-assist.jp/data/china/image_1886th/76580087.pdf","76580087")</f>
        <v>76580087</v>
      </c>
      <c r="F251" s="7" t="s">
        <v>695</v>
      </c>
      <c r="G251" s="7" t="s">
        <v>696</v>
      </c>
      <c r="H251" s="7" t="s">
        <v>697</v>
      </c>
      <c r="I251" s="9">
        <v>45315</v>
      </c>
    </row>
    <row r="252" spans="1:9" x14ac:dyDescent="0.15">
      <c r="A252" s="6">
        <v>251</v>
      </c>
      <c r="B252" s="7" t="s">
        <v>9</v>
      </c>
      <c r="C252" s="8">
        <v>1886</v>
      </c>
      <c r="D252" s="9">
        <v>45418</v>
      </c>
      <c r="E252" s="13" t="str">
        <f>+HYPERLINK("http://trademark.i-assist.jp/data/china/image_1886th/76580844.pdf","76580844")</f>
        <v>76580844</v>
      </c>
      <c r="F252" s="7" t="s">
        <v>698</v>
      </c>
      <c r="G252" s="7" t="s">
        <v>699</v>
      </c>
      <c r="H252" s="7" t="s">
        <v>700</v>
      </c>
      <c r="I252" s="9">
        <v>45315</v>
      </c>
    </row>
    <row r="253" spans="1:9" x14ac:dyDescent="0.15">
      <c r="A253" s="6">
        <v>252</v>
      </c>
      <c r="B253" s="7" t="s">
        <v>9</v>
      </c>
      <c r="C253" s="8">
        <v>1886</v>
      </c>
      <c r="D253" s="9">
        <v>45418</v>
      </c>
      <c r="E253" s="13" t="str">
        <f>+HYPERLINK("http://trademark.i-assist.jp/data/china/image_1886th/76581630.pdf","76581630")</f>
        <v>76581630</v>
      </c>
      <c r="F253" s="7" t="s">
        <v>701</v>
      </c>
      <c r="G253" s="7" t="s">
        <v>702</v>
      </c>
      <c r="H253" s="7" t="s">
        <v>703</v>
      </c>
      <c r="I253" s="9">
        <v>45315</v>
      </c>
    </row>
    <row r="254" spans="1:9" x14ac:dyDescent="0.15">
      <c r="A254" s="6">
        <v>253</v>
      </c>
      <c r="B254" s="7" t="s">
        <v>9</v>
      </c>
      <c r="C254" s="8">
        <v>1886</v>
      </c>
      <c r="D254" s="9">
        <v>45418</v>
      </c>
      <c r="E254" s="13" t="str">
        <f>+HYPERLINK("http://trademark.i-assist.jp/data/china/image_1886th/76583061.pdf","76583061")</f>
        <v>76583061</v>
      </c>
      <c r="F254" s="7" t="s">
        <v>704</v>
      </c>
      <c r="G254" s="7" t="s">
        <v>705</v>
      </c>
      <c r="H254" s="7" t="s">
        <v>706</v>
      </c>
      <c r="I254" s="9">
        <v>45315</v>
      </c>
    </row>
    <row r="255" spans="1:9" ht="27" x14ac:dyDescent="0.15">
      <c r="A255" s="6">
        <v>254</v>
      </c>
      <c r="B255" s="7" t="s">
        <v>9</v>
      </c>
      <c r="C255" s="8">
        <v>1886</v>
      </c>
      <c r="D255" s="9">
        <v>45418</v>
      </c>
      <c r="E255" s="13" t="str">
        <f>+HYPERLINK("http://trademark.i-assist.jp/data/china/image_1886th/76585995.pdf","76585995")</f>
        <v>76585995</v>
      </c>
      <c r="F255" s="7" t="s">
        <v>707</v>
      </c>
      <c r="G255" s="7" t="s">
        <v>708</v>
      </c>
      <c r="H255" s="7" t="s">
        <v>709</v>
      </c>
      <c r="I255" s="9">
        <v>45315</v>
      </c>
    </row>
    <row r="256" spans="1:9" ht="27" x14ac:dyDescent="0.15">
      <c r="A256" s="6">
        <v>255</v>
      </c>
      <c r="B256" s="7" t="s">
        <v>9</v>
      </c>
      <c r="C256" s="8">
        <v>1886</v>
      </c>
      <c r="D256" s="9">
        <v>45418</v>
      </c>
      <c r="E256" s="13" t="str">
        <f>+HYPERLINK("http://trademark.i-assist.jp/data/china/image_1886th/76586704.pdf","76586704")</f>
        <v>76586704</v>
      </c>
      <c r="F256" s="7" t="s">
        <v>710</v>
      </c>
      <c r="G256" s="7" t="s">
        <v>711</v>
      </c>
      <c r="H256" s="7" t="s">
        <v>712</v>
      </c>
      <c r="I256" s="9">
        <v>45315</v>
      </c>
    </row>
    <row r="257" spans="1:9" x14ac:dyDescent="0.15">
      <c r="A257" s="6">
        <v>256</v>
      </c>
      <c r="B257" s="7" t="s">
        <v>9</v>
      </c>
      <c r="C257" s="8">
        <v>1886</v>
      </c>
      <c r="D257" s="9">
        <v>45418</v>
      </c>
      <c r="E257" s="13" t="str">
        <f>+HYPERLINK("http://trademark.i-assist.jp/data/china/image_1886th/76587145.pdf","76587145")</f>
        <v>76587145</v>
      </c>
      <c r="F257" s="7" t="s">
        <v>713</v>
      </c>
      <c r="G257" s="7" t="s">
        <v>714</v>
      </c>
      <c r="H257" s="7" t="s">
        <v>715</v>
      </c>
      <c r="I257" s="9">
        <v>45315</v>
      </c>
    </row>
    <row r="258" spans="1:9" x14ac:dyDescent="0.15">
      <c r="A258" s="6">
        <v>257</v>
      </c>
      <c r="B258" s="7" t="s">
        <v>9</v>
      </c>
      <c r="C258" s="8">
        <v>1886</v>
      </c>
      <c r="D258" s="9">
        <v>45418</v>
      </c>
      <c r="E258" s="13" t="str">
        <f>+HYPERLINK("http://trademark.i-assist.jp/data/china/image_1886th/76587872.pdf","76587872")</f>
        <v>76587872</v>
      </c>
      <c r="F258" s="7" t="s">
        <v>716</v>
      </c>
      <c r="G258" s="7" t="s">
        <v>717</v>
      </c>
      <c r="H258" s="7" t="s">
        <v>718</v>
      </c>
      <c r="I258" s="9">
        <v>45315</v>
      </c>
    </row>
    <row r="259" spans="1:9" x14ac:dyDescent="0.15">
      <c r="A259" s="6">
        <v>258</v>
      </c>
      <c r="B259" s="7" t="s">
        <v>9</v>
      </c>
      <c r="C259" s="8">
        <v>1886</v>
      </c>
      <c r="D259" s="9">
        <v>45418</v>
      </c>
      <c r="E259" s="13" t="str">
        <f>+HYPERLINK("http://trademark.i-assist.jp/data/china/image_1886th/76588624.pdf","76588624")</f>
        <v>76588624</v>
      </c>
      <c r="F259" s="7" t="s">
        <v>719</v>
      </c>
      <c r="G259" s="7" t="s">
        <v>720</v>
      </c>
      <c r="H259" s="7" t="s">
        <v>721</v>
      </c>
      <c r="I259" s="9">
        <v>45315</v>
      </c>
    </row>
    <row r="260" spans="1:9" ht="27" x14ac:dyDescent="0.15">
      <c r="A260" s="6">
        <v>259</v>
      </c>
      <c r="B260" s="7" t="s">
        <v>9</v>
      </c>
      <c r="C260" s="8">
        <v>1886</v>
      </c>
      <c r="D260" s="9">
        <v>45418</v>
      </c>
      <c r="E260" s="13" t="str">
        <f>+HYPERLINK("http://trademark.i-assist.jp/data/china/image_1886th/76588770.pdf","76588770")</f>
        <v>76588770</v>
      </c>
      <c r="F260" s="7" t="s">
        <v>722</v>
      </c>
      <c r="G260" s="7" t="s">
        <v>723</v>
      </c>
      <c r="H260" s="7" t="s">
        <v>724</v>
      </c>
      <c r="I260" s="9">
        <v>45315</v>
      </c>
    </row>
    <row r="261" spans="1:9" x14ac:dyDescent="0.15">
      <c r="A261" s="6">
        <v>260</v>
      </c>
      <c r="B261" s="7" t="s">
        <v>9</v>
      </c>
      <c r="C261" s="8">
        <v>1886</v>
      </c>
      <c r="D261" s="9">
        <v>45418</v>
      </c>
      <c r="E261" s="13" t="str">
        <f>+HYPERLINK("http://trademark.i-assist.jp/data/china/image_1886th/76590913.pdf","76590913")</f>
        <v>76590913</v>
      </c>
      <c r="F261" s="7" t="s">
        <v>725</v>
      </c>
      <c r="G261" s="7" t="s">
        <v>726</v>
      </c>
      <c r="H261" s="7" t="s">
        <v>727</v>
      </c>
      <c r="I261" s="9">
        <v>45315</v>
      </c>
    </row>
    <row r="262" spans="1:9" x14ac:dyDescent="0.15">
      <c r="A262" s="6">
        <v>261</v>
      </c>
      <c r="B262" s="7" t="s">
        <v>9</v>
      </c>
      <c r="C262" s="8">
        <v>1886</v>
      </c>
      <c r="D262" s="9">
        <v>45418</v>
      </c>
      <c r="E262" s="13" t="str">
        <f>+HYPERLINK("http://trademark.i-assist.jp/data/china/image_1886th/76590937.pdf","76590937")</f>
        <v>76590937</v>
      </c>
      <c r="F262" s="7" t="s">
        <v>728</v>
      </c>
      <c r="G262" s="7" t="s">
        <v>729</v>
      </c>
      <c r="H262" s="7" t="s">
        <v>730</v>
      </c>
      <c r="I262" s="9">
        <v>45315</v>
      </c>
    </row>
    <row r="263" spans="1:9" x14ac:dyDescent="0.15">
      <c r="A263" s="6">
        <v>262</v>
      </c>
      <c r="B263" s="7" t="s">
        <v>9</v>
      </c>
      <c r="C263" s="8">
        <v>1886</v>
      </c>
      <c r="D263" s="9">
        <v>45418</v>
      </c>
      <c r="E263" s="13" t="str">
        <f>+HYPERLINK("http://trademark.i-assist.jp/data/china/image_1886th/76591046.pdf","76591046")</f>
        <v>76591046</v>
      </c>
      <c r="F263" s="7" t="s">
        <v>731</v>
      </c>
      <c r="G263" s="7" t="s">
        <v>732</v>
      </c>
      <c r="H263" s="7" t="s">
        <v>733</v>
      </c>
      <c r="I263" s="9">
        <v>45315</v>
      </c>
    </row>
    <row r="264" spans="1:9" x14ac:dyDescent="0.15">
      <c r="A264" s="6">
        <v>263</v>
      </c>
      <c r="B264" s="7" t="s">
        <v>9</v>
      </c>
      <c r="C264" s="8">
        <v>1886</v>
      </c>
      <c r="D264" s="9">
        <v>45418</v>
      </c>
      <c r="E264" s="13" t="str">
        <f>+HYPERLINK("http://trademark.i-assist.jp/data/china/image_1886th/76591474.pdf","76591474")</f>
        <v>76591474</v>
      </c>
      <c r="F264" s="7" t="s">
        <v>734</v>
      </c>
      <c r="G264" s="7" t="s">
        <v>679</v>
      </c>
      <c r="H264" s="7" t="s">
        <v>688</v>
      </c>
      <c r="I264" s="9">
        <v>45315</v>
      </c>
    </row>
    <row r="265" spans="1:9" x14ac:dyDescent="0.15">
      <c r="A265" s="6">
        <v>264</v>
      </c>
      <c r="B265" s="7" t="s">
        <v>9</v>
      </c>
      <c r="C265" s="8">
        <v>1886</v>
      </c>
      <c r="D265" s="9">
        <v>45418</v>
      </c>
      <c r="E265" s="13" t="str">
        <f>+HYPERLINK("http://trademark.i-assist.jp/data/china/image_1886th/76593352.pdf","76593352")</f>
        <v>76593352</v>
      </c>
      <c r="F265" s="7" t="s">
        <v>735</v>
      </c>
      <c r="G265" s="7" t="s">
        <v>736</v>
      </c>
      <c r="H265" s="7" t="s">
        <v>737</v>
      </c>
      <c r="I265" s="9">
        <v>45316</v>
      </c>
    </row>
    <row r="266" spans="1:9" x14ac:dyDescent="0.15">
      <c r="A266" s="6">
        <v>265</v>
      </c>
      <c r="B266" s="7" t="s">
        <v>9</v>
      </c>
      <c r="C266" s="8">
        <v>1886</v>
      </c>
      <c r="D266" s="9">
        <v>45418</v>
      </c>
      <c r="E266" s="13" t="str">
        <f>+HYPERLINK("http://trademark.i-assist.jp/data/china/image_1886th/76593602.pdf","76593602")</f>
        <v>76593602</v>
      </c>
      <c r="F266" s="7" t="s">
        <v>738</v>
      </c>
      <c r="G266" s="7" t="s">
        <v>739</v>
      </c>
      <c r="H266" s="7" t="s">
        <v>740</v>
      </c>
      <c r="I266" s="9">
        <v>45316</v>
      </c>
    </row>
    <row r="267" spans="1:9" x14ac:dyDescent="0.15">
      <c r="A267" s="6">
        <v>266</v>
      </c>
      <c r="B267" s="7" t="s">
        <v>9</v>
      </c>
      <c r="C267" s="8">
        <v>1886</v>
      </c>
      <c r="D267" s="9">
        <v>45418</v>
      </c>
      <c r="E267" s="13" t="str">
        <f>+HYPERLINK("http://trademark.i-assist.jp/data/china/image_1886th/76594161.pdf","76594161")</f>
        <v>76594161</v>
      </c>
      <c r="F267" s="7" t="s">
        <v>741</v>
      </c>
      <c r="G267" s="7" t="s">
        <v>742</v>
      </c>
      <c r="H267" s="7" t="s">
        <v>743</v>
      </c>
      <c r="I267" s="9">
        <v>45316</v>
      </c>
    </row>
    <row r="268" spans="1:9" ht="27" x14ac:dyDescent="0.15">
      <c r="A268" s="6">
        <v>267</v>
      </c>
      <c r="B268" s="7" t="s">
        <v>9</v>
      </c>
      <c r="C268" s="8">
        <v>1886</v>
      </c>
      <c r="D268" s="9">
        <v>45418</v>
      </c>
      <c r="E268" s="13" t="str">
        <f>+HYPERLINK("http://trademark.i-assist.jp/data/china/image_1886th/76595402.pdf","76595402")</f>
        <v>76595402</v>
      </c>
      <c r="F268" s="7" t="s">
        <v>744</v>
      </c>
      <c r="G268" s="7" t="s">
        <v>745</v>
      </c>
      <c r="H268" s="7" t="s">
        <v>746</v>
      </c>
      <c r="I268" s="9">
        <v>45316</v>
      </c>
    </row>
    <row r="269" spans="1:9" x14ac:dyDescent="0.15">
      <c r="A269" s="6">
        <v>268</v>
      </c>
      <c r="B269" s="7" t="s">
        <v>9</v>
      </c>
      <c r="C269" s="8">
        <v>1886</v>
      </c>
      <c r="D269" s="9">
        <v>45418</v>
      </c>
      <c r="E269" s="13" t="str">
        <f>+HYPERLINK("http://trademark.i-assist.jp/data/china/image_1886th/76599299.pdf","76599299")</f>
        <v>76599299</v>
      </c>
      <c r="F269" s="7" t="s">
        <v>747</v>
      </c>
      <c r="G269" s="7" t="s">
        <v>748</v>
      </c>
      <c r="H269" s="7" t="s">
        <v>749</v>
      </c>
      <c r="I269" s="9">
        <v>45316</v>
      </c>
    </row>
    <row r="270" spans="1:9" x14ac:dyDescent="0.15">
      <c r="A270" s="6">
        <v>269</v>
      </c>
      <c r="B270" s="7" t="s">
        <v>9</v>
      </c>
      <c r="C270" s="8">
        <v>1886</v>
      </c>
      <c r="D270" s="9">
        <v>45418</v>
      </c>
      <c r="E270" s="13" t="str">
        <f>+HYPERLINK("http://trademark.i-assist.jp/data/china/image_1886th/76600761.pdf","76600761")</f>
        <v>76600761</v>
      </c>
      <c r="F270" s="7" t="s">
        <v>750</v>
      </c>
      <c r="G270" s="7" t="s">
        <v>751</v>
      </c>
      <c r="H270" s="7" t="s">
        <v>752</v>
      </c>
      <c r="I270" s="9">
        <v>45316</v>
      </c>
    </row>
    <row r="271" spans="1:9" x14ac:dyDescent="0.15">
      <c r="A271" s="6">
        <v>270</v>
      </c>
      <c r="B271" s="7" t="s">
        <v>9</v>
      </c>
      <c r="C271" s="8">
        <v>1886</v>
      </c>
      <c r="D271" s="9">
        <v>45418</v>
      </c>
      <c r="E271" s="13" t="str">
        <f>+HYPERLINK("http://trademark.i-assist.jp/data/china/image_1886th/76601182.pdf","76601182")</f>
        <v>76601182</v>
      </c>
      <c r="F271" s="7" t="s">
        <v>753</v>
      </c>
      <c r="G271" s="7" t="s">
        <v>754</v>
      </c>
      <c r="H271" s="7" t="s">
        <v>755</v>
      </c>
      <c r="I271" s="9">
        <v>45316</v>
      </c>
    </row>
    <row r="272" spans="1:9" x14ac:dyDescent="0.15">
      <c r="A272" s="6">
        <v>271</v>
      </c>
      <c r="B272" s="7" t="s">
        <v>9</v>
      </c>
      <c r="C272" s="8">
        <v>1886</v>
      </c>
      <c r="D272" s="9">
        <v>45418</v>
      </c>
      <c r="E272" s="13" t="str">
        <f>+HYPERLINK("http://trademark.i-assist.jp/data/china/image_1886th/76602570.pdf","76602570")</f>
        <v>76602570</v>
      </c>
      <c r="F272" s="7" t="s">
        <v>756</v>
      </c>
      <c r="G272" s="7" t="s">
        <v>757</v>
      </c>
      <c r="H272" s="7" t="s">
        <v>758</v>
      </c>
      <c r="I272" s="9">
        <v>45316</v>
      </c>
    </row>
    <row r="273" spans="1:9" x14ac:dyDescent="0.15">
      <c r="A273" s="6">
        <v>272</v>
      </c>
      <c r="B273" s="7" t="s">
        <v>9</v>
      </c>
      <c r="C273" s="8">
        <v>1886</v>
      </c>
      <c r="D273" s="9">
        <v>45418</v>
      </c>
      <c r="E273" s="13" t="str">
        <f>+HYPERLINK("http://trademark.i-assist.jp/data/china/image_1886th/76603086.pdf","76603086")</f>
        <v>76603086</v>
      </c>
      <c r="F273" s="7" t="s">
        <v>759</v>
      </c>
      <c r="G273" s="7" t="s">
        <v>760</v>
      </c>
      <c r="H273" s="7" t="s">
        <v>761</v>
      </c>
      <c r="I273" s="9">
        <v>45316</v>
      </c>
    </row>
    <row r="274" spans="1:9" x14ac:dyDescent="0.15">
      <c r="A274" s="6">
        <v>273</v>
      </c>
      <c r="B274" s="7" t="s">
        <v>9</v>
      </c>
      <c r="C274" s="8">
        <v>1886</v>
      </c>
      <c r="D274" s="9">
        <v>45418</v>
      </c>
      <c r="E274" s="13" t="str">
        <f>+HYPERLINK("http://trademark.i-assist.jp/data/china/image_1886th/76603650.pdf","76603650")</f>
        <v>76603650</v>
      </c>
      <c r="F274" s="7" t="s">
        <v>762</v>
      </c>
      <c r="G274" s="7" t="s">
        <v>763</v>
      </c>
      <c r="H274" s="7" t="s">
        <v>764</v>
      </c>
      <c r="I274" s="9">
        <v>45316</v>
      </c>
    </row>
    <row r="275" spans="1:9" x14ac:dyDescent="0.15">
      <c r="A275" s="6">
        <v>274</v>
      </c>
      <c r="B275" s="7" t="s">
        <v>9</v>
      </c>
      <c r="C275" s="8">
        <v>1886</v>
      </c>
      <c r="D275" s="9">
        <v>45418</v>
      </c>
      <c r="E275" s="13" t="str">
        <f>+HYPERLINK("http://trademark.i-assist.jp/data/china/image_1886th/76604593.pdf","76604593")</f>
        <v>76604593</v>
      </c>
      <c r="F275" s="7" t="s">
        <v>765</v>
      </c>
      <c r="G275" s="7" t="s">
        <v>736</v>
      </c>
      <c r="H275" s="7" t="s">
        <v>766</v>
      </c>
      <c r="I275" s="9">
        <v>45316</v>
      </c>
    </row>
    <row r="276" spans="1:9" x14ac:dyDescent="0.15">
      <c r="A276" s="6">
        <v>275</v>
      </c>
      <c r="B276" s="7" t="s">
        <v>9</v>
      </c>
      <c r="C276" s="8">
        <v>1886</v>
      </c>
      <c r="D276" s="9">
        <v>45418</v>
      </c>
      <c r="E276" s="13" t="str">
        <f>+HYPERLINK("http://trademark.i-assist.jp/data/china/image_1886th/76605861.pdf","76605861")</f>
        <v>76605861</v>
      </c>
      <c r="F276" s="7" t="s">
        <v>767</v>
      </c>
      <c r="G276" s="7" t="s">
        <v>768</v>
      </c>
      <c r="H276" s="7" t="s">
        <v>769</v>
      </c>
      <c r="I276" s="9">
        <v>45316</v>
      </c>
    </row>
    <row r="277" spans="1:9" x14ac:dyDescent="0.15">
      <c r="A277" s="6">
        <v>276</v>
      </c>
      <c r="B277" s="7" t="s">
        <v>9</v>
      </c>
      <c r="C277" s="8">
        <v>1886</v>
      </c>
      <c r="D277" s="9">
        <v>45418</v>
      </c>
      <c r="E277" s="13" t="str">
        <f>+HYPERLINK("http://trademark.i-assist.jp/data/china/image_1886th/76605926.pdf","76605926")</f>
        <v>76605926</v>
      </c>
      <c r="F277" s="7" t="s">
        <v>770</v>
      </c>
      <c r="G277" s="7" t="s">
        <v>771</v>
      </c>
      <c r="H277" s="7" t="s">
        <v>772</v>
      </c>
      <c r="I277" s="9">
        <v>45316</v>
      </c>
    </row>
    <row r="278" spans="1:9" x14ac:dyDescent="0.15">
      <c r="A278" s="6">
        <v>277</v>
      </c>
      <c r="B278" s="7" t="s">
        <v>9</v>
      </c>
      <c r="C278" s="8">
        <v>1886</v>
      </c>
      <c r="D278" s="9">
        <v>45418</v>
      </c>
      <c r="E278" s="13" t="str">
        <f>+HYPERLINK("http://trademark.i-assist.jp/data/china/image_1886th/76606004.pdf","76606004")</f>
        <v>76606004</v>
      </c>
      <c r="F278" s="7" t="s">
        <v>773</v>
      </c>
      <c r="G278" s="7" t="s">
        <v>774</v>
      </c>
      <c r="H278" s="7" t="s">
        <v>775</v>
      </c>
      <c r="I278" s="9">
        <v>45316</v>
      </c>
    </row>
    <row r="279" spans="1:9" x14ac:dyDescent="0.15">
      <c r="A279" s="6">
        <v>278</v>
      </c>
      <c r="B279" s="7" t="s">
        <v>9</v>
      </c>
      <c r="C279" s="8">
        <v>1886</v>
      </c>
      <c r="D279" s="9">
        <v>45418</v>
      </c>
      <c r="E279" s="13" t="str">
        <f>+HYPERLINK("http://trademark.i-assist.jp/data/china/image_1886th/76607151.pdf","76607151")</f>
        <v>76607151</v>
      </c>
      <c r="F279" s="7" t="s">
        <v>776</v>
      </c>
      <c r="G279" s="7" t="s">
        <v>777</v>
      </c>
      <c r="H279" s="7" t="s">
        <v>778</v>
      </c>
      <c r="I279" s="9">
        <v>45316</v>
      </c>
    </row>
    <row r="280" spans="1:9" x14ac:dyDescent="0.15">
      <c r="A280" s="6">
        <v>279</v>
      </c>
      <c r="B280" s="7" t="s">
        <v>9</v>
      </c>
      <c r="C280" s="8">
        <v>1886</v>
      </c>
      <c r="D280" s="9">
        <v>45418</v>
      </c>
      <c r="E280" s="13" t="str">
        <f>+HYPERLINK("http://trademark.i-assist.jp/data/china/image_1886th/76607379.pdf","76607379")</f>
        <v>76607379</v>
      </c>
      <c r="F280" s="7" t="s">
        <v>779</v>
      </c>
      <c r="G280" s="7" t="s">
        <v>780</v>
      </c>
      <c r="H280" s="7" t="s">
        <v>781</v>
      </c>
      <c r="I280" s="9">
        <v>45316</v>
      </c>
    </row>
    <row r="281" spans="1:9" x14ac:dyDescent="0.15">
      <c r="A281" s="6">
        <v>280</v>
      </c>
      <c r="B281" s="7" t="s">
        <v>9</v>
      </c>
      <c r="C281" s="8">
        <v>1886</v>
      </c>
      <c r="D281" s="9">
        <v>45418</v>
      </c>
      <c r="E281" s="13" t="str">
        <f>+HYPERLINK("http://trademark.i-assist.jp/data/china/image_1886th/76610182.pdf","76610182")</f>
        <v>76610182</v>
      </c>
      <c r="F281" s="7" t="s">
        <v>782</v>
      </c>
      <c r="G281" s="7" t="s">
        <v>783</v>
      </c>
      <c r="H281" s="7" t="s">
        <v>784</v>
      </c>
      <c r="I281" s="9">
        <v>45316</v>
      </c>
    </row>
    <row r="282" spans="1:9" x14ac:dyDescent="0.15">
      <c r="A282" s="6">
        <v>281</v>
      </c>
      <c r="B282" s="7" t="s">
        <v>9</v>
      </c>
      <c r="C282" s="8">
        <v>1886</v>
      </c>
      <c r="D282" s="9">
        <v>45418</v>
      </c>
      <c r="E282" s="13" t="str">
        <f>+HYPERLINK("http://trademark.i-assist.jp/data/china/image_1886th/76610504.pdf","76610504")</f>
        <v>76610504</v>
      </c>
      <c r="F282" s="7" t="s">
        <v>785</v>
      </c>
      <c r="G282" s="7" t="s">
        <v>786</v>
      </c>
      <c r="H282" s="7" t="s">
        <v>787</v>
      </c>
      <c r="I282" s="9">
        <v>45316</v>
      </c>
    </row>
    <row r="283" spans="1:9" x14ac:dyDescent="0.15">
      <c r="A283" s="6">
        <v>282</v>
      </c>
      <c r="B283" s="7" t="s">
        <v>9</v>
      </c>
      <c r="C283" s="8">
        <v>1886</v>
      </c>
      <c r="D283" s="9">
        <v>45418</v>
      </c>
      <c r="E283" s="13" t="str">
        <f>+HYPERLINK("http://trademark.i-assist.jp/data/china/image_1886th/76610810.pdf","76610810")</f>
        <v>76610810</v>
      </c>
      <c r="F283" s="7" t="s">
        <v>788</v>
      </c>
      <c r="G283" s="7" t="s">
        <v>789</v>
      </c>
      <c r="H283" s="7" t="s">
        <v>790</v>
      </c>
      <c r="I283" s="9">
        <v>45316</v>
      </c>
    </row>
    <row r="284" spans="1:9" x14ac:dyDescent="0.15">
      <c r="A284" s="6">
        <v>283</v>
      </c>
      <c r="B284" s="7" t="s">
        <v>9</v>
      </c>
      <c r="C284" s="8">
        <v>1886</v>
      </c>
      <c r="D284" s="9">
        <v>45418</v>
      </c>
      <c r="E284" s="13" t="str">
        <f>+HYPERLINK("http://trademark.i-assist.jp/data/china/image_1886th/76612186.pdf","76612186")</f>
        <v>76612186</v>
      </c>
      <c r="F284" s="7" t="s">
        <v>791</v>
      </c>
      <c r="G284" s="7" t="s">
        <v>792</v>
      </c>
      <c r="H284" s="7" t="s">
        <v>793</v>
      </c>
      <c r="I284" s="9">
        <v>45316</v>
      </c>
    </row>
    <row r="285" spans="1:9" x14ac:dyDescent="0.15">
      <c r="A285" s="6">
        <v>284</v>
      </c>
      <c r="B285" s="7" t="s">
        <v>9</v>
      </c>
      <c r="C285" s="8">
        <v>1886</v>
      </c>
      <c r="D285" s="9">
        <v>45418</v>
      </c>
      <c r="E285" s="13" t="str">
        <f>+HYPERLINK("http://trademark.i-assist.jp/data/china/image_1886th/76613477.pdf","76613477")</f>
        <v>76613477</v>
      </c>
      <c r="F285" s="7" t="s">
        <v>794</v>
      </c>
      <c r="G285" s="7" t="s">
        <v>795</v>
      </c>
      <c r="H285" s="7" t="s">
        <v>796</v>
      </c>
      <c r="I285" s="9">
        <v>45316</v>
      </c>
    </row>
    <row r="286" spans="1:9" x14ac:dyDescent="0.15">
      <c r="A286" s="6">
        <v>285</v>
      </c>
      <c r="B286" s="7" t="s">
        <v>9</v>
      </c>
      <c r="C286" s="8">
        <v>1886</v>
      </c>
      <c r="D286" s="9">
        <v>45418</v>
      </c>
      <c r="E286" s="13" t="str">
        <f>+HYPERLINK("http://trademark.i-assist.jp/data/china/image_1886th/76614827.pdf","76614827")</f>
        <v>76614827</v>
      </c>
      <c r="F286" s="7" t="s">
        <v>797</v>
      </c>
      <c r="G286" s="7" t="s">
        <v>798</v>
      </c>
      <c r="H286" s="7" t="s">
        <v>799</v>
      </c>
      <c r="I286" s="9">
        <v>45316</v>
      </c>
    </row>
    <row r="287" spans="1:9" x14ac:dyDescent="0.15">
      <c r="A287" s="6">
        <v>286</v>
      </c>
      <c r="B287" s="7" t="s">
        <v>9</v>
      </c>
      <c r="C287" s="8">
        <v>1886</v>
      </c>
      <c r="D287" s="9">
        <v>45418</v>
      </c>
      <c r="E287" s="13" t="str">
        <f>+HYPERLINK("http://trademark.i-assist.jp/data/china/image_1886th/76615751.pdf","76615751")</f>
        <v>76615751</v>
      </c>
      <c r="F287" s="7" t="s">
        <v>800</v>
      </c>
      <c r="G287" s="7" t="s">
        <v>780</v>
      </c>
      <c r="H287" s="7" t="s">
        <v>781</v>
      </c>
      <c r="I287" s="9">
        <v>45316</v>
      </c>
    </row>
    <row r="288" spans="1:9" x14ac:dyDescent="0.15">
      <c r="A288" s="6">
        <v>287</v>
      </c>
      <c r="B288" s="7" t="s">
        <v>9</v>
      </c>
      <c r="C288" s="8">
        <v>1886</v>
      </c>
      <c r="D288" s="9">
        <v>45418</v>
      </c>
      <c r="E288" s="13" t="str">
        <f>+HYPERLINK("http://trademark.i-assist.jp/data/china/image_1886th/76616548.pdf","76616548")</f>
        <v>76616548</v>
      </c>
      <c r="F288" s="7" t="s">
        <v>801</v>
      </c>
      <c r="G288" s="7" t="s">
        <v>802</v>
      </c>
      <c r="H288" s="7" t="s">
        <v>803</v>
      </c>
      <c r="I288" s="9">
        <v>45317</v>
      </c>
    </row>
    <row r="289" spans="1:9" x14ac:dyDescent="0.15">
      <c r="A289" s="6">
        <v>288</v>
      </c>
      <c r="B289" s="7" t="s">
        <v>9</v>
      </c>
      <c r="C289" s="8">
        <v>1886</v>
      </c>
      <c r="D289" s="9">
        <v>45418</v>
      </c>
      <c r="E289" s="13" t="str">
        <f>+HYPERLINK("http://trademark.i-assist.jp/data/china/image_1886th/76617760.pdf","76617760")</f>
        <v>76617760</v>
      </c>
      <c r="F289" s="7" t="s">
        <v>804</v>
      </c>
      <c r="G289" s="7" t="s">
        <v>805</v>
      </c>
      <c r="H289" s="7" t="s">
        <v>806</v>
      </c>
      <c r="I289" s="9">
        <v>45317</v>
      </c>
    </row>
    <row r="290" spans="1:9" x14ac:dyDescent="0.15">
      <c r="A290" s="6">
        <v>289</v>
      </c>
      <c r="B290" s="7" t="s">
        <v>9</v>
      </c>
      <c r="C290" s="8">
        <v>1886</v>
      </c>
      <c r="D290" s="9">
        <v>45418</v>
      </c>
      <c r="E290" s="13" t="str">
        <f>+HYPERLINK("http://trademark.i-assist.jp/data/china/image_1886th/76617961.pdf","76617961")</f>
        <v>76617961</v>
      </c>
      <c r="F290" s="7" t="s">
        <v>807</v>
      </c>
      <c r="G290" s="7" t="s">
        <v>808</v>
      </c>
      <c r="H290" s="7" t="s">
        <v>809</v>
      </c>
      <c r="I290" s="9">
        <v>45317</v>
      </c>
    </row>
    <row r="291" spans="1:9" x14ac:dyDescent="0.15">
      <c r="A291" s="6">
        <v>290</v>
      </c>
      <c r="B291" s="7" t="s">
        <v>9</v>
      </c>
      <c r="C291" s="8">
        <v>1886</v>
      </c>
      <c r="D291" s="9">
        <v>45418</v>
      </c>
      <c r="E291" s="13" t="str">
        <f>+HYPERLINK("http://trademark.i-assist.jp/data/china/image_1886th/76618271.pdf","76618271")</f>
        <v>76618271</v>
      </c>
      <c r="F291" s="7" t="s">
        <v>810</v>
      </c>
      <c r="G291" s="7" t="s">
        <v>811</v>
      </c>
      <c r="H291" s="7" t="s">
        <v>812</v>
      </c>
      <c r="I291" s="9">
        <v>45317</v>
      </c>
    </row>
    <row r="292" spans="1:9" x14ac:dyDescent="0.15">
      <c r="A292" s="6">
        <v>291</v>
      </c>
      <c r="B292" s="7" t="s">
        <v>9</v>
      </c>
      <c r="C292" s="8">
        <v>1886</v>
      </c>
      <c r="D292" s="9">
        <v>45418</v>
      </c>
      <c r="E292" s="13" t="str">
        <f>+HYPERLINK("http://trademark.i-assist.jp/data/china/image_1886th/76618425.pdf","76618425")</f>
        <v>76618425</v>
      </c>
      <c r="F292" s="7" t="s">
        <v>813</v>
      </c>
      <c r="G292" s="7" t="s">
        <v>814</v>
      </c>
      <c r="H292" s="7" t="s">
        <v>815</v>
      </c>
      <c r="I292" s="9">
        <v>45317</v>
      </c>
    </row>
    <row r="293" spans="1:9" x14ac:dyDescent="0.15">
      <c r="A293" s="6">
        <v>292</v>
      </c>
      <c r="B293" s="7" t="s">
        <v>9</v>
      </c>
      <c r="C293" s="8">
        <v>1886</v>
      </c>
      <c r="D293" s="9">
        <v>45418</v>
      </c>
      <c r="E293" s="13" t="str">
        <f>+HYPERLINK("http://trademark.i-assist.jp/data/china/image_1886th/76619263.pdf","76619263")</f>
        <v>76619263</v>
      </c>
      <c r="F293" s="7" t="s">
        <v>816</v>
      </c>
      <c r="G293" s="7" t="s">
        <v>817</v>
      </c>
      <c r="H293" s="7" t="s">
        <v>818</v>
      </c>
      <c r="I293" s="9">
        <v>45317</v>
      </c>
    </row>
    <row r="294" spans="1:9" x14ac:dyDescent="0.15">
      <c r="A294" s="6">
        <v>293</v>
      </c>
      <c r="B294" s="7" t="s">
        <v>9</v>
      </c>
      <c r="C294" s="8">
        <v>1886</v>
      </c>
      <c r="D294" s="9">
        <v>45418</v>
      </c>
      <c r="E294" s="13" t="str">
        <f>+HYPERLINK("http://trademark.i-assist.jp/data/china/image_1886th/76619372.pdf","76619372")</f>
        <v>76619372</v>
      </c>
      <c r="F294" s="7" t="s">
        <v>819</v>
      </c>
      <c r="G294" s="7" t="s">
        <v>820</v>
      </c>
      <c r="H294" s="7" t="s">
        <v>821</v>
      </c>
      <c r="I294" s="9">
        <v>45317</v>
      </c>
    </row>
    <row r="295" spans="1:9" x14ac:dyDescent="0.15">
      <c r="A295" s="6">
        <v>294</v>
      </c>
      <c r="B295" s="7" t="s">
        <v>9</v>
      </c>
      <c r="C295" s="8">
        <v>1886</v>
      </c>
      <c r="D295" s="9">
        <v>45418</v>
      </c>
      <c r="E295" s="13" t="str">
        <f>+HYPERLINK("http://trademark.i-assist.jp/data/china/image_1886th/76620375.pdf","76620375")</f>
        <v>76620375</v>
      </c>
      <c r="F295" s="7" t="s">
        <v>822</v>
      </c>
      <c r="G295" s="7" t="s">
        <v>823</v>
      </c>
      <c r="H295" s="7" t="s">
        <v>824</v>
      </c>
      <c r="I295" s="9">
        <v>45317</v>
      </c>
    </row>
    <row r="296" spans="1:9" x14ac:dyDescent="0.15">
      <c r="A296" s="6">
        <v>295</v>
      </c>
      <c r="B296" s="7" t="s">
        <v>9</v>
      </c>
      <c r="C296" s="8">
        <v>1886</v>
      </c>
      <c r="D296" s="9">
        <v>45418</v>
      </c>
      <c r="E296" s="13" t="str">
        <f>+HYPERLINK("http://trademark.i-assist.jp/data/china/image_1886th/76620649.pdf","76620649")</f>
        <v>76620649</v>
      </c>
      <c r="F296" s="7" t="s">
        <v>825</v>
      </c>
      <c r="G296" s="7" t="s">
        <v>802</v>
      </c>
      <c r="H296" s="7" t="s">
        <v>826</v>
      </c>
      <c r="I296" s="9">
        <v>45317</v>
      </c>
    </row>
    <row r="297" spans="1:9" x14ac:dyDescent="0.15">
      <c r="A297" s="6">
        <v>296</v>
      </c>
      <c r="B297" s="7" t="s">
        <v>9</v>
      </c>
      <c r="C297" s="8">
        <v>1886</v>
      </c>
      <c r="D297" s="9">
        <v>45418</v>
      </c>
      <c r="E297" s="13" t="str">
        <f>+HYPERLINK("http://trademark.i-assist.jp/data/china/image_1886th/76620661.pdf","76620661")</f>
        <v>76620661</v>
      </c>
      <c r="F297" s="7" t="s">
        <v>827</v>
      </c>
      <c r="G297" s="7" t="s">
        <v>802</v>
      </c>
      <c r="H297" s="7" t="s">
        <v>828</v>
      </c>
      <c r="I297" s="9">
        <v>45317</v>
      </c>
    </row>
    <row r="298" spans="1:9" x14ac:dyDescent="0.15">
      <c r="A298" s="6">
        <v>297</v>
      </c>
      <c r="B298" s="7" t="s">
        <v>9</v>
      </c>
      <c r="C298" s="8">
        <v>1886</v>
      </c>
      <c r="D298" s="9">
        <v>45418</v>
      </c>
      <c r="E298" s="13" t="str">
        <f>+HYPERLINK("http://trademark.i-assist.jp/data/china/image_1886th/76621191.pdf","76621191")</f>
        <v>76621191</v>
      </c>
      <c r="F298" s="7" t="s">
        <v>829</v>
      </c>
      <c r="G298" s="7" t="s">
        <v>830</v>
      </c>
      <c r="H298" s="7" t="s">
        <v>831</v>
      </c>
      <c r="I298" s="9">
        <v>45317</v>
      </c>
    </row>
    <row r="299" spans="1:9" x14ac:dyDescent="0.15">
      <c r="A299" s="6">
        <v>298</v>
      </c>
      <c r="B299" s="7" t="s">
        <v>9</v>
      </c>
      <c r="C299" s="8">
        <v>1886</v>
      </c>
      <c r="D299" s="9">
        <v>45418</v>
      </c>
      <c r="E299" s="13" t="str">
        <f>+HYPERLINK("http://trademark.i-assist.jp/data/china/image_1886th/76621533.pdf","76621533")</f>
        <v>76621533</v>
      </c>
      <c r="F299" s="7" t="s">
        <v>832</v>
      </c>
      <c r="G299" s="7" t="s">
        <v>833</v>
      </c>
      <c r="H299" s="7" t="s">
        <v>834</v>
      </c>
      <c r="I299" s="9">
        <v>45317</v>
      </c>
    </row>
    <row r="300" spans="1:9" x14ac:dyDescent="0.15">
      <c r="A300" s="6">
        <v>299</v>
      </c>
      <c r="B300" s="7" t="s">
        <v>9</v>
      </c>
      <c r="C300" s="8">
        <v>1886</v>
      </c>
      <c r="D300" s="9">
        <v>45418</v>
      </c>
      <c r="E300" s="13" t="str">
        <f>+HYPERLINK("http://trademark.i-assist.jp/data/china/image_1886th/76621874.pdf","76621874")</f>
        <v>76621874</v>
      </c>
      <c r="F300" s="7" t="s">
        <v>835</v>
      </c>
      <c r="G300" s="7" t="s">
        <v>802</v>
      </c>
      <c r="H300" s="7" t="s">
        <v>836</v>
      </c>
      <c r="I300" s="9">
        <v>45317</v>
      </c>
    </row>
    <row r="301" spans="1:9" x14ac:dyDescent="0.15">
      <c r="A301" s="6">
        <v>300</v>
      </c>
      <c r="B301" s="7" t="s">
        <v>9</v>
      </c>
      <c r="C301" s="8">
        <v>1886</v>
      </c>
      <c r="D301" s="9">
        <v>45418</v>
      </c>
      <c r="E301" s="13" t="str">
        <f>+HYPERLINK("http://trademark.i-assist.jp/data/china/image_1886th/76624198.pdf","76624198")</f>
        <v>76624198</v>
      </c>
      <c r="F301" s="7" t="s">
        <v>837</v>
      </c>
      <c r="G301" s="7" t="s">
        <v>838</v>
      </c>
      <c r="H301" s="7" t="s">
        <v>16</v>
      </c>
      <c r="I301" s="9">
        <v>45317</v>
      </c>
    </row>
    <row r="302" spans="1:9" x14ac:dyDescent="0.15">
      <c r="A302" s="6">
        <v>301</v>
      </c>
      <c r="B302" s="7" t="s">
        <v>9</v>
      </c>
      <c r="C302" s="8">
        <v>1886</v>
      </c>
      <c r="D302" s="9">
        <v>45418</v>
      </c>
      <c r="E302" s="13" t="str">
        <f>+HYPERLINK("http://trademark.i-assist.jp/data/china/image_1886th/76624928.pdf","76624928")</f>
        <v>76624928</v>
      </c>
      <c r="F302" s="7" t="s">
        <v>839</v>
      </c>
      <c r="G302" s="7" t="s">
        <v>802</v>
      </c>
      <c r="H302" s="7" t="s">
        <v>840</v>
      </c>
      <c r="I302" s="9">
        <v>45317</v>
      </c>
    </row>
    <row r="303" spans="1:9" x14ac:dyDescent="0.15">
      <c r="A303" s="6">
        <v>302</v>
      </c>
      <c r="B303" s="7" t="s">
        <v>9</v>
      </c>
      <c r="C303" s="8">
        <v>1886</v>
      </c>
      <c r="D303" s="9">
        <v>45418</v>
      </c>
      <c r="E303" s="13" t="str">
        <f>+HYPERLINK("http://trademark.i-assist.jp/data/china/image_1886th/76625068.pdf","76625068")</f>
        <v>76625068</v>
      </c>
      <c r="F303" s="7" t="s">
        <v>841</v>
      </c>
      <c r="G303" s="7" t="s">
        <v>802</v>
      </c>
      <c r="H303" s="7" t="s">
        <v>842</v>
      </c>
      <c r="I303" s="9">
        <v>45317</v>
      </c>
    </row>
    <row r="304" spans="1:9" x14ac:dyDescent="0.15">
      <c r="A304" s="6">
        <v>303</v>
      </c>
      <c r="B304" s="7" t="s">
        <v>9</v>
      </c>
      <c r="C304" s="8">
        <v>1886</v>
      </c>
      <c r="D304" s="9">
        <v>45418</v>
      </c>
      <c r="E304" s="13" t="str">
        <f>+HYPERLINK("http://trademark.i-assist.jp/data/china/image_1886th/76626182.pdf","76626182")</f>
        <v>76626182</v>
      </c>
      <c r="F304" s="7" t="s">
        <v>843</v>
      </c>
      <c r="G304" s="7" t="s">
        <v>805</v>
      </c>
      <c r="H304" s="7" t="s">
        <v>844</v>
      </c>
      <c r="I304" s="9">
        <v>45317</v>
      </c>
    </row>
    <row r="305" spans="1:9" x14ac:dyDescent="0.15">
      <c r="A305" s="6">
        <v>304</v>
      </c>
      <c r="B305" s="7" t="s">
        <v>9</v>
      </c>
      <c r="C305" s="8">
        <v>1886</v>
      </c>
      <c r="D305" s="9">
        <v>45418</v>
      </c>
      <c r="E305" s="13" t="str">
        <f>+HYPERLINK("http://trademark.i-assist.jp/data/china/image_1886th/76628449.pdf","76628449")</f>
        <v>76628449</v>
      </c>
      <c r="F305" s="7" t="s">
        <v>845</v>
      </c>
      <c r="G305" s="7" t="s">
        <v>805</v>
      </c>
      <c r="H305" s="7" t="s">
        <v>844</v>
      </c>
      <c r="I305" s="9">
        <v>45317</v>
      </c>
    </row>
    <row r="306" spans="1:9" x14ac:dyDescent="0.15">
      <c r="A306" s="6">
        <v>305</v>
      </c>
      <c r="B306" s="7" t="s">
        <v>9</v>
      </c>
      <c r="C306" s="8">
        <v>1886</v>
      </c>
      <c r="D306" s="9">
        <v>45418</v>
      </c>
      <c r="E306" s="13" t="str">
        <f>+HYPERLINK("http://trademark.i-assist.jp/data/china/image_1886th/76628669.pdf","76628669")</f>
        <v>76628669</v>
      </c>
      <c r="F306" s="7" t="s">
        <v>846</v>
      </c>
      <c r="G306" s="7" t="s">
        <v>802</v>
      </c>
      <c r="H306" s="7" t="s">
        <v>828</v>
      </c>
      <c r="I306" s="9">
        <v>45317</v>
      </c>
    </row>
    <row r="307" spans="1:9" x14ac:dyDescent="0.15">
      <c r="A307" s="6">
        <v>306</v>
      </c>
      <c r="B307" s="7" t="s">
        <v>9</v>
      </c>
      <c r="C307" s="8">
        <v>1886</v>
      </c>
      <c r="D307" s="9">
        <v>45418</v>
      </c>
      <c r="E307" s="13" t="str">
        <f>+HYPERLINK("http://trademark.i-assist.jp/data/china/image_1886th/76631195.pdf","76631195")</f>
        <v>76631195</v>
      </c>
      <c r="F307" s="7" t="s">
        <v>847</v>
      </c>
      <c r="G307" s="7" t="s">
        <v>805</v>
      </c>
      <c r="H307" s="7" t="s">
        <v>844</v>
      </c>
      <c r="I307" s="9">
        <v>45317</v>
      </c>
    </row>
    <row r="308" spans="1:9" ht="27" x14ac:dyDescent="0.15">
      <c r="A308" s="6">
        <v>307</v>
      </c>
      <c r="B308" s="7" t="s">
        <v>9</v>
      </c>
      <c r="C308" s="8">
        <v>1886</v>
      </c>
      <c r="D308" s="9">
        <v>45418</v>
      </c>
      <c r="E308" s="13" t="str">
        <f>+HYPERLINK("http://trademark.i-assist.jp/data/china/image_1886th/76631684.pdf","76631684")</f>
        <v>76631684</v>
      </c>
      <c r="F308" s="7" t="s">
        <v>33</v>
      </c>
      <c r="G308" s="7" t="s">
        <v>848</v>
      </c>
      <c r="H308" s="7" t="s">
        <v>849</v>
      </c>
      <c r="I308" s="9">
        <v>45317</v>
      </c>
    </row>
    <row r="309" spans="1:9" x14ac:dyDescent="0.15">
      <c r="A309" s="6">
        <v>308</v>
      </c>
      <c r="B309" s="7" t="s">
        <v>9</v>
      </c>
      <c r="C309" s="8">
        <v>1886</v>
      </c>
      <c r="D309" s="9">
        <v>45418</v>
      </c>
      <c r="E309" s="13" t="str">
        <f>+HYPERLINK("http://trademark.i-assist.jp/data/china/image_1886th/76631725.pdf","76631725")</f>
        <v>76631725</v>
      </c>
      <c r="F309" s="7" t="s">
        <v>850</v>
      </c>
      <c r="G309" s="7" t="s">
        <v>851</v>
      </c>
      <c r="H309" s="7" t="s">
        <v>852</v>
      </c>
      <c r="I309" s="9">
        <v>45317</v>
      </c>
    </row>
    <row r="310" spans="1:9" x14ac:dyDescent="0.15">
      <c r="A310" s="6">
        <v>309</v>
      </c>
      <c r="B310" s="7" t="s">
        <v>9</v>
      </c>
      <c r="C310" s="8">
        <v>1886</v>
      </c>
      <c r="D310" s="9">
        <v>45418</v>
      </c>
      <c r="E310" s="13" t="str">
        <f>+HYPERLINK("http://trademark.i-assist.jp/data/china/image_1886th/76632019.pdf","76632019")</f>
        <v>76632019</v>
      </c>
      <c r="F310" s="7" t="s">
        <v>853</v>
      </c>
      <c r="G310" s="7" t="s">
        <v>854</v>
      </c>
      <c r="H310" s="7" t="s">
        <v>855</v>
      </c>
      <c r="I310" s="9">
        <v>45317</v>
      </c>
    </row>
    <row r="311" spans="1:9" x14ac:dyDescent="0.15">
      <c r="A311" s="6">
        <v>310</v>
      </c>
      <c r="B311" s="7" t="s">
        <v>9</v>
      </c>
      <c r="C311" s="8">
        <v>1886</v>
      </c>
      <c r="D311" s="9">
        <v>45418</v>
      </c>
      <c r="E311" s="13" t="str">
        <f>+HYPERLINK("http://trademark.i-assist.jp/data/china/image_1886th/76632984.pdf","76632984")</f>
        <v>76632984</v>
      </c>
      <c r="F311" s="7" t="s">
        <v>856</v>
      </c>
      <c r="G311" s="7" t="s">
        <v>857</v>
      </c>
      <c r="H311" s="7" t="s">
        <v>858</v>
      </c>
      <c r="I311" s="9">
        <v>45317</v>
      </c>
    </row>
    <row r="312" spans="1:9" ht="27" x14ac:dyDescent="0.15">
      <c r="A312" s="6">
        <v>311</v>
      </c>
      <c r="B312" s="7" t="s">
        <v>9</v>
      </c>
      <c r="C312" s="8">
        <v>1886</v>
      </c>
      <c r="D312" s="9">
        <v>45418</v>
      </c>
      <c r="E312" s="13" t="str">
        <f>+HYPERLINK("http://trademark.i-assist.jp/data/china/image_1886th/76634195.pdf","76634195")</f>
        <v>76634195</v>
      </c>
      <c r="F312" s="7" t="s">
        <v>859</v>
      </c>
      <c r="G312" s="7" t="s">
        <v>860</v>
      </c>
      <c r="H312" s="7" t="s">
        <v>861</v>
      </c>
      <c r="I312" s="9">
        <v>45317</v>
      </c>
    </row>
    <row r="313" spans="1:9" x14ac:dyDescent="0.15">
      <c r="A313" s="6">
        <v>312</v>
      </c>
      <c r="B313" s="7" t="s">
        <v>9</v>
      </c>
      <c r="C313" s="8">
        <v>1886</v>
      </c>
      <c r="D313" s="9">
        <v>45418</v>
      </c>
      <c r="E313" s="13" t="str">
        <f>+HYPERLINK("http://trademark.i-assist.jp/data/china/image_1886th/76634393.pdf","76634393")</f>
        <v>76634393</v>
      </c>
      <c r="F313" s="7" t="s">
        <v>862</v>
      </c>
      <c r="G313" s="7" t="s">
        <v>863</v>
      </c>
      <c r="H313" s="7" t="s">
        <v>864</v>
      </c>
      <c r="I313" s="9">
        <v>45317</v>
      </c>
    </row>
    <row r="314" spans="1:9" x14ac:dyDescent="0.15">
      <c r="A314" s="6">
        <v>313</v>
      </c>
      <c r="B314" s="7" t="s">
        <v>9</v>
      </c>
      <c r="C314" s="8">
        <v>1886</v>
      </c>
      <c r="D314" s="9">
        <v>45418</v>
      </c>
      <c r="E314" s="13" t="str">
        <f>+HYPERLINK("http://trademark.i-assist.jp/data/china/image_1886th/76634826.pdf","76634826")</f>
        <v>76634826</v>
      </c>
      <c r="F314" s="7" t="s">
        <v>865</v>
      </c>
      <c r="G314" s="7" t="s">
        <v>805</v>
      </c>
      <c r="H314" s="7" t="s">
        <v>866</v>
      </c>
      <c r="I314" s="9">
        <v>45317</v>
      </c>
    </row>
    <row r="315" spans="1:9" x14ac:dyDescent="0.15">
      <c r="A315" s="6">
        <v>314</v>
      </c>
      <c r="B315" s="7" t="s">
        <v>9</v>
      </c>
      <c r="C315" s="8">
        <v>1886</v>
      </c>
      <c r="D315" s="9">
        <v>45418</v>
      </c>
      <c r="E315" s="13" t="str">
        <f>+HYPERLINK("http://trademark.i-assist.jp/data/china/image_1886th/76634882.pdf","76634882")</f>
        <v>76634882</v>
      </c>
      <c r="F315" s="7" t="s">
        <v>867</v>
      </c>
      <c r="G315" s="7" t="s">
        <v>805</v>
      </c>
      <c r="H315" s="7" t="s">
        <v>844</v>
      </c>
      <c r="I315" s="9">
        <v>45317</v>
      </c>
    </row>
    <row r="316" spans="1:9" x14ac:dyDescent="0.15">
      <c r="A316" s="6">
        <v>315</v>
      </c>
      <c r="B316" s="7" t="s">
        <v>9</v>
      </c>
      <c r="C316" s="8">
        <v>1886</v>
      </c>
      <c r="D316" s="9">
        <v>45418</v>
      </c>
      <c r="E316" s="13" t="str">
        <f>+HYPERLINK("http://trademark.i-assist.jp/data/china/image_1886th/76635543.pdf","76635543")</f>
        <v>76635543</v>
      </c>
      <c r="F316" s="7" t="s">
        <v>868</v>
      </c>
      <c r="G316" s="7" t="s">
        <v>869</v>
      </c>
      <c r="H316" s="7" t="s">
        <v>870</v>
      </c>
      <c r="I316" s="9">
        <v>45317</v>
      </c>
    </row>
    <row r="317" spans="1:9" ht="27" x14ac:dyDescent="0.15">
      <c r="A317" s="6">
        <v>316</v>
      </c>
      <c r="B317" s="7" t="s">
        <v>9</v>
      </c>
      <c r="C317" s="8">
        <v>1886</v>
      </c>
      <c r="D317" s="9">
        <v>45418</v>
      </c>
      <c r="E317" s="13" t="str">
        <f>+HYPERLINK("http://trademark.i-assist.jp/data/china/image_1886th/76635861.pdf","76635861")</f>
        <v>76635861</v>
      </c>
      <c r="F317" s="7" t="s">
        <v>871</v>
      </c>
      <c r="G317" s="7" t="s">
        <v>872</v>
      </c>
      <c r="H317" s="7" t="s">
        <v>873</v>
      </c>
      <c r="I317" s="9">
        <v>45317</v>
      </c>
    </row>
    <row r="318" spans="1:9" x14ac:dyDescent="0.15">
      <c r="A318" s="6">
        <v>317</v>
      </c>
      <c r="B318" s="7" t="s">
        <v>9</v>
      </c>
      <c r="C318" s="8">
        <v>1886</v>
      </c>
      <c r="D318" s="9">
        <v>45418</v>
      </c>
      <c r="E318" s="13" t="str">
        <f>+HYPERLINK("http://trademark.i-assist.jp/data/china/image_1886th/76636148.pdf","76636148")</f>
        <v>76636148</v>
      </c>
      <c r="F318" s="7" t="s">
        <v>874</v>
      </c>
      <c r="G318" s="7" t="s">
        <v>875</v>
      </c>
      <c r="H318" s="7" t="s">
        <v>876</v>
      </c>
      <c r="I318" s="9">
        <v>45317</v>
      </c>
    </row>
    <row r="319" spans="1:9" x14ac:dyDescent="0.15">
      <c r="A319" s="6">
        <v>318</v>
      </c>
      <c r="B319" s="7" t="s">
        <v>9</v>
      </c>
      <c r="C319" s="8">
        <v>1886</v>
      </c>
      <c r="D319" s="9">
        <v>45418</v>
      </c>
      <c r="E319" s="13" t="str">
        <f>+HYPERLINK("http://trademark.i-assist.jp/data/china/image_1886th/76636350.pdf","76636350")</f>
        <v>76636350</v>
      </c>
      <c r="F319" s="7" t="s">
        <v>877</v>
      </c>
      <c r="G319" s="7" t="s">
        <v>805</v>
      </c>
      <c r="H319" s="7" t="s">
        <v>806</v>
      </c>
      <c r="I319" s="9">
        <v>45317</v>
      </c>
    </row>
    <row r="320" spans="1:9" x14ac:dyDescent="0.15">
      <c r="A320" s="6">
        <v>319</v>
      </c>
      <c r="B320" s="7" t="s">
        <v>9</v>
      </c>
      <c r="C320" s="8">
        <v>1886</v>
      </c>
      <c r="D320" s="9">
        <v>45418</v>
      </c>
      <c r="E320" s="13" t="str">
        <f>+HYPERLINK("http://trademark.i-assist.jp/data/china/image_1886th/76636870.pdf","76636870")</f>
        <v>76636870</v>
      </c>
      <c r="F320" s="7" t="s">
        <v>878</v>
      </c>
      <c r="G320" s="7" t="s">
        <v>879</v>
      </c>
      <c r="H320" s="7" t="s">
        <v>880</v>
      </c>
      <c r="I320" s="9">
        <v>45317</v>
      </c>
    </row>
    <row r="321" spans="1:9" x14ac:dyDescent="0.15">
      <c r="A321" s="6">
        <v>320</v>
      </c>
      <c r="B321" s="7" t="s">
        <v>9</v>
      </c>
      <c r="C321" s="8">
        <v>1886</v>
      </c>
      <c r="D321" s="9">
        <v>45418</v>
      </c>
      <c r="E321" s="13" t="str">
        <f>+HYPERLINK("http://trademark.i-assist.jp/data/china/image_1886th/76639266.pdf","76639266")</f>
        <v>76639266</v>
      </c>
      <c r="F321" s="7" t="s">
        <v>881</v>
      </c>
      <c r="G321" s="7" t="s">
        <v>882</v>
      </c>
      <c r="H321" s="7" t="s">
        <v>883</v>
      </c>
      <c r="I321" s="9">
        <v>45317</v>
      </c>
    </row>
    <row r="322" spans="1:9" x14ac:dyDescent="0.15">
      <c r="A322" s="6">
        <v>321</v>
      </c>
      <c r="B322" s="7" t="s">
        <v>9</v>
      </c>
      <c r="C322" s="8">
        <v>1886</v>
      </c>
      <c r="D322" s="9">
        <v>45418</v>
      </c>
      <c r="E322" s="13" t="str">
        <f>+HYPERLINK("http://trademark.i-assist.jp/data/china/image_1886th/76639562.pdf","76639562")</f>
        <v>76639562</v>
      </c>
      <c r="F322" s="7" t="s">
        <v>884</v>
      </c>
      <c r="G322" s="7" t="s">
        <v>885</v>
      </c>
      <c r="H322" s="7" t="s">
        <v>886</v>
      </c>
      <c r="I322" s="9">
        <v>45317</v>
      </c>
    </row>
    <row r="323" spans="1:9" x14ac:dyDescent="0.15">
      <c r="A323" s="6">
        <v>322</v>
      </c>
      <c r="B323" s="7" t="s">
        <v>9</v>
      </c>
      <c r="C323" s="8">
        <v>1886</v>
      </c>
      <c r="D323" s="9">
        <v>45418</v>
      </c>
      <c r="E323" s="13" t="str">
        <f>+HYPERLINK("http://trademark.i-assist.jp/data/china/image_1886th/76639690.pdf","76639690")</f>
        <v>76639690</v>
      </c>
      <c r="F323" s="7" t="s">
        <v>887</v>
      </c>
      <c r="G323" s="7" t="s">
        <v>823</v>
      </c>
      <c r="H323" s="7" t="s">
        <v>824</v>
      </c>
      <c r="I323" s="9">
        <v>45317</v>
      </c>
    </row>
    <row r="324" spans="1:9" ht="27" x14ac:dyDescent="0.15">
      <c r="A324" s="6">
        <v>323</v>
      </c>
      <c r="B324" s="7" t="s">
        <v>9</v>
      </c>
      <c r="C324" s="8">
        <v>1886</v>
      </c>
      <c r="D324" s="9">
        <v>45418</v>
      </c>
      <c r="E324" s="13" t="str">
        <f>+HYPERLINK("http://trademark.i-assist.jp/data/china/image_1886th/76639823.pdf","76639823")</f>
        <v>76639823</v>
      </c>
      <c r="F324" s="7" t="s">
        <v>888</v>
      </c>
      <c r="G324" s="7" t="s">
        <v>889</v>
      </c>
      <c r="H324" s="7" t="s">
        <v>890</v>
      </c>
      <c r="I324" s="9">
        <v>45317</v>
      </c>
    </row>
    <row r="325" spans="1:9" ht="27" x14ac:dyDescent="0.15">
      <c r="A325" s="6">
        <v>324</v>
      </c>
      <c r="B325" s="7" t="s">
        <v>9</v>
      </c>
      <c r="C325" s="8">
        <v>1886</v>
      </c>
      <c r="D325" s="9">
        <v>45418</v>
      </c>
      <c r="E325" s="13" t="str">
        <f>+HYPERLINK("http://trademark.i-assist.jp/data/china/image_1886th/76640291.pdf","76640291")</f>
        <v>76640291</v>
      </c>
      <c r="F325" s="7" t="s">
        <v>891</v>
      </c>
      <c r="G325" s="7" t="s">
        <v>892</v>
      </c>
      <c r="H325" s="7" t="s">
        <v>893</v>
      </c>
      <c r="I325" s="9">
        <v>45317</v>
      </c>
    </row>
    <row r="326" spans="1:9" ht="27" x14ac:dyDescent="0.15">
      <c r="A326" s="6">
        <v>325</v>
      </c>
      <c r="B326" s="7" t="s">
        <v>9</v>
      </c>
      <c r="C326" s="8">
        <v>1886</v>
      </c>
      <c r="D326" s="9">
        <v>45418</v>
      </c>
      <c r="E326" s="13" t="str">
        <f>+HYPERLINK("http://trademark.i-assist.jp/data/china/image_1886th/76641302.pdf","76641302")</f>
        <v>76641302</v>
      </c>
      <c r="F326" s="7" t="s">
        <v>894</v>
      </c>
      <c r="G326" s="7" t="s">
        <v>895</v>
      </c>
      <c r="H326" s="7" t="s">
        <v>896</v>
      </c>
      <c r="I326" s="9">
        <v>45318</v>
      </c>
    </row>
    <row r="327" spans="1:9" x14ac:dyDescent="0.15">
      <c r="A327" s="6">
        <v>326</v>
      </c>
      <c r="B327" s="7" t="s">
        <v>9</v>
      </c>
      <c r="C327" s="8">
        <v>1886</v>
      </c>
      <c r="D327" s="9">
        <v>45418</v>
      </c>
      <c r="E327" s="13" t="str">
        <f>+HYPERLINK("http://trademark.i-assist.jp/data/china/image_1886th/76641451.pdf","76641451")</f>
        <v>76641451</v>
      </c>
      <c r="F327" s="7" t="s">
        <v>897</v>
      </c>
      <c r="G327" s="7" t="s">
        <v>898</v>
      </c>
      <c r="H327" s="7" t="s">
        <v>899</v>
      </c>
      <c r="I327" s="9">
        <v>45318</v>
      </c>
    </row>
    <row r="328" spans="1:9" x14ac:dyDescent="0.15">
      <c r="A328" s="6">
        <v>327</v>
      </c>
      <c r="B328" s="7" t="s">
        <v>9</v>
      </c>
      <c r="C328" s="8">
        <v>1886</v>
      </c>
      <c r="D328" s="9">
        <v>45418</v>
      </c>
      <c r="E328" s="13" t="str">
        <f>+HYPERLINK("http://trademark.i-assist.jp/data/china/image_1886th/76642286.pdf","76642286")</f>
        <v>76642286</v>
      </c>
      <c r="F328" s="7" t="s">
        <v>900</v>
      </c>
      <c r="G328" s="7" t="s">
        <v>830</v>
      </c>
      <c r="H328" s="7" t="s">
        <v>901</v>
      </c>
      <c r="I328" s="9">
        <v>45318</v>
      </c>
    </row>
    <row r="329" spans="1:9" x14ac:dyDescent="0.15">
      <c r="A329" s="6">
        <v>328</v>
      </c>
      <c r="B329" s="7" t="s">
        <v>9</v>
      </c>
      <c r="C329" s="8">
        <v>1886</v>
      </c>
      <c r="D329" s="9">
        <v>45418</v>
      </c>
      <c r="E329" s="13" t="str">
        <f>+HYPERLINK("http://trademark.i-assist.jp/data/china/image_1886th/76642484.pdf","76642484")</f>
        <v>76642484</v>
      </c>
      <c r="F329" s="7" t="s">
        <v>902</v>
      </c>
      <c r="G329" s="7" t="s">
        <v>903</v>
      </c>
      <c r="H329" s="7" t="s">
        <v>904</v>
      </c>
      <c r="I329" s="9">
        <v>45318</v>
      </c>
    </row>
    <row r="330" spans="1:9" x14ac:dyDescent="0.15">
      <c r="A330" s="6">
        <v>329</v>
      </c>
      <c r="B330" s="7" t="s">
        <v>9</v>
      </c>
      <c r="C330" s="8">
        <v>1886</v>
      </c>
      <c r="D330" s="9">
        <v>45418</v>
      </c>
      <c r="E330" s="13" t="str">
        <f>+HYPERLINK("http://trademark.i-assist.jp/data/china/image_1886th/76644274.pdf","76644274")</f>
        <v>76644274</v>
      </c>
      <c r="F330" s="7" t="s">
        <v>905</v>
      </c>
      <c r="G330" s="7" t="s">
        <v>906</v>
      </c>
      <c r="H330" s="7" t="s">
        <v>907</v>
      </c>
      <c r="I330" s="9">
        <v>45318</v>
      </c>
    </row>
    <row r="331" spans="1:9" ht="27" x14ac:dyDescent="0.15">
      <c r="A331" s="6">
        <v>330</v>
      </c>
      <c r="B331" s="7" t="s">
        <v>9</v>
      </c>
      <c r="C331" s="8">
        <v>1886</v>
      </c>
      <c r="D331" s="9">
        <v>45418</v>
      </c>
      <c r="E331" s="13" t="str">
        <f>+HYPERLINK("http://trademark.i-assist.jp/data/china/image_1886th/76644843.pdf","76644843")</f>
        <v>76644843</v>
      </c>
      <c r="F331" s="7" t="s">
        <v>908</v>
      </c>
      <c r="G331" s="7" t="s">
        <v>909</v>
      </c>
      <c r="H331" s="7" t="s">
        <v>910</v>
      </c>
      <c r="I331" s="9">
        <v>45318</v>
      </c>
    </row>
    <row r="332" spans="1:9" x14ac:dyDescent="0.15">
      <c r="A332" s="6">
        <v>331</v>
      </c>
      <c r="B332" s="7" t="s">
        <v>9</v>
      </c>
      <c r="C332" s="8">
        <v>1886</v>
      </c>
      <c r="D332" s="9">
        <v>45418</v>
      </c>
      <c r="E332" s="13" t="str">
        <f>+HYPERLINK("http://trademark.i-assist.jp/data/china/image_1886th/76645494.pdf","76645494")</f>
        <v>76645494</v>
      </c>
      <c r="F332" s="7" t="s">
        <v>911</v>
      </c>
      <c r="G332" s="7" t="s">
        <v>912</v>
      </c>
      <c r="H332" s="7" t="s">
        <v>913</v>
      </c>
      <c r="I332" s="9">
        <v>45318</v>
      </c>
    </row>
    <row r="333" spans="1:9" x14ac:dyDescent="0.15">
      <c r="A333" s="6">
        <v>332</v>
      </c>
      <c r="B333" s="7" t="s">
        <v>9</v>
      </c>
      <c r="C333" s="8">
        <v>1886</v>
      </c>
      <c r="D333" s="9">
        <v>45418</v>
      </c>
      <c r="E333" s="13" t="str">
        <f>+HYPERLINK("http://trademark.i-assist.jp/data/china/image_1886th/76645968.pdf","76645968")</f>
        <v>76645968</v>
      </c>
      <c r="F333" s="7" t="s">
        <v>914</v>
      </c>
      <c r="G333" s="7" t="s">
        <v>915</v>
      </c>
      <c r="H333" s="7" t="s">
        <v>916</v>
      </c>
      <c r="I333" s="9">
        <v>45318</v>
      </c>
    </row>
    <row r="334" spans="1:9" x14ac:dyDescent="0.15">
      <c r="A334" s="6">
        <v>333</v>
      </c>
      <c r="B334" s="7" t="s">
        <v>9</v>
      </c>
      <c r="C334" s="8">
        <v>1886</v>
      </c>
      <c r="D334" s="9">
        <v>45418</v>
      </c>
      <c r="E334" s="13" t="str">
        <f>+HYPERLINK("http://trademark.i-assist.jp/data/china/image_1886th/76646183.pdf","76646183")</f>
        <v>76646183</v>
      </c>
      <c r="F334" s="7" t="s">
        <v>917</v>
      </c>
      <c r="G334" s="7" t="s">
        <v>918</v>
      </c>
      <c r="H334" s="7" t="s">
        <v>919</v>
      </c>
      <c r="I334" s="9">
        <v>45318</v>
      </c>
    </row>
    <row r="335" spans="1:9" x14ac:dyDescent="0.15">
      <c r="A335" s="6">
        <v>334</v>
      </c>
      <c r="B335" s="7" t="s">
        <v>9</v>
      </c>
      <c r="C335" s="8">
        <v>1886</v>
      </c>
      <c r="D335" s="9">
        <v>45418</v>
      </c>
      <c r="E335" s="13" t="str">
        <f>+HYPERLINK("http://trademark.i-assist.jp/data/china/image_1886th/76646498.pdf","76646498")</f>
        <v>76646498</v>
      </c>
      <c r="F335" s="7" t="s">
        <v>920</v>
      </c>
      <c r="G335" s="7" t="s">
        <v>921</v>
      </c>
      <c r="H335" s="7" t="s">
        <v>922</v>
      </c>
      <c r="I335" s="9">
        <v>45318</v>
      </c>
    </row>
    <row r="336" spans="1:9" x14ac:dyDescent="0.15">
      <c r="A336" s="6">
        <v>335</v>
      </c>
      <c r="B336" s="7" t="s">
        <v>9</v>
      </c>
      <c r="C336" s="8">
        <v>1886</v>
      </c>
      <c r="D336" s="9">
        <v>45418</v>
      </c>
      <c r="E336" s="13" t="str">
        <f>+HYPERLINK("http://trademark.i-assist.jp/data/china/image_1886th/76646667.pdf","76646667")</f>
        <v>76646667</v>
      </c>
      <c r="F336" s="7" t="s">
        <v>923</v>
      </c>
      <c r="G336" s="7" t="s">
        <v>898</v>
      </c>
      <c r="H336" s="7" t="s">
        <v>899</v>
      </c>
      <c r="I336" s="9">
        <v>45318</v>
      </c>
    </row>
    <row r="337" spans="1:9" x14ac:dyDescent="0.15">
      <c r="A337" s="6">
        <v>336</v>
      </c>
      <c r="B337" s="7" t="s">
        <v>9</v>
      </c>
      <c r="C337" s="8">
        <v>1886</v>
      </c>
      <c r="D337" s="9">
        <v>45418</v>
      </c>
      <c r="E337" s="13" t="str">
        <f>+HYPERLINK("http://trademark.i-assist.jp/data/china/image_1886th/76646717.pdf","76646717")</f>
        <v>76646717</v>
      </c>
      <c r="F337" s="7" t="s">
        <v>924</v>
      </c>
      <c r="G337" s="7" t="s">
        <v>925</v>
      </c>
      <c r="H337" s="7" t="s">
        <v>926</v>
      </c>
      <c r="I337" s="9">
        <v>45318</v>
      </c>
    </row>
    <row r="338" spans="1:9" x14ac:dyDescent="0.15">
      <c r="A338" s="6">
        <v>337</v>
      </c>
      <c r="B338" s="7" t="s">
        <v>9</v>
      </c>
      <c r="C338" s="8">
        <v>1886</v>
      </c>
      <c r="D338" s="9">
        <v>45418</v>
      </c>
      <c r="E338" s="13" t="str">
        <f>+HYPERLINK("http://trademark.i-assist.jp/data/china/image_1886th/76648425.pdf","76648425")</f>
        <v>76648425</v>
      </c>
      <c r="F338" s="7" t="s">
        <v>927</v>
      </c>
      <c r="G338" s="7" t="s">
        <v>928</v>
      </c>
      <c r="H338" s="7" t="s">
        <v>929</v>
      </c>
      <c r="I338" s="9">
        <v>45319</v>
      </c>
    </row>
    <row r="339" spans="1:9" ht="27" x14ac:dyDescent="0.15">
      <c r="A339" s="6">
        <v>338</v>
      </c>
      <c r="B339" s="7" t="s">
        <v>9</v>
      </c>
      <c r="C339" s="8">
        <v>1886</v>
      </c>
      <c r="D339" s="9">
        <v>45418</v>
      </c>
      <c r="E339" s="13" t="str">
        <f>+HYPERLINK("http://trademark.i-assist.jp/data/china/image_1886th/76648524.pdf","76648524")</f>
        <v>76648524</v>
      </c>
      <c r="F339" s="7" t="s">
        <v>930</v>
      </c>
      <c r="G339" s="7" t="s">
        <v>931</v>
      </c>
      <c r="H339" s="7" t="s">
        <v>932</v>
      </c>
      <c r="I339" s="9">
        <v>45319</v>
      </c>
    </row>
    <row r="340" spans="1:9" ht="27" x14ac:dyDescent="0.15">
      <c r="A340" s="6">
        <v>339</v>
      </c>
      <c r="B340" s="7" t="s">
        <v>9</v>
      </c>
      <c r="C340" s="8">
        <v>1886</v>
      </c>
      <c r="D340" s="9">
        <v>45418</v>
      </c>
      <c r="E340" s="13" t="str">
        <f>+HYPERLINK("http://trademark.i-assist.jp/data/china/image_1886th/76649159.pdf","76649159")</f>
        <v>76649159</v>
      </c>
      <c r="F340" s="7" t="s">
        <v>933</v>
      </c>
      <c r="G340" s="7" t="s">
        <v>934</v>
      </c>
      <c r="H340" s="7" t="s">
        <v>935</v>
      </c>
      <c r="I340" s="9">
        <v>45319</v>
      </c>
    </row>
    <row r="341" spans="1:9" ht="27" x14ac:dyDescent="0.15">
      <c r="A341" s="6">
        <v>340</v>
      </c>
      <c r="B341" s="7" t="s">
        <v>9</v>
      </c>
      <c r="C341" s="8">
        <v>1886</v>
      </c>
      <c r="D341" s="9">
        <v>45418</v>
      </c>
      <c r="E341" s="13" t="str">
        <f>+HYPERLINK("http://trademark.i-assist.jp/data/china/image_1886th/76649988.pdf","76649988")</f>
        <v>76649988</v>
      </c>
      <c r="F341" s="7" t="s">
        <v>936</v>
      </c>
      <c r="G341" s="7" t="s">
        <v>937</v>
      </c>
      <c r="H341" s="7" t="s">
        <v>938</v>
      </c>
      <c r="I341" s="9">
        <v>45320</v>
      </c>
    </row>
    <row r="342" spans="1:9" x14ac:dyDescent="0.15">
      <c r="A342" s="6">
        <v>341</v>
      </c>
      <c r="B342" s="7" t="s">
        <v>9</v>
      </c>
      <c r="C342" s="8">
        <v>1886</v>
      </c>
      <c r="D342" s="9">
        <v>45418</v>
      </c>
      <c r="E342" s="13" t="str">
        <f>+HYPERLINK("http://trademark.i-assist.jp/data/china/image_1886th/76650138.pdf","76650138")</f>
        <v>76650138</v>
      </c>
      <c r="F342" s="7" t="s">
        <v>939</v>
      </c>
      <c r="G342" s="7" t="s">
        <v>940</v>
      </c>
      <c r="H342" s="7" t="s">
        <v>941</v>
      </c>
      <c r="I342" s="9">
        <v>45320</v>
      </c>
    </row>
    <row r="343" spans="1:9" x14ac:dyDescent="0.15">
      <c r="A343" s="6">
        <v>342</v>
      </c>
      <c r="B343" s="7" t="s">
        <v>9</v>
      </c>
      <c r="C343" s="8">
        <v>1886</v>
      </c>
      <c r="D343" s="9">
        <v>45418</v>
      </c>
      <c r="E343" s="13" t="str">
        <f>+HYPERLINK("http://trademark.i-assist.jp/data/china/image_1886th/76650183.pdf","76650183")</f>
        <v>76650183</v>
      </c>
      <c r="F343" s="7" t="s">
        <v>942</v>
      </c>
      <c r="G343" s="7" t="s">
        <v>943</v>
      </c>
      <c r="H343" s="7" t="s">
        <v>944</v>
      </c>
      <c r="I343" s="9">
        <v>45320</v>
      </c>
    </row>
    <row r="344" spans="1:9" x14ac:dyDescent="0.15">
      <c r="A344" s="6">
        <v>343</v>
      </c>
      <c r="B344" s="7" t="s">
        <v>9</v>
      </c>
      <c r="C344" s="8">
        <v>1886</v>
      </c>
      <c r="D344" s="9">
        <v>45418</v>
      </c>
      <c r="E344" s="13" t="str">
        <f>+HYPERLINK("http://trademark.i-assist.jp/data/china/image_1886th/76650212.pdf","76650212")</f>
        <v>76650212</v>
      </c>
      <c r="F344" s="7" t="s">
        <v>945</v>
      </c>
      <c r="G344" s="7" t="s">
        <v>946</v>
      </c>
      <c r="H344" s="7" t="s">
        <v>947</v>
      </c>
      <c r="I344" s="9">
        <v>45320</v>
      </c>
    </row>
    <row r="345" spans="1:9" x14ac:dyDescent="0.15">
      <c r="A345" s="6">
        <v>344</v>
      </c>
      <c r="B345" s="7" t="s">
        <v>9</v>
      </c>
      <c r="C345" s="8">
        <v>1886</v>
      </c>
      <c r="D345" s="9">
        <v>45418</v>
      </c>
      <c r="E345" s="13" t="str">
        <f>+HYPERLINK("http://trademark.i-assist.jp/data/china/image_1886th/76650461.pdf","76650461")</f>
        <v>76650461</v>
      </c>
      <c r="F345" s="7" t="s">
        <v>948</v>
      </c>
      <c r="G345" s="7" t="s">
        <v>949</v>
      </c>
      <c r="H345" s="7" t="s">
        <v>950</v>
      </c>
      <c r="I345" s="9">
        <v>45320</v>
      </c>
    </row>
    <row r="346" spans="1:9" x14ac:dyDescent="0.15">
      <c r="A346" s="6">
        <v>345</v>
      </c>
      <c r="B346" s="7" t="s">
        <v>9</v>
      </c>
      <c r="C346" s="8">
        <v>1886</v>
      </c>
      <c r="D346" s="9">
        <v>45418</v>
      </c>
      <c r="E346" s="13" t="str">
        <f>+HYPERLINK("http://trademark.i-assist.jp/data/china/image_1886th/76650523.pdf","76650523")</f>
        <v>76650523</v>
      </c>
      <c r="F346" s="7" t="s">
        <v>951</v>
      </c>
      <c r="G346" s="7" t="s">
        <v>952</v>
      </c>
      <c r="H346" s="7" t="s">
        <v>953</v>
      </c>
      <c r="I346" s="9">
        <v>45320</v>
      </c>
    </row>
    <row r="347" spans="1:9" x14ac:dyDescent="0.15">
      <c r="A347" s="6">
        <v>346</v>
      </c>
      <c r="B347" s="7" t="s">
        <v>9</v>
      </c>
      <c r="C347" s="8">
        <v>1886</v>
      </c>
      <c r="D347" s="9">
        <v>45418</v>
      </c>
      <c r="E347" s="13" t="str">
        <f>+HYPERLINK("http://trademark.i-assist.jp/data/china/image_1886th/76650574.pdf","76650574")</f>
        <v>76650574</v>
      </c>
      <c r="F347" s="7" t="s">
        <v>954</v>
      </c>
      <c r="G347" s="7" t="s">
        <v>955</v>
      </c>
      <c r="H347" s="7" t="s">
        <v>956</v>
      </c>
      <c r="I347" s="9">
        <v>45320</v>
      </c>
    </row>
    <row r="348" spans="1:9" x14ac:dyDescent="0.15">
      <c r="A348" s="6">
        <v>347</v>
      </c>
      <c r="B348" s="7" t="s">
        <v>9</v>
      </c>
      <c r="C348" s="8">
        <v>1886</v>
      </c>
      <c r="D348" s="9">
        <v>45418</v>
      </c>
      <c r="E348" s="13" t="str">
        <f>+HYPERLINK("http://trademark.i-assist.jp/data/china/image_1886th/76650658.pdf","76650658")</f>
        <v>76650658</v>
      </c>
      <c r="F348" s="7" t="s">
        <v>33</v>
      </c>
      <c r="G348" s="7" t="s">
        <v>957</v>
      </c>
      <c r="H348" s="7" t="s">
        <v>958</v>
      </c>
      <c r="I348" s="9">
        <v>45320</v>
      </c>
    </row>
    <row r="349" spans="1:9" x14ac:dyDescent="0.15">
      <c r="A349" s="6">
        <v>348</v>
      </c>
      <c r="B349" s="7" t="s">
        <v>9</v>
      </c>
      <c r="C349" s="8">
        <v>1886</v>
      </c>
      <c r="D349" s="9">
        <v>45418</v>
      </c>
      <c r="E349" s="13" t="str">
        <f>+HYPERLINK("http://trademark.i-assist.jp/data/china/image_1886th/76650773.pdf","76650773")</f>
        <v>76650773</v>
      </c>
      <c r="F349" s="7" t="s">
        <v>959</v>
      </c>
      <c r="G349" s="7" t="s">
        <v>960</v>
      </c>
      <c r="H349" s="7" t="s">
        <v>961</v>
      </c>
      <c r="I349" s="9">
        <v>45320</v>
      </c>
    </row>
    <row r="350" spans="1:9" x14ac:dyDescent="0.15">
      <c r="A350" s="6">
        <v>349</v>
      </c>
      <c r="B350" s="7" t="s">
        <v>9</v>
      </c>
      <c r="C350" s="8">
        <v>1886</v>
      </c>
      <c r="D350" s="9">
        <v>45418</v>
      </c>
      <c r="E350" s="13" t="str">
        <f>+HYPERLINK("http://trademark.i-assist.jp/data/china/image_1886th/76651717.pdf","76651717")</f>
        <v>76651717</v>
      </c>
      <c r="F350" s="7" t="s">
        <v>962</v>
      </c>
      <c r="G350" s="7" t="s">
        <v>963</v>
      </c>
      <c r="H350" s="7" t="s">
        <v>964</v>
      </c>
      <c r="I350" s="9">
        <v>45320</v>
      </c>
    </row>
    <row r="351" spans="1:9" x14ac:dyDescent="0.15">
      <c r="A351" s="6">
        <v>350</v>
      </c>
      <c r="B351" s="7" t="s">
        <v>9</v>
      </c>
      <c r="C351" s="8">
        <v>1886</v>
      </c>
      <c r="D351" s="9">
        <v>45418</v>
      </c>
      <c r="E351" s="13" t="str">
        <f>+HYPERLINK("http://trademark.i-assist.jp/data/china/image_1886th/76652030.pdf","76652030")</f>
        <v>76652030</v>
      </c>
      <c r="F351" s="7" t="s">
        <v>965</v>
      </c>
      <c r="G351" s="7" t="s">
        <v>966</v>
      </c>
      <c r="H351" s="7" t="s">
        <v>967</v>
      </c>
      <c r="I351" s="9">
        <v>45320</v>
      </c>
    </row>
    <row r="352" spans="1:9" x14ac:dyDescent="0.15">
      <c r="A352" s="6">
        <v>351</v>
      </c>
      <c r="B352" s="7" t="s">
        <v>9</v>
      </c>
      <c r="C352" s="8">
        <v>1886</v>
      </c>
      <c r="D352" s="9">
        <v>45418</v>
      </c>
      <c r="E352" s="13" t="str">
        <f>+HYPERLINK("http://trademark.i-assist.jp/data/china/image_1886th/76652316.pdf","76652316")</f>
        <v>76652316</v>
      </c>
      <c r="F352" s="7" t="s">
        <v>968</v>
      </c>
      <c r="G352" s="7" t="s">
        <v>963</v>
      </c>
      <c r="H352" s="7" t="s">
        <v>969</v>
      </c>
      <c r="I352" s="9">
        <v>45320</v>
      </c>
    </row>
    <row r="353" spans="1:9" x14ac:dyDescent="0.15">
      <c r="A353" s="6">
        <v>352</v>
      </c>
      <c r="B353" s="7" t="s">
        <v>9</v>
      </c>
      <c r="C353" s="8">
        <v>1886</v>
      </c>
      <c r="D353" s="9">
        <v>45418</v>
      </c>
      <c r="E353" s="13" t="str">
        <f>+HYPERLINK("http://trademark.i-assist.jp/data/china/image_1886th/76652600.pdf","76652600")</f>
        <v>76652600</v>
      </c>
      <c r="F353" s="7" t="s">
        <v>970</v>
      </c>
      <c r="G353" s="7" t="s">
        <v>971</v>
      </c>
      <c r="H353" s="7" t="s">
        <v>972</v>
      </c>
      <c r="I353" s="9">
        <v>45320</v>
      </c>
    </row>
    <row r="354" spans="1:9" ht="27" x14ac:dyDescent="0.15">
      <c r="A354" s="6">
        <v>353</v>
      </c>
      <c r="B354" s="7" t="s">
        <v>9</v>
      </c>
      <c r="C354" s="8">
        <v>1886</v>
      </c>
      <c r="D354" s="9">
        <v>45418</v>
      </c>
      <c r="E354" s="13" t="str">
        <f>+HYPERLINK("http://trademark.i-assist.jp/data/china/image_1886th/76652977.pdf","76652977")</f>
        <v>76652977</v>
      </c>
      <c r="F354" s="7" t="s">
        <v>973</v>
      </c>
      <c r="G354" s="7" t="s">
        <v>974</v>
      </c>
      <c r="H354" s="7" t="s">
        <v>975</v>
      </c>
      <c r="I354" s="9">
        <v>45320</v>
      </c>
    </row>
    <row r="355" spans="1:9" x14ac:dyDescent="0.15">
      <c r="A355" s="6">
        <v>354</v>
      </c>
      <c r="B355" s="7" t="s">
        <v>9</v>
      </c>
      <c r="C355" s="8">
        <v>1886</v>
      </c>
      <c r="D355" s="9">
        <v>45418</v>
      </c>
      <c r="E355" s="13" t="str">
        <f>+HYPERLINK("http://trademark.i-assist.jp/data/china/image_1886th/76655878.pdf","76655878")</f>
        <v>76655878</v>
      </c>
      <c r="F355" s="7" t="s">
        <v>976</v>
      </c>
      <c r="G355" s="7" t="s">
        <v>977</v>
      </c>
      <c r="H355" s="7" t="s">
        <v>978</v>
      </c>
      <c r="I355" s="9">
        <v>45320</v>
      </c>
    </row>
    <row r="356" spans="1:9" ht="27" x14ac:dyDescent="0.15">
      <c r="A356" s="6">
        <v>355</v>
      </c>
      <c r="B356" s="7" t="s">
        <v>9</v>
      </c>
      <c r="C356" s="8">
        <v>1886</v>
      </c>
      <c r="D356" s="9">
        <v>45418</v>
      </c>
      <c r="E356" s="13" t="str">
        <f>+HYPERLINK("http://trademark.i-assist.jp/data/china/image_1886th/76655905.pdf","76655905")</f>
        <v>76655905</v>
      </c>
      <c r="F356" s="7" t="s">
        <v>979</v>
      </c>
      <c r="G356" s="7" t="s">
        <v>980</v>
      </c>
      <c r="H356" s="7" t="s">
        <v>981</v>
      </c>
      <c r="I356" s="9">
        <v>45320</v>
      </c>
    </row>
    <row r="357" spans="1:9" x14ac:dyDescent="0.15">
      <c r="A357" s="6">
        <v>356</v>
      </c>
      <c r="B357" s="7" t="s">
        <v>9</v>
      </c>
      <c r="C357" s="8">
        <v>1886</v>
      </c>
      <c r="D357" s="9">
        <v>45418</v>
      </c>
      <c r="E357" s="13" t="str">
        <f>+HYPERLINK("http://trademark.i-assist.jp/data/china/image_1886th/76655977.pdf","76655977")</f>
        <v>76655977</v>
      </c>
      <c r="F357" s="7" t="s">
        <v>982</v>
      </c>
      <c r="G357" s="7" t="s">
        <v>983</v>
      </c>
      <c r="H357" s="7" t="s">
        <v>984</v>
      </c>
      <c r="I357" s="9">
        <v>45320</v>
      </c>
    </row>
    <row r="358" spans="1:9" x14ac:dyDescent="0.15">
      <c r="A358" s="6">
        <v>357</v>
      </c>
      <c r="B358" s="7" t="s">
        <v>9</v>
      </c>
      <c r="C358" s="8">
        <v>1886</v>
      </c>
      <c r="D358" s="9">
        <v>45418</v>
      </c>
      <c r="E358" s="13" t="str">
        <f>+HYPERLINK("http://trademark.i-assist.jp/data/china/image_1886th/76656538.pdf","76656538")</f>
        <v>76656538</v>
      </c>
      <c r="F358" s="7" t="s">
        <v>985</v>
      </c>
      <c r="G358" s="7" t="s">
        <v>986</v>
      </c>
      <c r="H358" s="7" t="s">
        <v>987</v>
      </c>
      <c r="I358" s="9">
        <v>45320</v>
      </c>
    </row>
    <row r="359" spans="1:9" x14ac:dyDescent="0.15">
      <c r="A359" s="6">
        <v>358</v>
      </c>
      <c r="B359" s="7" t="s">
        <v>9</v>
      </c>
      <c r="C359" s="8">
        <v>1886</v>
      </c>
      <c r="D359" s="9">
        <v>45418</v>
      </c>
      <c r="E359" s="13" t="str">
        <f>+HYPERLINK("http://trademark.i-assist.jp/data/china/image_1886th/76656740.pdf","76656740")</f>
        <v>76656740</v>
      </c>
      <c r="F359" s="7" t="s">
        <v>988</v>
      </c>
      <c r="G359" s="7" t="s">
        <v>989</v>
      </c>
      <c r="H359" s="7" t="s">
        <v>990</v>
      </c>
      <c r="I359" s="9">
        <v>45320</v>
      </c>
    </row>
    <row r="360" spans="1:9" ht="27" x14ac:dyDescent="0.15">
      <c r="A360" s="6">
        <v>359</v>
      </c>
      <c r="B360" s="7" t="s">
        <v>9</v>
      </c>
      <c r="C360" s="8">
        <v>1886</v>
      </c>
      <c r="D360" s="9">
        <v>45418</v>
      </c>
      <c r="E360" s="13" t="str">
        <f>+HYPERLINK("http://trademark.i-assist.jp/data/china/image_1886th/76657198.pdf","76657198")</f>
        <v>76657198</v>
      </c>
      <c r="F360" s="7" t="s">
        <v>991</v>
      </c>
      <c r="G360" s="7" t="s">
        <v>992</v>
      </c>
      <c r="H360" s="7" t="s">
        <v>993</v>
      </c>
      <c r="I360" s="9">
        <v>45320</v>
      </c>
    </row>
    <row r="361" spans="1:9" x14ac:dyDescent="0.15">
      <c r="A361" s="6">
        <v>360</v>
      </c>
      <c r="B361" s="7" t="s">
        <v>9</v>
      </c>
      <c r="C361" s="8">
        <v>1886</v>
      </c>
      <c r="D361" s="9">
        <v>45418</v>
      </c>
      <c r="E361" s="13" t="str">
        <f>+HYPERLINK("http://trademark.i-assist.jp/data/china/image_1886th/76657379.pdf","76657379")</f>
        <v>76657379</v>
      </c>
      <c r="F361" s="7" t="s">
        <v>994</v>
      </c>
      <c r="G361" s="7" t="s">
        <v>995</v>
      </c>
      <c r="H361" s="7" t="s">
        <v>996</v>
      </c>
      <c r="I361" s="9">
        <v>45320</v>
      </c>
    </row>
    <row r="362" spans="1:9" x14ac:dyDescent="0.15">
      <c r="A362" s="6">
        <v>361</v>
      </c>
      <c r="B362" s="7" t="s">
        <v>9</v>
      </c>
      <c r="C362" s="8">
        <v>1886</v>
      </c>
      <c r="D362" s="9">
        <v>45418</v>
      </c>
      <c r="E362" s="13" t="str">
        <f>+HYPERLINK("http://trademark.i-assist.jp/data/china/image_1886th/76657533.pdf","76657533")</f>
        <v>76657533</v>
      </c>
      <c r="F362" s="7" t="s">
        <v>997</v>
      </c>
      <c r="G362" s="7" t="s">
        <v>971</v>
      </c>
      <c r="H362" s="7" t="s">
        <v>972</v>
      </c>
      <c r="I362" s="9">
        <v>45320</v>
      </c>
    </row>
    <row r="363" spans="1:9" x14ac:dyDescent="0.15">
      <c r="A363" s="6">
        <v>362</v>
      </c>
      <c r="B363" s="7" t="s">
        <v>9</v>
      </c>
      <c r="C363" s="8">
        <v>1886</v>
      </c>
      <c r="D363" s="9">
        <v>45418</v>
      </c>
      <c r="E363" s="13" t="str">
        <f>+HYPERLINK("http://trademark.i-assist.jp/data/china/image_1886th/76657767.pdf","76657767")</f>
        <v>76657767</v>
      </c>
      <c r="F363" s="7" t="s">
        <v>998</v>
      </c>
      <c r="G363" s="7" t="s">
        <v>971</v>
      </c>
      <c r="H363" s="7" t="s">
        <v>999</v>
      </c>
      <c r="I363" s="9">
        <v>45320</v>
      </c>
    </row>
    <row r="364" spans="1:9" x14ac:dyDescent="0.15">
      <c r="A364" s="6">
        <v>363</v>
      </c>
      <c r="B364" s="7" t="s">
        <v>9</v>
      </c>
      <c r="C364" s="8">
        <v>1886</v>
      </c>
      <c r="D364" s="9">
        <v>45418</v>
      </c>
      <c r="E364" s="13" t="str">
        <f>+HYPERLINK("http://trademark.i-assist.jp/data/china/image_1886th/76657949.pdf","76657949")</f>
        <v>76657949</v>
      </c>
      <c r="F364" s="7" t="s">
        <v>1000</v>
      </c>
      <c r="G364" s="7" t="s">
        <v>1001</v>
      </c>
      <c r="H364" s="7" t="s">
        <v>1002</v>
      </c>
      <c r="I364" s="9">
        <v>45320</v>
      </c>
    </row>
    <row r="365" spans="1:9" x14ac:dyDescent="0.15">
      <c r="A365" s="6">
        <v>364</v>
      </c>
      <c r="B365" s="7" t="s">
        <v>9</v>
      </c>
      <c r="C365" s="8">
        <v>1886</v>
      </c>
      <c r="D365" s="9">
        <v>45418</v>
      </c>
      <c r="E365" s="13" t="str">
        <f>+HYPERLINK("http://trademark.i-assist.jp/data/china/image_1886th/76658211.pdf","76658211")</f>
        <v>76658211</v>
      </c>
      <c r="F365" s="7" t="s">
        <v>1003</v>
      </c>
      <c r="G365" s="7" t="s">
        <v>1004</v>
      </c>
      <c r="H365" s="7" t="s">
        <v>1005</v>
      </c>
      <c r="I365" s="9">
        <v>45320</v>
      </c>
    </row>
    <row r="366" spans="1:9" x14ac:dyDescent="0.15">
      <c r="A366" s="6">
        <v>365</v>
      </c>
      <c r="B366" s="7" t="s">
        <v>9</v>
      </c>
      <c r="C366" s="8">
        <v>1886</v>
      </c>
      <c r="D366" s="9">
        <v>45418</v>
      </c>
      <c r="E366" s="13" t="str">
        <f>+HYPERLINK("http://trademark.i-assist.jp/data/china/image_1886th/76659061.pdf","76659061")</f>
        <v>76659061</v>
      </c>
      <c r="F366" s="7" t="s">
        <v>1006</v>
      </c>
      <c r="G366" s="7" t="s">
        <v>1007</v>
      </c>
      <c r="H366" s="7" t="s">
        <v>1008</v>
      </c>
      <c r="I366" s="9">
        <v>45320</v>
      </c>
    </row>
    <row r="367" spans="1:9" x14ac:dyDescent="0.15">
      <c r="A367" s="6">
        <v>366</v>
      </c>
      <c r="B367" s="7" t="s">
        <v>9</v>
      </c>
      <c r="C367" s="8">
        <v>1886</v>
      </c>
      <c r="D367" s="9">
        <v>45418</v>
      </c>
      <c r="E367" s="13" t="str">
        <f>+HYPERLINK("http://trademark.i-assist.jp/data/china/image_1886th/76659488.pdf","76659488")</f>
        <v>76659488</v>
      </c>
      <c r="F367" s="7" t="s">
        <v>1009</v>
      </c>
      <c r="G367" s="7" t="s">
        <v>963</v>
      </c>
      <c r="H367" s="7" t="s">
        <v>1010</v>
      </c>
      <c r="I367" s="9">
        <v>45320</v>
      </c>
    </row>
    <row r="368" spans="1:9" x14ac:dyDescent="0.15">
      <c r="A368" s="6">
        <v>367</v>
      </c>
      <c r="B368" s="7" t="s">
        <v>9</v>
      </c>
      <c r="C368" s="8">
        <v>1886</v>
      </c>
      <c r="D368" s="9">
        <v>45418</v>
      </c>
      <c r="E368" s="13" t="str">
        <f>+HYPERLINK("http://trademark.i-assist.jp/data/china/image_1886th/76659562.pdf","76659562")</f>
        <v>76659562</v>
      </c>
      <c r="F368" s="7" t="s">
        <v>1011</v>
      </c>
      <c r="G368" s="7" t="s">
        <v>940</v>
      </c>
      <c r="H368" s="7" t="s">
        <v>1012</v>
      </c>
      <c r="I368" s="9">
        <v>45320</v>
      </c>
    </row>
    <row r="369" spans="1:9" x14ac:dyDescent="0.15">
      <c r="A369" s="6">
        <v>368</v>
      </c>
      <c r="B369" s="7" t="s">
        <v>9</v>
      </c>
      <c r="C369" s="8">
        <v>1886</v>
      </c>
      <c r="D369" s="9">
        <v>45418</v>
      </c>
      <c r="E369" s="13" t="str">
        <f>+HYPERLINK("http://trademark.i-assist.jp/data/china/image_1886th/76660198.pdf","76660198")</f>
        <v>76660198</v>
      </c>
      <c r="F369" s="7" t="s">
        <v>1013</v>
      </c>
      <c r="G369" s="7" t="s">
        <v>1014</v>
      </c>
      <c r="H369" s="7" t="s">
        <v>1015</v>
      </c>
      <c r="I369" s="9">
        <v>45320</v>
      </c>
    </row>
    <row r="370" spans="1:9" x14ac:dyDescent="0.15">
      <c r="A370" s="6">
        <v>369</v>
      </c>
      <c r="B370" s="7" t="s">
        <v>9</v>
      </c>
      <c r="C370" s="8">
        <v>1886</v>
      </c>
      <c r="D370" s="9">
        <v>45418</v>
      </c>
      <c r="E370" s="13" t="str">
        <f>+HYPERLINK("http://trademark.i-assist.jp/data/china/image_1886th/76660231.pdf","76660231")</f>
        <v>76660231</v>
      </c>
      <c r="F370" s="7" t="s">
        <v>1016</v>
      </c>
      <c r="G370" s="7" t="s">
        <v>1017</v>
      </c>
      <c r="H370" s="7" t="s">
        <v>1018</v>
      </c>
      <c r="I370" s="9">
        <v>45320</v>
      </c>
    </row>
    <row r="371" spans="1:9" x14ac:dyDescent="0.15">
      <c r="A371" s="6">
        <v>370</v>
      </c>
      <c r="B371" s="7" t="s">
        <v>9</v>
      </c>
      <c r="C371" s="8">
        <v>1886</v>
      </c>
      <c r="D371" s="9">
        <v>45418</v>
      </c>
      <c r="E371" s="13" t="str">
        <f>+HYPERLINK("http://trademark.i-assist.jp/data/china/image_1886th/76660322.pdf","76660322")</f>
        <v>76660322</v>
      </c>
      <c r="F371" s="7" t="s">
        <v>1019</v>
      </c>
      <c r="G371" s="7" t="s">
        <v>989</v>
      </c>
      <c r="H371" s="7" t="s">
        <v>990</v>
      </c>
      <c r="I371" s="9">
        <v>45320</v>
      </c>
    </row>
    <row r="372" spans="1:9" ht="27" x14ac:dyDescent="0.15">
      <c r="A372" s="6">
        <v>371</v>
      </c>
      <c r="B372" s="7" t="s">
        <v>9</v>
      </c>
      <c r="C372" s="8">
        <v>1886</v>
      </c>
      <c r="D372" s="9">
        <v>45418</v>
      </c>
      <c r="E372" s="13" t="str">
        <f>+HYPERLINK("http://trademark.i-assist.jp/data/china/image_1886th/76660482.pdf","76660482")</f>
        <v>76660482</v>
      </c>
      <c r="F372" s="7" t="s">
        <v>1020</v>
      </c>
      <c r="G372" s="7" t="s">
        <v>937</v>
      </c>
      <c r="H372" s="7" t="s">
        <v>1021</v>
      </c>
      <c r="I372" s="9">
        <v>45320</v>
      </c>
    </row>
    <row r="373" spans="1:9" x14ac:dyDescent="0.15">
      <c r="A373" s="6">
        <v>372</v>
      </c>
      <c r="B373" s="7" t="s">
        <v>9</v>
      </c>
      <c r="C373" s="8">
        <v>1886</v>
      </c>
      <c r="D373" s="9">
        <v>45418</v>
      </c>
      <c r="E373" s="13" t="str">
        <f>+HYPERLINK("http://trademark.i-assist.jp/data/china/image_1886th/76661184.pdf","76661184")</f>
        <v>76661184</v>
      </c>
      <c r="F373" s="7" t="s">
        <v>1022</v>
      </c>
      <c r="G373" s="7" t="s">
        <v>1023</v>
      </c>
      <c r="H373" s="7" t="s">
        <v>1002</v>
      </c>
      <c r="I373" s="9">
        <v>45320</v>
      </c>
    </row>
    <row r="374" spans="1:9" x14ac:dyDescent="0.15">
      <c r="A374" s="6">
        <v>373</v>
      </c>
      <c r="B374" s="7" t="s">
        <v>9</v>
      </c>
      <c r="C374" s="8">
        <v>1886</v>
      </c>
      <c r="D374" s="9">
        <v>45418</v>
      </c>
      <c r="E374" s="13" t="str">
        <f>+HYPERLINK("http://trademark.i-assist.jp/data/china/image_1886th/76661353.pdf","76661353")</f>
        <v>76661353</v>
      </c>
      <c r="F374" s="7">
        <v>7989</v>
      </c>
      <c r="G374" s="7" t="s">
        <v>1024</v>
      </c>
      <c r="H374" s="7" t="s">
        <v>1025</v>
      </c>
      <c r="I374" s="9">
        <v>45320</v>
      </c>
    </row>
    <row r="375" spans="1:9" x14ac:dyDescent="0.15">
      <c r="A375" s="6">
        <v>374</v>
      </c>
      <c r="B375" s="7" t="s">
        <v>9</v>
      </c>
      <c r="C375" s="8">
        <v>1886</v>
      </c>
      <c r="D375" s="9">
        <v>45418</v>
      </c>
      <c r="E375" s="13" t="str">
        <f>+HYPERLINK("http://trademark.i-assist.jp/data/china/image_1886th/76661551.pdf","76661551")</f>
        <v>76661551</v>
      </c>
      <c r="F375" s="7" t="s">
        <v>33</v>
      </c>
      <c r="G375" s="7" t="s">
        <v>1026</v>
      </c>
      <c r="H375" s="7" t="s">
        <v>1027</v>
      </c>
      <c r="I375" s="9">
        <v>45320</v>
      </c>
    </row>
    <row r="376" spans="1:9" x14ac:dyDescent="0.15">
      <c r="A376" s="6">
        <v>375</v>
      </c>
      <c r="B376" s="7" t="s">
        <v>9</v>
      </c>
      <c r="C376" s="8">
        <v>1886</v>
      </c>
      <c r="D376" s="9">
        <v>45418</v>
      </c>
      <c r="E376" s="13" t="str">
        <f>+HYPERLINK("http://trademark.i-assist.jp/data/china/image_1886th/76661692.pdf","76661692")</f>
        <v>76661692</v>
      </c>
      <c r="F376" s="7" t="s">
        <v>1028</v>
      </c>
      <c r="G376" s="7" t="s">
        <v>971</v>
      </c>
      <c r="H376" s="7" t="s">
        <v>972</v>
      </c>
      <c r="I376" s="9">
        <v>45320</v>
      </c>
    </row>
    <row r="377" spans="1:9" ht="27" x14ac:dyDescent="0.15">
      <c r="A377" s="6">
        <v>376</v>
      </c>
      <c r="B377" s="7" t="s">
        <v>9</v>
      </c>
      <c r="C377" s="8">
        <v>1886</v>
      </c>
      <c r="D377" s="9">
        <v>45418</v>
      </c>
      <c r="E377" s="13" t="str">
        <f>+HYPERLINK("http://trademark.i-assist.jp/data/china/image_1886th/76661773.pdf","76661773")</f>
        <v>76661773</v>
      </c>
      <c r="F377" s="7" t="s">
        <v>1029</v>
      </c>
      <c r="G377" s="7" t="s">
        <v>1030</v>
      </c>
      <c r="H377" s="7" t="s">
        <v>1031</v>
      </c>
      <c r="I377" s="9">
        <v>45320</v>
      </c>
    </row>
    <row r="378" spans="1:9" x14ac:dyDescent="0.15">
      <c r="A378" s="6">
        <v>377</v>
      </c>
      <c r="B378" s="7" t="s">
        <v>9</v>
      </c>
      <c r="C378" s="8">
        <v>1886</v>
      </c>
      <c r="D378" s="9">
        <v>45418</v>
      </c>
      <c r="E378" s="13" t="str">
        <f>+HYPERLINK("http://trademark.i-assist.jp/data/china/image_1886th/76663498.pdf","76663498")</f>
        <v>76663498</v>
      </c>
      <c r="F378" s="7" t="s">
        <v>1032</v>
      </c>
      <c r="G378" s="7" t="s">
        <v>1033</v>
      </c>
      <c r="H378" s="7" t="s">
        <v>1034</v>
      </c>
      <c r="I378" s="9">
        <v>45320</v>
      </c>
    </row>
    <row r="379" spans="1:9" x14ac:dyDescent="0.15">
      <c r="A379" s="6">
        <v>378</v>
      </c>
      <c r="B379" s="7" t="s">
        <v>9</v>
      </c>
      <c r="C379" s="8">
        <v>1886</v>
      </c>
      <c r="D379" s="9">
        <v>45418</v>
      </c>
      <c r="E379" s="13" t="str">
        <f>+HYPERLINK("http://trademark.i-assist.jp/data/china/image_1886th/76663500.pdf","76663500")</f>
        <v>76663500</v>
      </c>
      <c r="F379" s="7" t="s">
        <v>1035</v>
      </c>
      <c r="G379" s="7" t="s">
        <v>1036</v>
      </c>
      <c r="H379" s="7" t="s">
        <v>1037</v>
      </c>
      <c r="I379" s="9">
        <v>45320</v>
      </c>
    </row>
    <row r="380" spans="1:9" ht="27" x14ac:dyDescent="0.15">
      <c r="A380" s="6">
        <v>379</v>
      </c>
      <c r="B380" s="7" t="s">
        <v>9</v>
      </c>
      <c r="C380" s="8">
        <v>1886</v>
      </c>
      <c r="D380" s="9">
        <v>45418</v>
      </c>
      <c r="E380" s="13" t="str">
        <f>+HYPERLINK("http://trademark.i-assist.jp/data/china/image_1886th/76663994.pdf","76663994")</f>
        <v>76663994</v>
      </c>
      <c r="F380" s="7" t="s">
        <v>1038</v>
      </c>
      <c r="G380" s="7" t="s">
        <v>1039</v>
      </c>
      <c r="H380" s="7" t="s">
        <v>1040</v>
      </c>
      <c r="I380" s="9">
        <v>45320</v>
      </c>
    </row>
    <row r="381" spans="1:9" x14ac:dyDescent="0.15">
      <c r="A381" s="6">
        <v>380</v>
      </c>
      <c r="B381" s="7" t="s">
        <v>9</v>
      </c>
      <c r="C381" s="8">
        <v>1886</v>
      </c>
      <c r="D381" s="9">
        <v>45418</v>
      </c>
      <c r="E381" s="13" t="str">
        <f>+HYPERLINK("http://trademark.i-assist.jp/data/china/image_1886th/76664401.pdf","76664401")</f>
        <v>76664401</v>
      </c>
      <c r="F381" s="7" t="s">
        <v>1041</v>
      </c>
      <c r="G381" s="7" t="s">
        <v>1042</v>
      </c>
      <c r="H381" s="7" t="s">
        <v>1043</v>
      </c>
      <c r="I381" s="9">
        <v>45320</v>
      </c>
    </row>
    <row r="382" spans="1:9" x14ac:dyDescent="0.15">
      <c r="A382" s="6">
        <v>381</v>
      </c>
      <c r="B382" s="7" t="s">
        <v>9</v>
      </c>
      <c r="C382" s="8">
        <v>1886</v>
      </c>
      <c r="D382" s="9">
        <v>45418</v>
      </c>
      <c r="E382" s="13" t="str">
        <f>+HYPERLINK("http://trademark.i-assist.jp/data/china/image_1886th/76664718.pdf","76664718")</f>
        <v>76664718</v>
      </c>
      <c r="F382" s="7" t="s">
        <v>1044</v>
      </c>
      <c r="G382" s="7" t="s">
        <v>1014</v>
      </c>
      <c r="H382" s="7" t="s">
        <v>1015</v>
      </c>
      <c r="I382" s="9">
        <v>45320</v>
      </c>
    </row>
    <row r="383" spans="1:9" ht="27" x14ac:dyDescent="0.15">
      <c r="A383" s="6">
        <v>382</v>
      </c>
      <c r="B383" s="7" t="s">
        <v>9</v>
      </c>
      <c r="C383" s="8">
        <v>1886</v>
      </c>
      <c r="D383" s="9">
        <v>45418</v>
      </c>
      <c r="E383" s="13" t="str">
        <f>+HYPERLINK("http://trademark.i-assist.jp/data/china/image_1886th/76665341.pdf","76665341")</f>
        <v>76665341</v>
      </c>
      <c r="F383" s="7" t="s">
        <v>33</v>
      </c>
      <c r="G383" s="7" t="s">
        <v>1045</v>
      </c>
      <c r="H383" s="7" t="s">
        <v>1046</v>
      </c>
      <c r="I383" s="9">
        <v>45320</v>
      </c>
    </row>
    <row r="384" spans="1:9" x14ac:dyDescent="0.15">
      <c r="A384" s="6">
        <v>383</v>
      </c>
      <c r="B384" s="7" t="s">
        <v>9</v>
      </c>
      <c r="C384" s="8">
        <v>1886</v>
      </c>
      <c r="D384" s="9">
        <v>45418</v>
      </c>
      <c r="E384" s="13" t="str">
        <f>+HYPERLINK("http://trademark.i-assist.jp/data/china/image_1886th/76665356.pdf","76665356")</f>
        <v>76665356</v>
      </c>
      <c r="F384" s="7" t="s">
        <v>1047</v>
      </c>
      <c r="G384" s="7" t="s">
        <v>1048</v>
      </c>
      <c r="H384" s="7" t="s">
        <v>1049</v>
      </c>
      <c r="I384" s="9">
        <v>45320</v>
      </c>
    </row>
    <row r="385" spans="1:9" x14ac:dyDescent="0.15">
      <c r="A385" s="6">
        <v>384</v>
      </c>
      <c r="B385" s="7" t="s">
        <v>9</v>
      </c>
      <c r="C385" s="8">
        <v>1886</v>
      </c>
      <c r="D385" s="9">
        <v>45418</v>
      </c>
      <c r="E385" s="13" t="str">
        <f>+HYPERLINK("http://trademark.i-assist.jp/data/china/image_1886th/76665784.pdf","76665784")</f>
        <v>76665784</v>
      </c>
      <c r="F385" s="7" t="s">
        <v>1050</v>
      </c>
      <c r="G385" s="7" t="s">
        <v>1051</v>
      </c>
      <c r="H385" s="7" t="s">
        <v>1052</v>
      </c>
      <c r="I385" s="9">
        <v>45320</v>
      </c>
    </row>
    <row r="386" spans="1:9" x14ac:dyDescent="0.15">
      <c r="A386" s="6">
        <v>385</v>
      </c>
      <c r="B386" s="7" t="s">
        <v>9</v>
      </c>
      <c r="C386" s="8">
        <v>1886</v>
      </c>
      <c r="D386" s="9">
        <v>45418</v>
      </c>
      <c r="E386" s="13" t="str">
        <f>+HYPERLINK("http://trademark.i-assist.jp/data/china/image_1886th/76665869.pdf","76665869")</f>
        <v>76665869</v>
      </c>
      <c r="F386" s="7" t="s">
        <v>1053</v>
      </c>
      <c r="G386" s="7" t="s">
        <v>963</v>
      </c>
      <c r="H386" s="7" t="s">
        <v>1054</v>
      </c>
      <c r="I386" s="9">
        <v>45320</v>
      </c>
    </row>
    <row r="387" spans="1:9" x14ac:dyDescent="0.15">
      <c r="A387" s="6">
        <v>386</v>
      </c>
      <c r="B387" s="7" t="s">
        <v>9</v>
      </c>
      <c r="C387" s="8">
        <v>1886</v>
      </c>
      <c r="D387" s="9">
        <v>45418</v>
      </c>
      <c r="E387" s="13" t="str">
        <f>+HYPERLINK("http://trademark.i-assist.jp/data/china/image_1886th/76667119.pdf","76667119")</f>
        <v>76667119</v>
      </c>
      <c r="F387" s="7" t="s">
        <v>1055</v>
      </c>
      <c r="G387" s="7" t="s">
        <v>1056</v>
      </c>
      <c r="H387" s="7" t="s">
        <v>1057</v>
      </c>
      <c r="I387" s="9">
        <v>45320</v>
      </c>
    </row>
    <row r="388" spans="1:9" x14ac:dyDescent="0.15">
      <c r="A388" s="6">
        <v>387</v>
      </c>
      <c r="B388" s="7" t="s">
        <v>9</v>
      </c>
      <c r="C388" s="8">
        <v>1886</v>
      </c>
      <c r="D388" s="9">
        <v>45418</v>
      </c>
      <c r="E388" s="13" t="str">
        <f>+HYPERLINK("http://trademark.i-assist.jp/data/china/image_1886th/76667274.pdf","76667274")</f>
        <v>76667274</v>
      </c>
      <c r="F388" s="7" t="s">
        <v>1058</v>
      </c>
      <c r="G388" s="7" t="s">
        <v>1059</v>
      </c>
      <c r="H388" s="7" t="s">
        <v>1060</v>
      </c>
      <c r="I388" s="9">
        <v>45320</v>
      </c>
    </row>
    <row r="389" spans="1:9" x14ac:dyDescent="0.15">
      <c r="A389" s="6">
        <v>388</v>
      </c>
      <c r="B389" s="7" t="s">
        <v>9</v>
      </c>
      <c r="C389" s="8">
        <v>1886</v>
      </c>
      <c r="D389" s="9">
        <v>45418</v>
      </c>
      <c r="E389" s="13" t="str">
        <f>+HYPERLINK("http://trademark.i-assist.jp/data/china/image_1886th/76667418.pdf","76667418")</f>
        <v>76667418</v>
      </c>
      <c r="F389" s="7" t="s">
        <v>1061</v>
      </c>
      <c r="G389" s="7" t="s">
        <v>1062</v>
      </c>
      <c r="H389" s="7" t="s">
        <v>1063</v>
      </c>
      <c r="I389" s="9">
        <v>45320</v>
      </c>
    </row>
    <row r="390" spans="1:9" x14ac:dyDescent="0.15">
      <c r="A390" s="6">
        <v>389</v>
      </c>
      <c r="B390" s="7" t="s">
        <v>9</v>
      </c>
      <c r="C390" s="8">
        <v>1886</v>
      </c>
      <c r="D390" s="9">
        <v>45418</v>
      </c>
      <c r="E390" s="13" t="str">
        <f>+HYPERLINK("http://trademark.i-assist.jp/data/china/image_1886th/76667468.pdf","76667468")</f>
        <v>76667468</v>
      </c>
      <c r="F390" s="7" t="s">
        <v>1064</v>
      </c>
      <c r="G390" s="7" t="s">
        <v>1004</v>
      </c>
      <c r="H390" s="7" t="s">
        <v>1065</v>
      </c>
      <c r="I390" s="9">
        <v>45320</v>
      </c>
    </row>
    <row r="391" spans="1:9" x14ac:dyDescent="0.15">
      <c r="A391" s="6">
        <v>390</v>
      </c>
      <c r="B391" s="7" t="s">
        <v>9</v>
      </c>
      <c r="C391" s="8">
        <v>1886</v>
      </c>
      <c r="D391" s="9">
        <v>45418</v>
      </c>
      <c r="E391" s="13" t="str">
        <f>+HYPERLINK("http://trademark.i-assist.jp/data/china/image_1886th/76667872.pdf","76667872")</f>
        <v>76667872</v>
      </c>
      <c r="F391" s="7" t="s">
        <v>1066</v>
      </c>
      <c r="G391" s="7" t="s">
        <v>1067</v>
      </c>
      <c r="H391" s="7" t="s">
        <v>1068</v>
      </c>
      <c r="I391" s="9">
        <v>45320</v>
      </c>
    </row>
    <row r="392" spans="1:9" ht="27" x14ac:dyDescent="0.15">
      <c r="A392" s="6">
        <v>391</v>
      </c>
      <c r="B392" s="7" t="s">
        <v>9</v>
      </c>
      <c r="C392" s="8">
        <v>1886</v>
      </c>
      <c r="D392" s="9">
        <v>45418</v>
      </c>
      <c r="E392" s="13" t="str">
        <f>+HYPERLINK("http://trademark.i-assist.jp/data/china/image_1886th/76668124.pdf","76668124")</f>
        <v>76668124</v>
      </c>
      <c r="F392" s="7" t="s">
        <v>1069</v>
      </c>
      <c r="G392" s="7" t="s">
        <v>1070</v>
      </c>
      <c r="H392" s="7" t="s">
        <v>1071</v>
      </c>
      <c r="I392" s="9">
        <v>45320</v>
      </c>
    </row>
    <row r="393" spans="1:9" x14ac:dyDescent="0.15">
      <c r="A393" s="6">
        <v>392</v>
      </c>
      <c r="B393" s="7" t="s">
        <v>9</v>
      </c>
      <c r="C393" s="8">
        <v>1886</v>
      </c>
      <c r="D393" s="9">
        <v>45418</v>
      </c>
      <c r="E393" s="13" t="str">
        <f>+HYPERLINK("http://trademark.i-assist.jp/data/china/image_1886th/76668680.pdf","76668680")</f>
        <v>76668680</v>
      </c>
      <c r="F393" s="7" t="s">
        <v>1072</v>
      </c>
      <c r="G393" s="7" t="s">
        <v>1073</v>
      </c>
      <c r="H393" s="7" t="s">
        <v>1074</v>
      </c>
      <c r="I393" s="9">
        <v>45320</v>
      </c>
    </row>
    <row r="394" spans="1:9" x14ac:dyDescent="0.15">
      <c r="A394" s="6">
        <v>393</v>
      </c>
      <c r="B394" s="7" t="s">
        <v>9</v>
      </c>
      <c r="C394" s="8">
        <v>1886</v>
      </c>
      <c r="D394" s="9">
        <v>45418</v>
      </c>
      <c r="E394" s="13" t="str">
        <f>+HYPERLINK("http://trademark.i-assist.jp/data/china/image_1886th/76668776.pdf","76668776")</f>
        <v>76668776</v>
      </c>
      <c r="F394" s="7" t="s">
        <v>1075</v>
      </c>
      <c r="G394" s="7" t="s">
        <v>1076</v>
      </c>
      <c r="H394" s="7" t="s">
        <v>1077</v>
      </c>
      <c r="I394" s="9">
        <v>45320</v>
      </c>
    </row>
    <row r="395" spans="1:9" ht="27" x14ac:dyDescent="0.15">
      <c r="A395" s="6">
        <v>394</v>
      </c>
      <c r="B395" s="7" t="s">
        <v>9</v>
      </c>
      <c r="C395" s="8">
        <v>1886</v>
      </c>
      <c r="D395" s="9">
        <v>45418</v>
      </c>
      <c r="E395" s="13" t="str">
        <f>+HYPERLINK("http://trademark.i-assist.jp/data/china/image_1886th/76670337.pdf","76670337")</f>
        <v>76670337</v>
      </c>
      <c r="F395" s="7" t="s">
        <v>1078</v>
      </c>
      <c r="G395" s="7" t="s">
        <v>1079</v>
      </c>
      <c r="H395" s="7" t="s">
        <v>1080</v>
      </c>
      <c r="I395" s="9">
        <v>45320</v>
      </c>
    </row>
    <row r="396" spans="1:9" x14ac:dyDescent="0.15">
      <c r="A396" s="6">
        <v>395</v>
      </c>
      <c r="B396" s="7" t="s">
        <v>9</v>
      </c>
      <c r="C396" s="8">
        <v>1886</v>
      </c>
      <c r="D396" s="9">
        <v>45418</v>
      </c>
      <c r="E396" s="13" t="str">
        <f>+HYPERLINK("http://trademark.i-assist.jp/data/china/image_1886th/76670737.pdf","76670737")</f>
        <v>76670737</v>
      </c>
      <c r="F396" s="7" t="s">
        <v>1081</v>
      </c>
      <c r="G396" s="7" t="s">
        <v>1082</v>
      </c>
      <c r="H396" s="7" t="s">
        <v>1083</v>
      </c>
      <c r="I396" s="9">
        <v>45320</v>
      </c>
    </row>
    <row r="397" spans="1:9" x14ac:dyDescent="0.15">
      <c r="A397" s="6">
        <v>396</v>
      </c>
      <c r="B397" s="7" t="s">
        <v>9</v>
      </c>
      <c r="C397" s="8">
        <v>1886</v>
      </c>
      <c r="D397" s="9">
        <v>45418</v>
      </c>
      <c r="E397" s="13" t="str">
        <f>+HYPERLINK("http://trademark.i-assist.jp/data/china/image_1886th/76670890.pdf","76670890")</f>
        <v>76670890</v>
      </c>
      <c r="F397" s="7" t="s">
        <v>1084</v>
      </c>
      <c r="G397" s="7" t="s">
        <v>1085</v>
      </c>
      <c r="H397" s="7" t="s">
        <v>1034</v>
      </c>
      <c r="I397" s="9">
        <v>45320</v>
      </c>
    </row>
    <row r="398" spans="1:9" x14ac:dyDescent="0.15">
      <c r="A398" s="6">
        <v>397</v>
      </c>
      <c r="B398" s="7" t="s">
        <v>9</v>
      </c>
      <c r="C398" s="8">
        <v>1886</v>
      </c>
      <c r="D398" s="9">
        <v>45418</v>
      </c>
      <c r="E398" s="13" t="str">
        <f>+HYPERLINK("http://trademark.i-assist.jp/data/china/image_1886th/76672393.pdf","76672393")</f>
        <v>76672393</v>
      </c>
      <c r="F398" s="7" t="s">
        <v>1086</v>
      </c>
      <c r="G398" s="7" t="s">
        <v>1087</v>
      </c>
      <c r="H398" s="7" t="s">
        <v>1088</v>
      </c>
      <c r="I398" s="9">
        <v>45320</v>
      </c>
    </row>
    <row r="399" spans="1:9" x14ac:dyDescent="0.15">
      <c r="A399" s="6">
        <v>398</v>
      </c>
      <c r="B399" s="7" t="s">
        <v>9</v>
      </c>
      <c r="C399" s="8">
        <v>1886</v>
      </c>
      <c r="D399" s="9">
        <v>45418</v>
      </c>
      <c r="E399" s="13" t="str">
        <f>+HYPERLINK("http://trademark.i-assist.jp/data/china/image_1886th/76672530.pdf","76672530")</f>
        <v>76672530</v>
      </c>
      <c r="F399" s="7" t="s">
        <v>1089</v>
      </c>
      <c r="G399" s="7" t="s">
        <v>989</v>
      </c>
      <c r="H399" s="7" t="s">
        <v>990</v>
      </c>
      <c r="I399" s="9">
        <v>45320</v>
      </c>
    </row>
    <row r="400" spans="1:9" x14ac:dyDescent="0.15">
      <c r="A400" s="6">
        <v>399</v>
      </c>
      <c r="B400" s="7" t="s">
        <v>9</v>
      </c>
      <c r="C400" s="8">
        <v>1886</v>
      </c>
      <c r="D400" s="9">
        <v>45418</v>
      </c>
      <c r="E400" s="13" t="str">
        <f>+HYPERLINK("http://trademark.i-assist.jp/data/china/image_1886th/76672647.pdf","76672647")</f>
        <v>76672647</v>
      </c>
      <c r="F400" s="7" t="s">
        <v>1090</v>
      </c>
      <c r="G400" s="7" t="s">
        <v>986</v>
      </c>
      <c r="H400" s="7" t="s">
        <v>987</v>
      </c>
      <c r="I400" s="9">
        <v>45320</v>
      </c>
    </row>
    <row r="401" spans="1:9" x14ac:dyDescent="0.15">
      <c r="A401" s="6">
        <v>400</v>
      </c>
      <c r="B401" s="7" t="s">
        <v>9</v>
      </c>
      <c r="C401" s="8">
        <v>1886</v>
      </c>
      <c r="D401" s="9">
        <v>45418</v>
      </c>
      <c r="E401" s="13" t="str">
        <f>+HYPERLINK("http://trademark.i-assist.jp/data/china/image_1886th/76672859.pdf","76672859")</f>
        <v>76672859</v>
      </c>
      <c r="F401" s="7" t="s">
        <v>1091</v>
      </c>
      <c r="G401" s="7" t="s">
        <v>1092</v>
      </c>
      <c r="H401" s="7" t="s">
        <v>1093</v>
      </c>
      <c r="I401" s="9">
        <v>45320</v>
      </c>
    </row>
    <row r="402" spans="1:9" x14ac:dyDescent="0.15">
      <c r="A402" s="6">
        <v>401</v>
      </c>
      <c r="B402" s="7" t="s">
        <v>9</v>
      </c>
      <c r="C402" s="8">
        <v>1886</v>
      </c>
      <c r="D402" s="9">
        <v>45418</v>
      </c>
      <c r="E402" s="13" t="str">
        <f>+HYPERLINK("http://trademark.i-assist.jp/data/china/image_1886th/76673774.pdf","76673774")</f>
        <v>76673774</v>
      </c>
      <c r="F402" s="7" t="s">
        <v>1094</v>
      </c>
      <c r="G402" s="7" t="s">
        <v>963</v>
      </c>
      <c r="H402" s="7" t="s">
        <v>1010</v>
      </c>
      <c r="I402" s="9">
        <v>45320</v>
      </c>
    </row>
    <row r="403" spans="1:9" x14ac:dyDescent="0.15">
      <c r="A403" s="6">
        <v>402</v>
      </c>
      <c r="B403" s="7" t="s">
        <v>9</v>
      </c>
      <c r="C403" s="8">
        <v>1886</v>
      </c>
      <c r="D403" s="9">
        <v>45418</v>
      </c>
      <c r="E403" s="13" t="str">
        <f>+HYPERLINK("http://trademark.i-assist.jp/data/china/image_1886th/76674058.pdf","76674058")</f>
        <v>76674058</v>
      </c>
      <c r="F403" s="7" t="s">
        <v>1095</v>
      </c>
      <c r="G403" s="7" t="s">
        <v>1096</v>
      </c>
      <c r="H403" s="7" t="s">
        <v>1097</v>
      </c>
      <c r="I403" s="9">
        <v>45320</v>
      </c>
    </row>
    <row r="404" spans="1:9" x14ac:dyDescent="0.15">
      <c r="A404" s="6">
        <v>403</v>
      </c>
      <c r="B404" s="7" t="s">
        <v>9</v>
      </c>
      <c r="C404" s="8">
        <v>1886</v>
      </c>
      <c r="D404" s="9">
        <v>45418</v>
      </c>
      <c r="E404" s="13" t="str">
        <f>+HYPERLINK("http://trademark.i-assist.jp/data/china/image_1886th/76675237.pdf","76675237")</f>
        <v>76675237</v>
      </c>
      <c r="F404" s="7" t="s">
        <v>1098</v>
      </c>
      <c r="G404" s="7" t="s">
        <v>1099</v>
      </c>
      <c r="H404" s="7" t="s">
        <v>1100</v>
      </c>
      <c r="I404" s="9">
        <v>45321</v>
      </c>
    </row>
    <row r="405" spans="1:9" x14ac:dyDescent="0.15">
      <c r="A405" s="6">
        <v>404</v>
      </c>
      <c r="B405" s="7" t="s">
        <v>9</v>
      </c>
      <c r="C405" s="8">
        <v>1886</v>
      </c>
      <c r="D405" s="9">
        <v>45418</v>
      </c>
      <c r="E405" s="13" t="str">
        <f>+HYPERLINK("http://trademark.i-assist.jp/data/china/image_1886th/76675837.pdf","76675837")</f>
        <v>76675837</v>
      </c>
      <c r="F405" s="7" t="s">
        <v>1101</v>
      </c>
      <c r="G405" s="7" t="s">
        <v>1102</v>
      </c>
      <c r="H405" s="7" t="s">
        <v>1103</v>
      </c>
      <c r="I405" s="9">
        <v>45321</v>
      </c>
    </row>
    <row r="406" spans="1:9" ht="27" x14ac:dyDescent="0.15">
      <c r="A406" s="6">
        <v>405</v>
      </c>
      <c r="B406" s="7" t="s">
        <v>9</v>
      </c>
      <c r="C406" s="8">
        <v>1886</v>
      </c>
      <c r="D406" s="9">
        <v>45418</v>
      </c>
      <c r="E406" s="13" t="str">
        <f>+HYPERLINK("http://trademark.i-assist.jp/data/china/image_1886th/76676020.pdf","76676020")</f>
        <v>76676020</v>
      </c>
      <c r="F406" s="7" t="s">
        <v>1104</v>
      </c>
      <c r="G406" s="7" t="s">
        <v>1105</v>
      </c>
      <c r="H406" s="7" t="s">
        <v>1106</v>
      </c>
      <c r="I406" s="9">
        <v>45321</v>
      </c>
    </row>
    <row r="407" spans="1:9" x14ac:dyDescent="0.15">
      <c r="A407" s="6">
        <v>406</v>
      </c>
      <c r="B407" s="7" t="s">
        <v>9</v>
      </c>
      <c r="C407" s="8">
        <v>1886</v>
      </c>
      <c r="D407" s="9">
        <v>45418</v>
      </c>
      <c r="E407" s="13" t="str">
        <f>+HYPERLINK("http://trademark.i-assist.jp/data/china/image_1886th/76676320.pdf","76676320")</f>
        <v>76676320</v>
      </c>
      <c r="F407" s="7" t="s">
        <v>1107</v>
      </c>
      <c r="G407" s="7" t="s">
        <v>1108</v>
      </c>
      <c r="H407" s="7" t="s">
        <v>1109</v>
      </c>
      <c r="I407" s="9">
        <v>45321</v>
      </c>
    </row>
    <row r="408" spans="1:9" x14ac:dyDescent="0.15">
      <c r="A408" s="6">
        <v>407</v>
      </c>
      <c r="B408" s="7" t="s">
        <v>9</v>
      </c>
      <c r="C408" s="8">
        <v>1886</v>
      </c>
      <c r="D408" s="9">
        <v>45418</v>
      </c>
      <c r="E408" s="13" t="str">
        <f>+HYPERLINK("http://trademark.i-assist.jp/data/china/image_1886th/76676886.pdf","76676886")</f>
        <v>76676886</v>
      </c>
      <c r="F408" s="7" t="s">
        <v>1110</v>
      </c>
      <c r="G408" s="7" t="s">
        <v>1111</v>
      </c>
      <c r="H408" s="7" t="s">
        <v>1112</v>
      </c>
      <c r="I408" s="9">
        <v>45321</v>
      </c>
    </row>
    <row r="409" spans="1:9" x14ac:dyDescent="0.15">
      <c r="A409" s="6">
        <v>408</v>
      </c>
      <c r="B409" s="7" t="s">
        <v>9</v>
      </c>
      <c r="C409" s="8">
        <v>1886</v>
      </c>
      <c r="D409" s="9">
        <v>45418</v>
      </c>
      <c r="E409" s="13" t="str">
        <f>+HYPERLINK("http://trademark.i-assist.jp/data/china/image_1886th/76676893.pdf","76676893")</f>
        <v>76676893</v>
      </c>
      <c r="F409" s="7" t="s">
        <v>1113</v>
      </c>
      <c r="G409" s="7" t="s">
        <v>1111</v>
      </c>
      <c r="H409" s="7" t="s">
        <v>1112</v>
      </c>
      <c r="I409" s="9">
        <v>45321</v>
      </c>
    </row>
    <row r="410" spans="1:9" x14ac:dyDescent="0.15">
      <c r="A410" s="6">
        <v>409</v>
      </c>
      <c r="B410" s="7" t="s">
        <v>9</v>
      </c>
      <c r="C410" s="8">
        <v>1886</v>
      </c>
      <c r="D410" s="9">
        <v>45418</v>
      </c>
      <c r="E410" s="13" t="str">
        <f>+HYPERLINK("http://trademark.i-assist.jp/data/china/image_1886th/76676900.pdf","76676900")</f>
        <v>76676900</v>
      </c>
      <c r="F410" s="7" t="s">
        <v>1114</v>
      </c>
      <c r="G410" s="7" t="s">
        <v>1111</v>
      </c>
      <c r="H410" s="7" t="s">
        <v>1112</v>
      </c>
      <c r="I410" s="9">
        <v>45321</v>
      </c>
    </row>
    <row r="411" spans="1:9" x14ac:dyDescent="0.15">
      <c r="A411" s="6">
        <v>410</v>
      </c>
      <c r="B411" s="7" t="s">
        <v>9</v>
      </c>
      <c r="C411" s="8">
        <v>1886</v>
      </c>
      <c r="D411" s="9">
        <v>45418</v>
      </c>
      <c r="E411" s="13" t="str">
        <f>+HYPERLINK("http://trademark.i-assist.jp/data/china/image_1886th/76676926.pdf","76676926")</f>
        <v>76676926</v>
      </c>
      <c r="F411" s="7" t="s">
        <v>1115</v>
      </c>
      <c r="G411" s="7" t="s">
        <v>1116</v>
      </c>
      <c r="H411" s="7" t="s">
        <v>1117</v>
      </c>
      <c r="I411" s="9">
        <v>45321</v>
      </c>
    </row>
    <row r="412" spans="1:9" x14ac:dyDescent="0.15">
      <c r="A412" s="6">
        <v>411</v>
      </c>
      <c r="B412" s="7" t="s">
        <v>9</v>
      </c>
      <c r="C412" s="8">
        <v>1886</v>
      </c>
      <c r="D412" s="9">
        <v>45418</v>
      </c>
      <c r="E412" s="13" t="str">
        <f>+HYPERLINK("http://trademark.i-assist.jp/data/china/image_1886th/76677342.pdf","76677342")</f>
        <v>76677342</v>
      </c>
      <c r="F412" s="7" t="s">
        <v>1118</v>
      </c>
      <c r="G412" s="7" t="s">
        <v>1119</v>
      </c>
      <c r="H412" s="7" t="s">
        <v>1120</v>
      </c>
      <c r="I412" s="9">
        <v>45321</v>
      </c>
    </row>
    <row r="413" spans="1:9" x14ac:dyDescent="0.15">
      <c r="A413" s="6">
        <v>412</v>
      </c>
      <c r="B413" s="7" t="s">
        <v>9</v>
      </c>
      <c r="C413" s="8">
        <v>1886</v>
      </c>
      <c r="D413" s="9">
        <v>45418</v>
      </c>
      <c r="E413" s="13" t="str">
        <f>+HYPERLINK("http://trademark.i-assist.jp/data/china/image_1886th/76677418.pdf","76677418")</f>
        <v>76677418</v>
      </c>
      <c r="F413" s="7" t="s">
        <v>1121</v>
      </c>
      <c r="G413" s="7" t="s">
        <v>1122</v>
      </c>
      <c r="H413" s="7" t="s">
        <v>1123</v>
      </c>
      <c r="I413" s="9">
        <v>45321</v>
      </c>
    </row>
    <row r="414" spans="1:9" x14ac:dyDescent="0.15">
      <c r="A414" s="6">
        <v>413</v>
      </c>
      <c r="B414" s="7" t="s">
        <v>9</v>
      </c>
      <c r="C414" s="8">
        <v>1886</v>
      </c>
      <c r="D414" s="9">
        <v>45418</v>
      </c>
      <c r="E414" s="13" t="str">
        <f>+HYPERLINK("http://trademark.i-assist.jp/data/china/image_1886th/76678279.pdf","76678279")</f>
        <v>76678279</v>
      </c>
      <c r="F414" s="7" t="s">
        <v>1124</v>
      </c>
      <c r="G414" s="7" t="s">
        <v>830</v>
      </c>
      <c r="H414" s="7" t="s">
        <v>831</v>
      </c>
      <c r="I414" s="9">
        <v>45321</v>
      </c>
    </row>
    <row r="415" spans="1:9" ht="27" x14ac:dyDescent="0.15">
      <c r="A415" s="6">
        <v>414</v>
      </c>
      <c r="B415" s="7" t="s">
        <v>9</v>
      </c>
      <c r="C415" s="8">
        <v>1886</v>
      </c>
      <c r="D415" s="9">
        <v>45418</v>
      </c>
      <c r="E415" s="13" t="str">
        <f>+HYPERLINK("http://trademark.i-assist.jp/data/china/image_1886th/76679886.pdf","76679886")</f>
        <v>76679886</v>
      </c>
      <c r="F415" s="7" t="s">
        <v>1125</v>
      </c>
      <c r="G415" s="7" t="s">
        <v>1126</v>
      </c>
      <c r="H415" s="7" t="s">
        <v>1127</v>
      </c>
      <c r="I415" s="9">
        <v>45321</v>
      </c>
    </row>
    <row r="416" spans="1:9" ht="27" x14ac:dyDescent="0.15">
      <c r="A416" s="6">
        <v>415</v>
      </c>
      <c r="B416" s="7" t="s">
        <v>9</v>
      </c>
      <c r="C416" s="8">
        <v>1886</v>
      </c>
      <c r="D416" s="9">
        <v>45418</v>
      </c>
      <c r="E416" s="13" t="str">
        <f>+HYPERLINK("http://trademark.i-assist.jp/data/china/image_1886th/76680216.pdf","76680216")</f>
        <v>76680216</v>
      </c>
      <c r="F416" s="7" t="s">
        <v>1128</v>
      </c>
      <c r="G416" s="7" t="s">
        <v>1129</v>
      </c>
      <c r="H416" s="7" t="s">
        <v>1130</v>
      </c>
      <c r="I416" s="9">
        <v>45321</v>
      </c>
    </row>
    <row r="417" spans="1:9" x14ac:dyDescent="0.15">
      <c r="A417" s="6">
        <v>416</v>
      </c>
      <c r="B417" s="7" t="s">
        <v>9</v>
      </c>
      <c r="C417" s="8">
        <v>1886</v>
      </c>
      <c r="D417" s="9">
        <v>45418</v>
      </c>
      <c r="E417" s="13" t="str">
        <f>+HYPERLINK("http://trademark.i-assist.jp/data/china/image_1886th/76680393.pdf","76680393")</f>
        <v>76680393</v>
      </c>
      <c r="F417" s="7" t="s">
        <v>1131</v>
      </c>
      <c r="G417" s="7" t="s">
        <v>1132</v>
      </c>
      <c r="H417" s="7" t="s">
        <v>1133</v>
      </c>
      <c r="I417" s="9">
        <v>45321</v>
      </c>
    </row>
    <row r="418" spans="1:9" x14ac:dyDescent="0.15">
      <c r="A418" s="6">
        <v>417</v>
      </c>
      <c r="B418" s="7" t="s">
        <v>9</v>
      </c>
      <c r="C418" s="8">
        <v>1886</v>
      </c>
      <c r="D418" s="9">
        <v>45418</v>
      </c>
      <c r="E418" s="13" t="str">
        <f>+HYPERLINK("http://trademark.i-assist.jp/data/china/image_1886th/76680397.pdf","76680397")</f>
        <v>76680397</v>
      </c>
      <c r="F418" s="7" t="s">
        <v>1134</v>
      </c>
      <c r="G418" s="7" t="s">
        <v>1135</v>
      </c>
      <c r="H418" s="7" t="s">
        <v>1136</v>
      </c>
      <c r="I418" s="9">
        <v>45321</v>
      </c>
    </row>
    <row r="419" spans="1:9" x14ac:dyDescent="0.15">
      <c r="A419" s="6">
        <v>418</v>
      </c>
      <c r="B419" s="7" t="s">
        <v>9</v>
      </c>
      <c r="C419" s="8">
        <v>1886</v>
      </c>
      <c r="D419" s="9">
        <v>45418</v>
      </c>
      <c r="E419" s="13" t="str">
        <f>+HYPERLINK("http://trademark.i-assist.jp/data/china/image_1886th/76681266.pdf","76681266")</f>
        <v>76681266</v>
      </c>
      <c r="F419" s="7" t="s">
        <v>1137</v>
      </c>
      <c r="G419" s="7" t="s">
        <v>1138</v>
      </c>
      <c r="H419" s="7" t="s">
        <v>1139</v>
      </c>
      <c r="I419" s="9">
        <v>45321</v>
      </c>
    </row>
    <row r="420" spans="1:9" x14ac:dyDescent="0.15">
      <c r="A420" s="6">
        <v>419</v>
      </c>
      <c r="B420" s="7" t="s">
        <v>9</v>
      </c>
      <c r="C420" s="8">
        <v>1886</v>
      </c>
      <c r="D420" s="9">
        <v>45418</v>
      </c>
      <c r="E420" s="13" t="str">
        <f>+HYPERLINK("http://trademark.i-assist.jp/data/china/image_1886th/76682182.pdf","76682182")</f>
        <v>76682182</v>
      </c>
      <c r="F420" s="7" t="s">
        <v>1140</v>
      </c>
      <c r="G420" s="7" t="s">
        <v>1141</v>
      </c>
      <c r="H420" s="7" t="s">
        <v>1142</v>
      </c>
      <c r="I420" s="9">
        <v>45321</v>
      </c>
    </row>
    <row r="421" spans="1:9" ht="27" x14ac:dyDescent="0.15">
      <c r="A421" s="6">
        <v>420</v>
      </c>
      <c r="B421" s="7" t="s">
        <v>9</v>
      </c>
      <c r="C421" s="8">
        <v>1886</v>
      </c>
      <c r="D421" s="9">
        <v>45418</v>
      </c>
      <c r="E421" s="13" t="str">
        <f>+HYPERLINK("http://trademark.i-assist.jp/data/china/image_1886th/76683118.pdf","76683118")</f>
        <v>76683118</v>
      </c>
      <c r="F421" s="7" t="s">
        <v>1143</v>
      </c>
      <c r="G421" s="7" t="s">
        <v>1144</v>
      </c>
      <c r="H421" s="7" t="s">
        <v>1145</v>
      </c>
      <c r="I421" s="9">
        <v>45321</v>
      </c>
    </row>
    <row r="422" spans="1:9" x14ac:dyDescent="0.15">
      <c r="A422" s="6">
        <v>421</v>
      </c>
      <c r="B422" s="7" t="s">
        <v>9</v>
      </c>
      <c r="C422" s="8">
        <v>1886</v>
      </c>
      <c r="D422" s="9">
        <v>45418</v>
      </c>
      <c r="E422" s="13" t="str">
        <f>+HYPERLINK("http://trademark.i-assist.jp/data/china/image_1886th/76684275.pdf","76684275")</f>
        <v>76684275</v>
      </c>
      <c r="F422" s="7" t="s">
        <v>1146</v>
      </c>
      <c r="G422" s="7" t="s">
        <v>1147</v>
      </c>
      <c r="H422" s="7" t="s">
        <v>1148</v>
      </c>
      <c r="I422" s="9">
        <v>45321</v>
      </c>
    </row>
    <row r="423" spans="1:9" x14ac:dyDescent="0.15">
      <c r="A423" s="6">
        <v>422</v>
      </c>
      <c r="B423" s="7" t="s">
        <v>9</v>
      </c>
      <c r="C423" s="8">
        <v>1886</v>
      </c>
      <c r="D423" s="9">
        <v>45418</v>
      </c>
      <c r="E423" s="13" t="str">
        <f>+HYPERLINK("http://trademark.i-assist.jp/data/china/image_1886th/76685189.pdf","76685189")</f>
        <v>76685189</v>
      </c>
      <c r="F423" s="7" t="s">
        <v>1149</v>
      </c>
      <c r="G423" s="7" t="s">
        <v>1150</v>
      </c>
      <c r="H423" s="7" t="s">
        <v>1151</v>
      </c>
      <c r="I423" s="9">
        <v>45321</v>
      </c>
    </row>
    <row r="424" spans="1:9" x14ac:dyDescent="0.15">
      <c r="A424" s="6">
        <v>423</v>
      </c>
      <c r="B424" s="7" t="s">
        <v>9</v>
      </c>
      <c r="C424" s="8">
        <v>1886</v>
      </c>
      <c r="D424" s="9">
        <v>45418</v>
      </c>
      <c r="E424" s="13" t="str">
        <f>+HYPERLINK("http://trademark.i-assist.jp/data/china/image_1886th/76685495.pdf","76685495")</f>
        <v>76685495</v>
      </c>
      <c r="F424" s="7" t="s">
        <v>1152</v>
      </c>
      <c r="G424" s="7" t="s">
        <v>1153</v>
      </c>
      <c r="H424" s="7" t="s">
        <v>1154</v>
      </c>
      <c r="I424" s="9">
        <v>45321</v>
      </c>
    </row>
    <row r="425" spans="1:9" x14ac:dyDescent="0.15">
      <c r="A425" s="6">
        <v>424</v>
      </c>
      <c r="B425" s="7" t="s">
        <v>9</v>
      </c>
      <c r="C425" s="8">
        <v>1886</v>
      </c>
      <c r="D425" s="9">
        <v>45418</v>
      </c>
      <c r="E425" s="13" t="str">
        <f>+HYPERLINK("http://trademark.i-assist.jp/data/china/image_1886th/76685992.pdf","76685992")</f>
        <v>76685992</v>
      </c>
      <c r="F425" s="7" t="s">
        <v>1155</v>
      </c>
      <c r="G425" s="7" t="s">
        <v>1156</v>
      </c>
      <c r="H425" s="7" t="s">
        <v>1157</v>
      </c>
      <c r="I425" s="9">
        <v>45321</v>
      </c>
    </row>
    <row r="426" spans="1:9" x14ac:dyDescent="0.15">
      <c r="A426" s="6">
        <v>425</v>
      </c>
      <c r="B426" s="7" t="s">
        <v>9</v>
      </c>
      <c r="C426" s="8">
        <v>1886</v>
      </c>
      <c r="D426" s="9">
        <v>45418</v>
      </c>
      <c r="E426" s="13" t="str">
        <f>+HYPERLINK("http://trademark.i-assist.jp/data/china/image_1886th/76686729.pdf","76686729")</f>
        <v>76686729</v>
      </c>
      <c r="F426" s="7" t="s">
        <v>1158</v>
      </c>
      <c r="G426" s="7" t="s">
        <v>1159</v>
      </c>
      <c r="H426" s="7" t="s">
        <v>1160</v>
      </c>
      <c r="I426" s="9">
        <v>45321</v>
      </c>
    </row>
    <row r="427" spans="1:9" x14ac:dyDescent="0.15">
      <c r="A427" s="6">
        <v>426</v>
      </c>
      <c r="B427" s="7" t="s">
        <v>9</v>
      </c>
      <c r="C427" s="8">
        <v>1886</v>
      </c>
      <c r="D427" s="9">
        <v>45418</v>
      </c>
      <c r="E427" s="13" t="str">
        <f>+HYPERLINK("http://trademark.i-assist.jp/data/china/image_1886th/76686748.pdf","76686748")</f>
        <v>76686748</v>
      </c>
      <c r="F427" s="7" t="s">
        <v>1161</v>
      </c>
      <c r="G427" s="7" t="s">
        <v>1162</v>
      </c>
      <c r="H427" s="7" t="s">
        <v>1163</v>
      </c>
      <c r="I427" s="9">
        <v>45321</v>
      </c>
    </row>
    <row r="428" spans="1:9" ht="27" x14ac:dyDescent="0.15">
      <c r="A428" s="6">
        <v>427</v>
      </c>
      <c r="B428" s="7" t="s">
        <v>9</v>
      </c>
      <c r="C428" s="8">
        <v>1886</v>
      </c>
      <c r="D428" s="9">
        <v>45418</v>
      </c>
      <c r="E428" s="13" t="str">
        <f>+HYPERLINK("http://trademark.i-assist.jp/data/china/image_1886th/76687024.pdf","76687024")</f>
        <v>76687024</v>
      </c>
      <c r="F428" s="7" t="s">
        <v>1164</v>
      </c>
      <c r="G428" s="7" t="s">
        <v>1165</v>
      </c>
      <c r="H428" s="7" t="s">
        <v>1166</v>
      </c>
      <c r="I428" s="9">
        <v>45321</v>
      </c>
    </row>
    <row r="429" spans="1:9" x14ac:dyDescent="0.15">
      <c r="A429" s="6">
        <v>428</v>
      </c>
      <c r="B429" s="7" t="s">
        <v>9</v>
      </c>
      <c r="C429" s="8">
        <v>1886</v>
      </c>
      <c r="D429" s="9">
        <v>45418</v>
      </c>
      <c r="E429" s="13" t="str">
        <f>+HYPERLINK("http://trademark.i-assist.jp/data/china/image_1886th/76688531.pdf","76688531")</f>
        <v>76688531</v>
      </c>
      <c r="F429" s="7" t="s">
        <v>1167</v>
      </c>
      <c r="G429" s="7" t="s">
        <v>1168</v>
      </c>
      <c r="H429" s="7" t="s">
        <v>1169</v>
      </c>
      <c r="I429" s="9">
        <v>45321</v>
      </c>
    </row>
    <row r="430" spans="1:9" x14ac:dyDescent="0.15">
      <c r="A430" s="6">
        <v>429</v>
      </c>
      <c r="B430" s="7" t="s">
        <v>9</v>
      </c>
      <c r="C430" s="8">
        <v>1886</v>
      </c>
      <c r="D430" s="9">
        <v>45418</v>
      </c>
      <c r="E430" s="13" t="str">
        <f>+HYPERLINK("http://trademark.i-assist.jp/data/china/image_1886th/76689468.pdf","76689468")</f>
        <v>76689468</v>
      </c>
      <c r="F430" s="7" t="s">
        <v>1170</v>
      </c>
      <c r="G430" s="7" t="s">
        <v>1171</v>
      </c>
      <c r="H430" s="7" t="s">
        <v>1172</v>
      </c>
      <c r="I430" s="9">
        <v>45321</v>
      </c>
    </row>
    <row r="431" spans="1:9" x14ac:dyDescent="0.15">
      <c r="A431" s="6">
        <v>430</v>
      </c>
      <c r="B431" s="7" t="s">
        <v>9</v>
      </c>
      <c r="C431" s="8">
        <v>1886</v>
      </c>
      <c r="D431" s="9">
        <v>45418</v>
      </c>
      <c r="E431" s="13" t="str">
        <f>+HYPERLINK("http://trademark.i-assist.jp/data/china/image_1886th/76689670.pdf","76689670")</f>
        <v>76689670</v>
      </c>
      <c r="F431" s="7" t="s">
        <v>1173</v>
      </c>
      <c r="G431" s="7" t="s">
        <v>1174</v>
      </c>
      <c r="H431" s="7" t="s">
        <v>1175</v>
      </c>
      <c r="I431" s="9">
        <v>45321</v>
      </c>
    </row>
    <row r="432" spans="1:9" x14ac:dyDescent="0.15">
      <c r="A432" s="6">
        <v>431</v>
      </c>
      <c r="B432" s="7" t="s">
        <v>9</v>
      </c>
      <c r="C432" s="8">
        <v>1886</v>
      </c>
      <c r="D432" s="9">
        <v>45418</v>
      </c>
      <c r="E432" s="13" t="str">
        <f>+HYPERLINK("http://trademark.i-assist.jp/data/china/image_1886th/76690354.pdf","76690354")</f>
        <v>76690354</v>
      </c>
      <c r="F432" s="7" t="s">
        <v>1176</v>
      </c>
      <c r="G432" s="7" t="s">
        <v>1111</v>
      </c>
      <c r="H432" s="7" t="s">
        <v>1177</v>
      </c>
      <c r="I432" s="9">
        <v>45321</v>
      </c>
    </row>
    <row r="433" spans="1:9" x14ac:dyDescent="0.15">
      <c r="A433" s="6">
        <v>432</v>
      </c>
      <c r="B433" s="7" t="s">
        <v>9</v>
      </c>
      <c r="C433" s="8">
        <v>1886</v>
      </c>
      <c r="D433" s="9">
        <v>45418</v>
      </c>
      <c r="E433" s="13" t="str">
        <f>+HYPERLINK("http://trademark.i-assist.jp/data/china/image_1886th/76690505.pdf","76690505")</f>
        <v>76690505</v>
      </c>
      <c r="F433" s="7" t="s">
        <v>1178</v>
      </c>
      <c r="G433" s="7" t="s">
        <v>1179</v>
      </c>
      <c r="H433" s="7" t="s">
        <v>1180</v>
      </c>
      <c r="I433" s="9">
        <v>45321</v>
      </c>
    </row>
    <row r="434" spans="1:9" x14ac:dyDescent="0.15">
      <c r="A434" s="6">
        <v>433</v>
      </c>
      <c r="B434" s="7" t="s">
        <v>9</v>
      </c>
      <c r="C434" s="8">
        <v>1886</v>
      </c>
      <c r="D434" s="9">
        <v>45418</v>
      </c>
      <c r="E434" s="13" t="str">
        <f>+HYPERLINK("http://trademark.i-assist.jp/data/china/image_1886th/76690783.pdf","76690783")</f>
        <v>76690783</v>
      </c>
      <c r="F434" s="7" t="s">
        <v>1181</v>
      </c>
      <c r="G434" s="7" t="s">
        <v>1111</v>
      </c>
      <c r="H434" s="7" t="s">
        <v>1112</v>
      </c>
      <c r="I434" s="9">
        <v>45321</v>
      </c>
    </row>
    <row r="435" spans="1:9" x14ac:dyDescent="0.15">
      <c r="A435" s="6">
        <v>434</v>
      </c>
      <c r="B435" s="7" t="s">
        <v>9</v>
      </c>
      <c r="C435" s="8">
        <v>1886</v>
      </c>
      <c r="D435" s="9">
        <v>45418</v>
      </c>
      <c r="E435" s="13" t="str">
        <f>+HYPERLINK("http://trademark.i-assist.jp/data/china/image_1886th/76691231.pdf","76691231")</f>
        <v>76691231</v>
      </c>
      <c r="F435" s="7" t="s">
        <v>1182</v>
      </c>
      <c r="G435" s="7" t="s">
        <v>1183</v>
      </c>
      <c r="H435" s="7" t="s">
        <v>1184</v>
      </c>
      <c r="I435" s="9">
        <v>45321</v>
      </c>
    </row>
    <row r="436" spans="1:9" ht="27" x14ac:dyDescent="0.15">
      <c r="A436" s="6">
        <v>435</v>
      </c>
      <c r="B436" s="7" t="s">
        <v>9</v>
      </c>
      <c r="C436" s="8">
        <v>1886</v>
      </c>
      <c r="D436" s="9">
        <v>45418</v>
      </c>
      <c r="E436" s="13" t="str">
        <f>+HYPERLINK("http://trademark.i-assist.jp/data/china/image_1886th/76691821.pdf","76691821")</f>
        <v>76691821</v>
      </c>
      <c r="F436" s="7" t="s">
        <v>1185</v>
      </c>
      <c r="G436" s="7" t="s">
        <v>1165</v>
      </c>
      <c r="H436" s="7" t="s">
        <v>1166</v>
      </c>
      <c r="I436" s="9">
        <v>45321</v>
      </c>
    </row>
    <row r="437" spans="1:9" x14ac:dyDescent="0.15">
      <c r="A437" s="6">
        <v>436</v>
      </c>
      <c r="B437" s="7" t="s">
        <v>9</v>
      </c>
      <c r="C437" s="8">
        <v>1886</v>
      </c>
      <c r="D437" s="9">
        <v>45418</v>
      </c>
      <c r="E437" s="13" t="str">
        <f>+HYPERLINK("http://trademark.i-assist.jp/data/china/image_1886th/76692155.pdf","76692155")</f>
        <v>76692155</v>
      </c>
      <c r="F437" s="7" t="s">
        <v>33</v>
      </c>
      <c r="G437" s="7" t="s">
        <v>1186</v>
      </c>
      <c r="H437" s="7" t="s">
        <v>1187</v>
      </c>
      <c r="I437" s="9">
        <v>45321</v>
      </c>
    </row>
    <row r="438" spans="1:9" x14ac:dyDescent="0.15">
      <c r="A438" s="6">
        <v>437</v>
      </c>
      <c r="B438" s="7" t="s">
        <v>9</v>
      </c>
      <c r="C438" s="8">
        <v>1886</v>
      </c>
      <c r="D438" s="9">
        <v>45418</v>
      </c>
      <c r="E438" s="13" t="str">
        <f>+HYPERLINK("http://trademark.i-assist.jp/data/china/image_1886th/76692163.pdf","76692163")</f>
        <v>76692163</v>
      </c>
      <c r="F438" s="7" t="s">
        <v>1188</v>
      </c>
      <c r="G438" s="7" t="s">
        <v>1189</v>
      </c>
      <c r="H438" s="7" t="s">
        <v>1190</v>
      </c>
      <c r="I438" s="9">
        <v>45321</v>
      </c>
    </row>
    <row r="439" spans="1:9" x14ac:dyDescent="0.15">
      <c r="A439" s="6">
        <v>438</v>
      </c>
      <c r="B439" s="7" t="s">
        <v>9</v>
      </c>
      <c r="C439" s="8">
        <v>1886</v>
      </c>
      <c r="D439" s="9">
        <v>45418</v>
      </c>
      <c r="E439" s="13" t="str">
        <f>+HYPERLINK("http://trademark.i-assist.jp/data/china/image_1886th/76692863.pdf","76692863")</f>
        <v>76692863</v>
      </c>
      <c r="F439" s="7" t="s">
        <v>1191</v>
      </c>
      <c r="G439" s="7" t="s">
        <v>1192</v>
      </c>
      <c r="H439" s="7" t="s">
        <v>1193</v>
      </c>
      <c r="I439" s="9">
        <v>45321</v>
      </c>
    </row>
    <row r="440" spans="1:9" x14ac:dyDescent="0.15">
      <c r="A440" s="6">
        <v>439</v>
      </c>
      <c r="B440" s="7" t="s">
        <v>9</v>
      </c>
      <c r="C440" s="8">
        <v>1886</v>
      </c>
      <c r="D440" s="9">
        <v>45418</v>
      </c>
      <c r="E440" s="13" t="str">
        <f>+HYPERLINK("http://trademark.i-assist.jp/data/china/image_1886th/76693060.pdf","76693060")</f>
        <v>76693060</v>
      </c>
      <c r="F440" s="7" t="s">
        <v>1194</v>
      </c>
      <c r="G440" s="7" t="s">
        <v>1195</v>
      </c>
      <c r="H440" s="7" t="s">
        <v>1196</v>
      </c>
      <c r="I440" s="9">
        <v>45321</v>
      </c>
    </row>
    <row r="441" spans="1:9" x14ac:dyDescent="0.15">
      <c r="A441" s="6">
        <v>440</v>
      </c>
      <c r="B441" s="7" t="s">
        <v>9</v>
      </c>
      <c r="C441" s="8">
        <v>1886</v>
      </c>
      <c r="D441" s="9">
        <v>45418</v>
      </c>
      <c r="E441" s="13" t="str">
        <f>+HYPERLINK("http://trademark.i-assist.jp/data/china/image_1886th/76693364.pdf","76693364")</f>
        <v>76693364</v>
      </c>
      <c r="F441" s="7" t="s">
        <v>1197</v>
      </c>
      <c r="G441" s="7" t="s">
        <v>1198</v>
      </c>
      <c r="H441" s="7" t="s">
        <v>1199</v>
      </c>
      <c r="I441" s="9">
        <v>45321</v>
      </c>
    </row>
    <row r="442" spans="1:9" x14ac:dyDescent="0.15">
      <c r="A442" s="6">
        <v>441</v>
      </c>
      <c r="B442" s="7" t="s">
        <v>9</v>
      </c>
      <c r="C442" s="8">
        <v>1886</v>
      </c>
      <c r="D442" s="9">
        <v>45418</v>
      </c>
      <c r="E442" s="13" t="str">
        <f>+HYPERLINK("http://trademark.i-assist.jp/data/china/image_1886th/76693365.pdf","76693365")</f>
        <v>76693365</v>
      </c>
      <c r="F442" s="7" t="s">
        <v>1200</v>
      </c>
      <c r="G442" s="7" t="s">
        <v>1201</v>
      </c>
      <c r="H442" s="7" t="s">
        <v>1202</v>
      </c>
      <c r="I442" s="9">
        <v>45321</v>
      </c>
    </row>
    <row r="443" spans="1:9" x14ac:dyDescent="0.15">
      <c r="A443" s="6">
        <v>442</v>
      </c>
      <c r="B443" s="7" t="s">
        <v>9</v>
      </c>
      <c r="C443" s="8">
        <v>1886</v>
      </c>
      <c r="D443" s="9">
        <v>45418</v>
      </c>
      <c r="E443" s="13" t="str">
        <f>+HYPERLINK("http://trademark.i-assist.jp/data/china/image_1886th/76693480.pdf","76693480")</f>
        <v>76693480</v>
      </c>
      <c r="F443" s="7" t="s">
        <v>1203</v>
      </c>
      <c r="G443" s="7" t="s">
        <v>1204</v>
      </c>
      <c r="H443" s="7" t="s">
        <v>1205</v>
      </c>
      <c r="I443" s="9">
        <v>45321</v>
      </c>
    </row>
    <row r="444" spans="1:9" x14ac:dyDescent="0.15">
      <c r="A444" s="6">
        <v>443</v>
      </c>
      <c r="B444" s="7" t="s">
        <v>9</v>
      </c>
      <c r="C444" s="8">
        <v>1886</v>
      </c>
      <c r="D444" s="9">
        <v>45418</v>
      </c>
      <c r="E444" s="13" t="str">
        <f>+HYPERLINK("http://trademark.i-assist.jp/data/china/image_1886th/76693679.pdf","76693679")</f>
        <v>76693679</v>
      </c>
      <c r="F444" s="7" t="s">
        <v>1206</v>
      </c>
      <c r="G444" s="7" t="s">
        <v>1207</v>
      </c>
      <c r="H444" s="7" t="s">
        <v>1208</v>
      </c>
      <c r="I444" s="9">
        <v>45321</v>
      </c>
    </row>
    <row r="445" spans="1:9" x14ac:dyDescent="0.15">
      <c r="A445" s="6">
        <v>444</v>
      </c>
      <c r="B445" s="7" t="s">
        <v>9</v>
      </c>
      <c r="C445" s="8">
        <v>1886</v>
      </c>
      <c r="D445" s="9">
        <v>45418</v>
      </c>
      <c r="E445" s="13" t="str">
        <f>+HYPERLINK("http://trademark.i-assist.jp/data/china/image_1886th/76693742.pdf","76693742")</f>
        <v>76693742</v>
      </c>
      <c r="F445" s="7" t="s">
        <v>1209</v>
      </c>
      <c r="G445" s="7" t="s">
        <v>1210</v>
      </c>
      <c r="H445" s="7" t="s">
        <v>1211</v>
      </c>
      <c r="I445" s="9">
        <v>45321</v>
      </c>
    </row>
    <row r="446" spans="1:9" x14ac:dyDescent="0.15">
      <c r="A446" s="6">
        <v>445</v>
      </c>
      <c r="B446" s="7" t="s">
        <v>9</v>
      </c>
      <c r="C446" s="8">
        <v>1886</v>
      </c>
      <c r="D446" s="9">
        <v>45418</v>
      </c>
      <c r="E446" s="13" t="str">
        <f>+HYPERLINK("http://trademark.i-assist.jp/data/china/image_1886th/76693863.pdf","76693863")</f>
        <v>76693863</v>
      </c>
      <c r="F446" s="7" t="s">
        <v>1212</v>
      </c>
      <c r="G446" s="7" t="s">
        <v>1213</v>
      </c>
      <c r="H446" s="7" t="s">
        <v>1214</v>
      </c>
      <c r="I446" s="9">
        <v>45321</v>
      </c>
    </row>
    <row r="447" spans="1:9" x14ac:dyDescent="0.15">
      <c r="A447" s="6">
        <v>446</v>
      </c>
      <c r="B447" s="7" t="s">
        <v>9</v>
      </c>
      <c r="C447" s="8">
        <v>1886</v>
      </c>
      <c r="D447" s="9">
        <v>45418</v>
      </c>
      <c r="E447" s="13" t="str">
        <f>+HYPERLINK("http://trademark.i-assist.jp/data/china/image_1886th/76693953.pdf","76693953")</f>
        <v>76693953</v>
      </c>
      <c r="F447" s="7" t="s">
        <v>1215</v>
      </c>
      <c r="G447" s="7" t="s">
        <v>1216</v>
      </c>
      <c r="H447" s="7" t="s">
        <v>1217</v>
      </c>
      <c r="I447" s="9">
        <v>45321</v>
      </c>
    </row>
    <row r="448" spans="1:9" x14ac:dyDescent="0.15">
      <c r="A448" s="6">
        <v>447</v>
      </c>
      <c r="B448" s="7" t="s">
        <v>9</v>
      </c>
      <c r="C448" s="8">
        <v>1886</v>
      </c>
      <c r="D448" s="9">
        <v>45418</v>
      </c>
      <c r="E448" s="13" t="str">
        <f>+HYPERLINK("http://trademark.i-assist.jp/data/china/image_1886th/76694255.pdf","76694255")</f>
        <v>76694255</v>
      </c>
      <c r="F448" s="7" t="s">
        <v>1218</v>
      </c>
      <c r="G448" s="7" t="s">
        <v>1219</v>
      </c>
      <c r="H448" s="7" t="s">
        <v>1220</v>
      </c>
      <c r="I448" s="9">
        <v>45321</v>
      </c>
    </row>
    <row r="449" spans="1:9" ht="27" x14ac:dyDescent="0.15">
      <c r="A449" s="6">
        <v>448</v>
      </c>
      <c r="B449" s="7" t="s">
        <v>9</v>
      </c>
      <c r="C449" s="8">
        <v>1886</v>
      </c>
      <c r="D449" s="9">
        <v>45418</v>
      </c>
      <c r="E449" s="13" t="str">
        <f>+HYPERLINK("http://trademark.i-assist.jp/data/china/image_1886th/76694307.pdf","76694307")</f>
        <v>76694307</v>
      </c>
      <c r="F449" s="7" t="s">
        <v>1221</v>
      </c>
      <c r="G449" s="7" t="s">
        <v>1222</v>
      </c>
      <c r="H449" s="7" t="s">
        <v>1223</v>
      </c>
      <c r="I449" s="9">
        <v>45321</v>
      </c>
    </row>
    <row r="450" spans="1:9" x14ac:dyDescent="0.15">
      <c r="A450" s="6">
        <v>449</v>
      </c>
      <c r="B450" s="7" t="s">
        <v>9</v>
      </c>
      <c r="C450" s="8">
        <v>1886</v>
      </c>
      <c r="D450" s="9">
        <v>45418</v>
      </c>
      <c r="E450" s="13" t="str">
        <f>+HYPERLINK("http://trademark.i-assist.jp/data/china/image_1886th/76694886.pdf","76694886")</f>
        <v>76694886</v>
      </c>
      <c r="F450" s="7" t="s">
        <v>1224</v>
      </c>
      <c r="G450" s="7" t="s">
        <v>1225</v>
      </c>
      <c r="H450" s="7" t="s">
        <v>1226</v>
      </c>
      <c r="I450" s="9">
        <v>45321</v>
      </c>
    </row>
    <row r="451" spans="1:9" x14ac:dyDescent="0.15">
      <c r="A451" s="6">
        <v>450</v>
      </c>
      <c r="B451" s="7" t="s">
        <v>9</v>
      </c>
      <c r="C451" s="8">
        <v>1886</v>
      </c>
      <c r="D451" s="9">
        <v>45418</v>
      </c>
      <c r="E451" s="13" t="str">
        <f>+HYPERLINK("http://trademark.i-assist.jp/data/china/image_1886th/76696258.pdf","76696258")</f>
        <v>76696258</v>
      </c>
      <c r="F451" s="7" t="s">
        <v>1227</v>
      </c>
      <c r="G451" s="7" t="s">
        <v>1228</v>
      </c>
      <c r="H451" s="7" t="s">
        <v>1229</v>
      </c>
      <c r="I451" s="9">
        <v>45321</v>
      </c>
    </row>
    <row r="452" spans="1:9" x14ac:dyDescent="0.15">
      <c r="A452" s="6">
        <v>451</v>
      </c>
      <c r="B452" s="7" t="s">
        <v>9</v>
      </c>
      <c r="C452" s="8">
        <v>1886</v>
      </c>
      <c r="D452" s="9">
        <v>45418</v>
      </c>
      <c r="E452" s="13" t="str">
        <f>+HYPERLINK("http://trademark.i-assist.jp/data/china/image_1886th/76696470.pdf","76696470")</f>
        <v>76696470</v>
      </c>
      <c r="F452" s="7" t="s">
        <v>1230</v>
      </c>
      <c r="G452" s="7" t="s">
        <v>1231</v>
      </c>
      <c r="H452" s="7" t="s">
        <v>1232</v>
      </c>
      <c r="I452" s="9">
        <v>45321</v>
      </c>
    </row>
    <row r="453" spans="1:9" x14ac:dyDescent="0.15">
      <c r="A453" s="6">
        <v>452</v>
      </c>
      <c r="B453" s="7" t="s">
        <v>9</v>
      </c>
      <c r="C453" s="8">
        <v>1886</v>
      </c>
      <c r="D453" s="9">
        <v>45418</v>
      </c>
      <c r="E453" s="13" t="str">
        <f>+HYPERLINK("http://trademark.i-assist.jp/data/china/image_1886th/76696782.pdf","76696782")</f>
        <v>76696782</v>
      </c>
      <c r="F453" s="7" t="s">
        <v>1233</v>
      </c>
      <c r="G453" s="7" t="s">
        <v>1225</v>
      </c>
      <c r="H453" s="7" t="s">
        <v>1234</v>
      </c>
      <c r="I453" s="9">
        <v>45321</v>
      </c>
    </row>
    <row r="454" spans="1:9" x14ac:dyDescent="0.15">
      <c r="A454" s="6">
        <v>453</v>
      </c>
      <c r="B454" s="7" t="s">
        <v>9</v>
      </c>
      <c r="C454" s="8">
        <v>1886</v>
      </c>
      <c r="D454" s="9">
        <v>45418</v>
      </c>
      <c r="E454" s="13" t="str">
        <f>+HYPERLINK("http://trademark.i-assist.jp/data/china/image_1886th/76697350.pdf","76697350")</f>
        <v>76697350</v>
      </c>
      <c r="F454" s="7" t="s">
        <v>1235</v>
      </c>
      <c r="G454" s="7" t="s">
        <v>1236</v>
      </c>
      <c r="H454" s="7" t="s">
        <v>1237</v>
      </c>
      <c r="I454" s="9">
        <v>45321</v>
      </c>
    </row>
    <row r="455" spans="1:9" x14ac:dyDescent="0.15">
      <c r="A455" s="6">
        <v>454</v>
      </c>
      <c r="B455" s="7" t="s">
        <v>9</v>
      </c>
      <c r="C455" s="8">
        <v>1886</v>
      </c>
      <c r="D455" s="9">
        <v>45418</v>
      </c>
      <c r="E455" s="13" t="str">
        <f>+HYPERLINK("http://trademark.i-assist.jp/data/china/image_1886th/76697368.pdf","76697368")</f>
        <v>76697368</v>
      </c>
      <c r="F455" s="7" t="s">
        <v>1238</v>
      </c>
      <c r="G455" s="7" t="s">
        <v>1239</v>
      </c>
      <c r="H455" s="7" t="s">
        <v>1240</v>
      </c>
      <c r="I455" s="9">
        <v>45321</v>
      </c>
    </row>
    <row r="456" spans="1:9" ht="27" x14ac:dyDescent="0.15">
      <c r="A456" s="6">
        <v>455</v>
      </c>
      <c r="B456" s="7" t="s">
        <v>9</v>
      </c>
      <c r="C456" s="8">
        <v>1886</v>
      </c>
      <c r="D456" s="9">
        <v>45418</v>
      </c>
      <c r="E456" s="13" t="str">
        <f>+HYPERLINK("http://trademark.i-assist.jp/data/china/image_1886th/76697480.pdf","76697480")</f>
        <v>76697480</v>
      </c>
      <c r="F456" s="7" t="s">
        <v>1241</v>
      </c>
      <c r="G456" s="7" t="s">
        <v>1242</v>
      </c>
      <c r="H456" s="7" t="s">
        <v>1243</v>
      </c>
      <c r="I456" s="9">
        <v>45321</v>
      </c>
    </row>
    <row r="457" spans="1:9" x14ac:dyDescent="0.15">
      <c r="A457" s="6">
        <v>456</v>
      </c>
      <c r="B457" s="7" t="s">
        <v>9</v>
      </c>
      <c r="C457" s="8">
        <v>1886</v>
      </c>
      <c r="D457" s="9">
        <v>45418</v>
      </c>
      <c r="E457" s="13" t="str">
        <f>+HYPERLINK("http://trademark.i-assist.jp/data/china/image_1886th/76697807.pdf","76697807")</f>
        <v>76697807</v>
      </c>
      <c r="F457" s="7" t="s">
        <v>1244</v>
      </c>
      <c r="G457" s="7" t="s">
        <v>1245</v>
      </c>
      <c r="H457" s="7" t="s">
        <v>1246</v>
      </c>
      <c r="I457" s="9">
        <v>45321</v>
      </c>
    </row>
    <row r="458" spans="1:9" x14ac:dyDescent="0.15">
      <c r="A458" s="6">
        <v>457</v>
      </c>
      <c r="B458" s="7" t="s">
        <v>9</v>
      </c>
      <c r="C458" s="8">
        <v>1886</v>
      </c>
      <c r="D458" s="9">
        <v>45418</v>
      </c>
      <c r="E458" s="13" t="str">
        <f>+HYPERLINK("http://trademark.i-assist.jp/data/china/image_1886th/76698182.pdf","76698182")</f>
        <v>76698182</v>
      </c>
      <c r="F458" s="7" t="s">
        <v>1247</v>
      </c>
      <c r="G458" s="7" t="s">
        <v>1248</v>
      </c>
      <c r="H458" s="7" t="s">
        <v>1249</v>
      </c>
      <c r="I458" s="9">
        <v>45321</v>
      </c>
    </row>
    <row r="459" spans="1:9" x14ac:dyDescent="0.15">
      <c r="A459" s="6">
        <v>458</v>
      </c>
      <c r="B459" s="7" t="s">
        <v>9</v>
      </c>
      <c r="C459" s="8">
        <v>1886</v>
      </c>
      <c r="D459" s="9">
        <v>45418</v>
      </c>
      <c r="E459" s="13" t="str">
        <f>+HYPERLINK("http://trademark.i-assist.jp/data/china/image_1886th/76698618.pdf","76698618")</f>
        <v>76698618</v>
      </c>
      <c r="F459" s="7" t="s">
        <v>1250</v>
      </c>
      <c r="G459" s="7" t="s">
        <v>1251</v>
      </c>
      <c r="H459" s="7" t="s">
        <v>1252</v>
      </c>
      <c r="I459" s="9">
        <v>45322</v>
      </c>
    </row>
    <row r="460" spans="1:9" x14ac:dyDescent="0.15">
      <c r="A460" s="6">
        <v>459</v>
      </c>
      <c r="B460" s="7" t="s">
        <v>9</v>
      </c>
      <c r="C460" s="8">
        <v>1886</v>
      </c>
      <c r="D460" s="9">
        <v>45418</v>
      </c>
      <c r="E460" s="13" t="str">
        <f>+HYPERLINK("http://trademark.i-assist.jp/data/china/image_1886th/76698692.pdf","76698692")</f>
        <v>76698692</v>
      </c>
      <c r="F460" s="7" t="s">
        <v>1253</v>
      </c>
      <c r="G460" s="7" t="s">
        <v>1254</v>
      </c>
      <c r="H460" s="7" t="s">
        <v>1255</v>
      </c>
      <c r="I460" s="9">
        <v>45322</v>
      </c>
    </row>
    <row r="461" spans="1:9" x14ac:dyDescent="0.15">
      <c r="A461" s="6">
        <v>460</v>
      </c>
      <c r="B461" s="7" t="s">
        <v>9</v>
      </c>
      <c r="C461" s="8">
        <v>1886</v>
      </c>
      <c r="D461" s="9">
        <v>45418</v>
      </c>
      <c r="E461" s="13" t="str">
        <f>+HYPERLINK("http://trademark.i-assist.jp/data/china/image_1886th/76699259.pdf","76699259")</f>
        <v>76699259</v>
      </c>
      <c r="F461" s="7" t="s">
        <v>1256</v>
      </c>
      <c r="G461" s="7" t="s">
        <v>1257</v>
      </c>
      <c r="H461" s="7" t="s">
        <v>1258</v>
      </c>
      <c r="I461" s="9">
        <v>45322</v>
      </c>
    </row>
    <row r="462" spans="1:9" x14ac:dyDescent="0.15">
      <c r="A462" s="6">
        <v>461</v>
      </c>
      <c r="B462" s="7" t="s">
        <v>9</v>
      </c>
      <c r="C462" s="8">
        <v>1886</v>
      </c>
      <c r="D462" s="9">
        <v>45418</v>
      </c>
      <c r="E462" s="13" t="str">
        <f>+HYPERLINK("http://trademark.i-assist.jp/data/china/image_1886th/76699417.pdf","76699417")</f>
        <v>76699417</v>
      </c>
      <c r="F462" s="7" t="s">
        <v>1259</v>
      </c>
      <c r="G462" s="7" t="s">
        <v>1260</v>
      </c>
      <c r="H462" s="7" t="s">
        <v>1261</v>
      </c>
      <c r="I462" s="9">
        <v>45322</v>
      </c>
    </row>
    <row r="463" spans="1:9" ht="27" x14ac:dyDescent="0.15">
      <c r="A463" s="6">
        <v>462</v>
      </c>
      <c r="B463" s="7" t="s">
        <v>9</v>
      </c>
      <c r="C463" s="8">
        <v>1886</v>
      </c>
      <c r="D463" s="9">
        <v>45418</v>
      </c>
      <c r="E463" s="13" t="str">
        <f>+HYPERLINK("http://trademark.i-assist.jp/data/china/image_1886th/76700025.pdf","76700025")</f>
        <v>76700025</v>
      </c>
      <c r="F463" s="7" t="s">
        <v>1262</v>
      </c>
      <c r="G463" s="7" t="s">
        <v>1263</v>
      </c>
      <c r="H463" s="7" t="s">
        <v>1264</v>
      </c>
      <c r="I463" s="9">
        <v>45322</v>
      </c>
    </row>
    <row r="464" spans="1:9" x14ac:dyDescent="0.15">
      <c r="A464" s="6">
        <v>463</v>
      </c>
      <c r="B464" s="7" t="s">
        <v>9</v>
      </c>
      <c r="C464" s="8">
        <v>1886</v>
      </c>
      <c r="D464" s="9">
        <v>45418</v>
      </c>
      <c r="E464" s="13" t="str">
        <f>+HYPERLINK("http://trademark.i-assist.jp/data/china/image_1886th/76700422.pdf","76700422")</f>
        <v>76700422</v>
      </c>
      <c r="F464" s="7" t="s">
        <v>1265</v>
      </c>
      <c r="G464" s="7" t="s">
        <v>1266</v>
      </c>
      <c r="H464" s="7" t="s">
        <v>1267</v>
      </c>
      <c r="I464" s="9">
        <v>45322</v>
      </c>
    </row>
    <row r="465" spans="1:9" x14ac:dyDescent="0.15">
      <c r="A465" s="6">
        <v>464</v>
      </c>
      <c r="B465" s="7" t="s">
        <v>9</v>
      </c>
      <c r="C465" s="8">
        <v>1886</v>
      </c>
      <c r="D465" s="9">
        <v>45418</v>
      </c>
      <c r="E465" s="13" t="str">
        <f>+HYPERLINK("http://trademark.i-assist.jp/data/china/image_1886th/76700646.pdf","76700646")</f>
        <v>76700646</v>
      </c>
      <c r="F465" s="7" t="s">
        <v>1268</v>
      </c>
      <c r="G465" s="7" t="s">
        <v>1269</v>
      </c>
      <c r="H465" s="7" t="s">
        <v>740</v>
      </c>
      <c r="I465" s="9">
        <v>45322</v>
      </c>
    </row>
    <row r="466" spans="1:9" ht="40.5" x14ac:dyDescent="0.15">
      <c r="A466" s="6">
        <v>465</v>
      </c>
      <c r="B466" s="7" t="s">
        <v>9</v>
      </c>
      <c r="C466" s="8">
        <v>1886</v>
      </c>
      <c r="D466" s="9">
        <v>45418</v>
      </c>
      <c r="E466" s="13" t="str">
        <f>+HYPERLINK("http://trademark.i-assist.jp/data/china/image_1886th/76701470.pdf","76701470")</f>
        <v>76701470</v>
      </c>
      <c r="F466" s="7" t="s">
        <v>1270</v>
      </c>
      <c r="G466" s="7" t="s">
        <v>1271</v>
      </c>
      <c r="H466" s="7" t="s">
        <v>1272</v>
      </c>
      <c r="I466" s="9">
        <v>45322</v>
      </c>
    </row>
    <row r="467" spans="1:9" x14ac:dyDescent="0.15">
      <c r="A467" s="6">
        <v>466</v>
      </c>
      <c r="B467" s="7" t="s">
        <v>9</v>
      </c>
      <c r="C467" s="8">
        <v>1886</v>
      </c>
      <c r="D467" s="9">
        <v>45418</v>
      </c>
      <c r="E467" s="13" t="str">
        <f>+HYPERLINK("http://trademark.i-assist.jp/data/china/image_1886th/76702194.pdf","76702194")</f>
        <v>76702194</v>
      </c>
      <c r="F467" s="7" t="s">
        <v>33</v>
      </c>
      <c r="G467" s="7" t="s">
        <v>1273</v>
      </c>
      <c r="H467" s="7" t="s">
        <v>1274</v>
      </c>
      <c r="I467" s="9">
        <v>45322</v>
      </c>
    </row>
    <row r="468" spans="1:9" ht="27" x14ac:dyDescent="0.15">
      <c r="A468" s="6">
        <v>467</v>
      </c>
      <c r="B468" s="7" t="s">
        <v>9</v>
      </c>
      <c r="C468" s="8">
        <v>1886</v>
      </c>
      <c r="D468" s="9">
        <v>45418</v>
      </c>
      <c r="E468" s="13" t="str">
        <f>+HYPERLINK("http://trademark.i-assist.jp/data/china/image_1886th/76702646.pdf","76702646")</f>
        <v>76702646</v>
      </c>
      <c r="F468" s="7" t="s">
        <v>1275</v>
      </c>
      <c r="G468" s="7" t="s">
        <v>1276</v>
      </c>
      <c r="H468" s="7" t="s">
        <v>1277</v>
      </c>
      <c r="I468" s="9">
        <v>45322</v>
      </c>
    </row>
    <row r="469" spans="1:9" ht="27" x14ac:dyDescent="0.15">
      <c r="A469" s="6">
        <v>468</v>
      </c>
      <c r="B469" s="7" t="s">
        <v>9</v>
      </c>
      <c r="C469" s="8">
        <v>1886</v>
      </c>
      <c r="D469" s="9">
        <v>45418</v>
      </c>
      <c r="E469" s="13" t="str">
        <f>+HYPERLINK("http://trademark.i-assist.jp/data/china/image_1886th/76703280.pdf","76703280")</f>
        <v>76703280</v>
      </c>
      <c r="F469" s="7" t="s">
        <v>1278</v>
      </c>
      <c r="G469" s="7" t="s">
        <v>1222</v>
      </c>
      <c r="H469" s="7" t="s">
        <v>1279</v>
      </c>
      <c r="I469" s="9">
        <v>45322</v>
      </c>
    </row>
    <row r="470" spans="1:9" x14ac:dyDescent="0.15">
      <c r="A470" s="6">
        <v>469</v>
      </c>
      <c r="B470" s="7" t="s">
        <v>9</v>
      </c>
      <c r="C470" s="8">
        <v>1886</v>
      </c>
      <c r="D470" s="9">
        <v>45418</v>
      </c>
      <c r="E470" s="13" t="str">
        <f>+HYPERLINK("http://trademark.i-assist.jp/data/china/image_1886th/76703884.pdf","76703884")</f>
        <v>76703884</v>
      </c>
      <c r="F470" s="7" t="s">
        <v>1280</v>
      </c>
      <c r="G470" s="7" t="s">
        <v>1281</v>
      </c>
      <c r="H470" s="7" t="s">
        <v>1282</v>
      </c>
      <c r="I470" s="9">
        <v>45322</v>
      </c>
    </row>
    <row r="471" spans="1:9" x14ac:dyDescent="0.15">
      <c r="A471" s="6">
        <v>470</v>
      </c>
      <c r="B471" s="7" t="s">
        <v>9</v>
      </c>
      <c r="C471" s="8">
        <v>1886</v>
      </c>
      <c r="D471" s="9">
        <v>45418</v>
      </c>
      <c r="E471" s="13" t="str">
        <f>+HYPERLINK("http://trademark.i-assist.jp/data/china/image_1886th/76704188.pdf","76704188")</f>
        <v>76704188</v>
      </c>
      <c r="F471" s="7" t="s">
        <v>1283</v>
      </c>
      <c r="G471" s="7" t="s">
        <v>1284</v>
      </c>
      <c r="H471" s="7" t="s">
        <v>1285</v>
      </c>
      <c r="I471" s="9">
        <v>45322</v>
      </c>
    </row>
    <row r="472" spans="1:9" x14ac:dyDescent="0.15">
      <c r="A472" s="6">
        <v>471</v>
      </c>
      <c r="B472" s="7" t="s">
        <v>9</v>
      </c>
      <c r="C472" s="8">
        <v>1886</v>
      </c>
      <c r="D472" s="9">
        <v>45418</v>
      </c>
      <c r="E472" s="13" t="str">
        <f>+HYPERLINK("http://trademark.i-assist.jp/data/china/image_1886th/76704999.pdf","76704999")</f>
        <v>76704999</v>
      </c>
      <c r="F472" s="7" t="s">
        <v>33</v>
      </c>
      <c r="G472" s="7" t="s">
        <v>1286</v>
      </c>
      <c r="H472" s="7" t="s">
        <v>1287</v>
      </c>
      <c r="I472" s="9">
        <v>45322</v>
      </c>
    </row>
    <row r="473" spans="1:9" x14ac:dyDescent="0.15">
      <c r="A473" s="6">
        <v>472</v>
      </c>
      <c r="B473" s="7" t="s">
        <v>9</v>
      </c>
      <c r="C473" s="8">
        <v>1886</v>
      </c>
      <c r="D473" s="9">
        <v>45418</v>
      </c>
      <c r="E473" s="13" t="str">
        <f>+HYPERLINK("http://trademark.i-assist.jp/data/china/image_1886th/76705286.pdf","76705286")</f>
        <v>76705286</v>
      </c>
      <c r="F473" s="7" t="s">
        <v>1288</v>
      </c>
      <c r="G473" s="7" t="s">
        <v>1289</v>
      </c>
      <c r="H473" s="7" t="s">
        <v>1290</v>
      </c>
      <c r="I473" s="9">
        <v>45322</v>
      </c>
    </row>
    <row r="474" spans="1:9" x14ac:dyDescent="0.15">
      <c r="A474" s="6">
        <v>473</v>
      </c>
      <c r="B474" s="7" t="s">
        <v>9</v>
      </c>
      <c r="C474" s="8">
        <v>1886</v>
      </c>
      <c r="D474" s="9">
        <v>45418</v>
      </c>
      <c r="E474" s="13" t="str">
        <f>+HYPERLINK("http://trademark.i-assist.jp/data/china/image_1886th/76705436.pdf","76705436")</f>
        <v>76705436</v>
      </c>
      <c r="F474" s="7" t="s">
        <v>1291</v>
      </c>
      <c r="G474" s="7" t="s">
        <v>1292</v>
      </c>
      <c r="H474" s="7" t="s">
        <v>740</v>
      </c>
      <c r="I474" s="9">
        <v>45322</v>
      </c>
    </row>
    <row r="475" spans="1:9" ht="27" x14ac:dyDescent="0.15">
      <c r="A475" s="6">
        <v>474</v>
      </c>
      <c r="B475" s="7" t="s">
        <v>9</v>
      </c>
      <c r="C475" s="8">
        <v>1886</v>
      </c>
      <c r="D475" s="9">
        <v>45418</v>
      </c>
      <c r="E475" s="13" t="str">
        <f>+HYPERLINK("http://trademark.i-assist.jp/data/china/image_1886th/76707626.pdf","76707626")</f>
        <v>76707626</v>
      </c>
      <c r="F475" s="7" t="s">
        <v>1293</v>
      </c>
      <c r="G475" s="7" t="s">
        <v>1294</v>
      </c>
      <c r="H475" s="7" t="s">
        <v>1295</v>
      </c>
      <c r="I475" s="9">
        <v>45322</v>
      </c>
    </row>
    <row r="476" spans="1:9" x14ac:dyDescent="0.15">
      <c r="A476" s="6">
        <v>475</v>
      </c>
      <c r="B476" s="7" t="s">
        <v>9</v>
      </c>
      <c r="C476" s="8">
        <v>1886</v>
      </c>
      <c r="D476" s="9">
        <v>45418</v>
      </c>
      <c r="E476" s="13" t="str">
        <f>+HYPERLINK("http://trademark.i-assist.jp/data/china/image_1886th/76709216.pdf","76709216")</f>
        <v>76709216</v>
      </c>
      <c r="F476" s="7" t="s">
        <v>1296</v>
      </c>
      <c r="G476" s="7" t="s">
        <v>1297</v>
      </c>
      <c r="H476" s="7" t="s">
        <v>1298</v>
      </c>
      <c r="I476" s="9">
        <v>45322</v>
      </c>
    </row>
    <row r="477" spans="1:9" x14ac:dyDescent="0.15">
      <c r="A477" s="6">
        <v>476</v>
      </c>
      <c r="B477" s="7" t="s">
        <v>9</v>
      </c>
      <c r="C477" s="8">
        <v>1886</v>
      </c>
      <c r="D477" s="9">
        <v>45418</v>
      </c>
      <c r="E477" s="13" t="str">
        <f>+HYPERLINK("http://trademark.i-assist.jp/data/china/image_1886th/76709390.pdf","76709390")</f>
        <v>76709390</v>
      </c>
      <c r="F477" s="7" t="s">
        <v>1299</v>
      </c>
      <c r="G477" s="7" t="s">
        <v>1300</v>
      </c>
      <c r="H477" s="7" t="s">
        <v>1301</v>
      </c>
      <c r="I477" s="9">
        <v>45322</v>
      </c>
    </row>
    <row r="478" spans="1:9" ht="27" x14ac:dyDescent="0.15">
      <c r="A478" s="6">
        <v>477</v>
      </c>
      <c r="B478" s="7" t="s">
        <v>9</v>
      </c>
      <c r="C478" s="8">
        <v>1886</v>
      </c>
      <c r="D478" s="9">
        <v>45418</v>
      </c>
      <c r="E478" s="13" t="str">
        <f>+HYPERLINK("http://trademark.i-assist.jp/data/china/image_1886th/76709435.pdf","76709435")</f>
        <v>76709435</v>
      </c>
      <c r="F478" s="7" t="s">
        <v>1302</v>
      </c>
      <c r="G478" s="7" t="s">
        <v>1303</v>
      </c>
      <c r="H478" s="7" t="s">
        <v>1304</v>
      </c>
      <c r="I478" s="9">
        <v>45322</v>
      </c>
    </row>
    <row r="479" spans="1:9" x14ac:dyDescent="0.15">
      <c r="A479" s="6">
        <v>478</v>
      </c>
      <c r="B479" s="7" t="s">
        <v>9</v>
      </c>
      <c r="C479" s="8">
        <v>1886</v>
      </c>
      <c r="D479" s="9">
        <v>45418</v>
      </c>
      <c r="E479" s="13" t="str">
        <f>+HYPERLINK("http://trademark.i-assist.jp/data/china/image_1886th/76709785.pdf","76709785")</f>
        <v>76709785</v>
      </c>
      <c r="F479" s="7" t="s">
        <v>1305</v>
      </c>
      <c r="G479" s="7" t="s">
        <v>1306</v>
      </c>
      <c r="H479" s="7" t="s">
        <v>1307</v>
      </c>
      <c r="I479" s="9">
        <v>45322</v>
      </c>
    </row>
    <row r="480" spans="1:9" ht="27" x14ac:dyDescent="0.15">
      <c r="A480" s="6">
        <v>479</v>
      </c>
      <c r="B480" s="7" t="s">
        <v>9</v>
      </c>
      <c r="C480" s="8">
        <v>1886</v>
      </c>
      <c r="D480" s="9">
        <v>45418</v>
      </c>
      <c r="E480" s="13" t="str">
        <f>+HYPERLINK("http://trademark.i-assist.jp/data/china/image_1886th/76710322.pdf","76710322")</f>
        <v>76710322</v>
      </c>
      <c r="F480" s="7" t="s">
        <v>1308</v>
      </c>
      <c r="G480" s="7" t="s">
        <v>1309</v>
      </c>
      <c r="H480" s="7" t="s">
        <v>1310</v>
      </c>
      <c r="I480" s="9">
        <v>45322</v>
      </c>
    </row>
    <row r="481" spans="1:9" x14ac:dyDescent="0.15">
      <c r="A481" s="6">
        <v>480</v>
      </c>
      <c r="B481" s="7" t="s">
        <v>9</v>
      </c>
      <c r="C481" s="8">
        <v>1886</v>
      </c>
      <c r="D481" s="9">
        <v>45418</v>
      </c>
      <c r="E481" s="13" t="str">
        <f>+HYPERLINK("http://trademark.i-assist.jp/data/china/image_1886th/76710553.pdf","76710553")</f>
        <v>76710553</v>
      </c>
      <c r="F481" s="7" t="s">
        <v>1311</v>
      </c>
      <c r="G481" s="7" t="s">
        <v>1312</v>
      </c>
      <c r="H481" s="7" t="s">
        <v>1313</v>
      </c>
      <c r="I481" s="9">
        <v>45322</v>
      </c>
    </row>
    <row r="482" spans="1:9" x14ac:dyDescent="0.15">
      <c r="A482" s="6">
        <v>481</v>
      </c>
      <c r="B482" s="7" t="s">
        <v>9</v>
      </c>
      <c r="C482" s="8">
        <v>1886</v>
      </c>
      <c r="D482" s="9">
        <v>45418</v>
      </c>
      <c r="E482" s="13" t="str">
        <f>+HYPERLINK("http://trademark.i-assist.jp/data/china/image_1886th/76710731.pdf","76710731")</f>
        <v>76710731</v>
      </c>
      <c r="F482" s="7" t="s">
        <v>1314</v>
      </c>
      <c r="G482" s="7" t="s">
        <v>1315</v>
      </c>
      <c r="H482" s="7" t="s">
        <v>1316</v>
      </c>
      <c r="I482" s="9">
        <v>45322</v>
      </c>
    </row>
    <row r="483" spans="1:9" x14ac:dyDescent="0.15">
      <c r="A483" s="6">
        <v>482</v>
      </c>
      <c r="B483" s="7" t="s">
        <v>9</v>
      </c>
      <c r="C483" s="8">
        <v>1886</v>
      </c>
      <c r="D483" s="9">
        <v>45418</v>
      </c>
      <c r="E483" s="13" t="str">
        <f>+HYPERLINK("http://trademark.i-assist.jp/data/china/image_1886th/76710965.pdf","76710965")</f>
        <v>76710965</v>
      </c>
      <c r="F483" s="7" t="s">
        <v>1317</v>
      </c>
      <c r="G483" s="7" t="s">
        <v>1318</v>
      </c>
      <c r="H483" s="7" t="s">
        <v>1319</v>
      </c>
      <c r="I483" s="9">
        <v>45322</v>
      </c>
    </row>
    <row r="484" spans="1:9" x14ac:dyDescent="0.15">
      <c r="A484" s="6">
        <v>483</v>
      </c>
      <c r="B484" s="7" t="s">
        <v>9</v>
      </c>
      <c r="C484" s="8">
        <v>1886</v>
      </c>
      <c r="D484" s="9">
        <v>45418</v>
      </c>
      <c r="E484" s="13" t="str">
        <f>+HYPERLINK("http://trademark.i-assist.jp/data/china/image_1886th/76711233.pdf","76711233")</f>
        <v>76711233</v>
      </c>
      <c r="F484" s="7" t="s">
        <v>1320</v>
      </c>
      <c r="G484" s="7" t="s">
        <v>1321</v>
      </c>
      <c r="H484" s="7" t="s">
        <v>1322</v>
      </c>
      <c r="I484" s="9">
        <v>45322</v>
      </c>
    </row>
    <row r="485" spans="1:9" x14ac:dyDescent="0.15">
      <c r="A485" s="6">
        <v>484</v>
      </c>
      <c r="B485" s="7" t="s">
        <v>9</v>
      </c>
      <c r="C485" s="8">
        <v>1886</v>
      </c>
      <c r="D485" s="9">
        <v>45418</v>
      </c>
      <c r="E485" s="13" t="str">
        <f>+HYPERLINK("http://trademark.i-assist.jp/data/china/image_1886th/76711319.pdf","76711319")</f>
        <v>76711319</v>
      </c>
      <c r="F485" s="7" t="s">
        <v>1323</v>
      </c>
      <c r="G485" s="7" t="s">
        <v>1324</v>
      </c>
      <c r="H485" s="7" t="s">
        <v>1325</v>
      </c>
      <c r="I485" s="9">
        <v>45322</v>
      </c>
    </row>
    <row r="486" spans="1:9" x14ac:dyDescent="0.15">
      <c r="A486" s="6">
        <v>485</v>
      </c>
      <c r="B486" s="7" t="s">
        <v>9</v>
      </c>
      <c r="C486" s="8">
        <v>1886</v>
      </c>
      <c r="D486" s="9">
        <v>45418</v>
      </c>
      <c r="E486" s="13" t="str">
        <f>+HYPERLINK("http://trademark.i-assist.jp/data/china/image_1886th/76711484.pdf","76711484")</f>
        <v>76711484</v>
      </c>
      <c r="F486" s="7" t="s">
        <v>1326</v>
      </c>
      <c r="G486" s="7" t="s">
        <v>1327</v>
      </c>
      <c r="H486" s="7" t="s">
        <v>1328</v>
      </c>
      <c r="I486" s="9">
        <v>45322</v>
      </c>
    </row>
    <row r="487" spans="1:9" x14ac:dyDescent="0.15">
      <c r="A487" s="6">
        <v>486</v>
      </c>
      <c r="B487" s="7" t="s">
        <v>9</v>
      </c>
      <c r="C487" s="8">
        <v>1886</v>
      </c>
      <c r="D487" s="9">
        <v>45418</v>
      </c>
      <c r="E487" s="13" t="str">
        <f>+HYPERLINK("http://trademark.i-assist.jp/data/china/image_1886th/76712158.pdf","76712158")</f>
        <v>76712158</v>
      </c>
      <c r="F487" s="7" t="s">
        <v>1329</v>
      </c>
      <c r="G487" s="7" t="s">
        <v>1330</v>
      </c>
      <c r="H487" s="7" t="s">
        <v>1331</v>
      </c>
      <c r="I487" s="9">
        <v>45322</v>
      </c>
    </row>
    <row r="488" spans="1:9" x14ac:dyDescent="0.15">
      <c r="A488" s="6">
        <v>487</v>
      </c>
      <c r="B488" s="7" t="s">
        <v>9</v>
      </c>
      <c r="C488" s="8">
        <v>1886</v>
      </c>
      <c r="D488" s="9">
        <v>45418</v>
      </c>
      <c r="E488" s="13" t="str">
        <f>+HYPERLINK("http://trademark.i-assist.jp/data/china/image_1886th/76712377.pdf","76712377")</f>
        <v>76712377</v>
      </c>
      <c r="F488" s="7" t="s">
        <v>1332</v>
      </c>
      <c r="G488" s="7" t="s">
        <v>1333</v>
      </c>
      <c r="H488" s="7" t="s">
        <v>1334</v>
      </c>
      <c r="I488" s="9">
        <v>45322</v>
      </c>
    </row>
    <row r="489" spans="1:9" x14ac:dyDescent="0.15">
      <c r="A489" s="6">
        <v>488</v>
      </c>
      <c r="B489" s="7" t="s">
        <v>9</v>
      </c>
      <c r="C489" s="8">
        <v>1886</v>
      </c>
      <c r="D489" s="9">
        <v>45418</v>
      </c>
      <c r="E489" s="13" t="str">
        <f>+HYPERLINK("http://trademark.i-assist.jp/data/china/image_1886th/76712594.pdf","76712594")</f>
        <v>76712594</v>
      </c>
      <c r="F489" s="7" t="s">
        <v>1335</v>
      </c>
      <c r="G489" s="7" t="s">
        <v>1336</v>
      </c>
      <c r="H489" s="7" t="s">
        <v>1337</v>
      </c>
      <c r="I489" s="9">
        <v>45322</v>
      </c>
    </row>
    <row r="490" spans="1:9" ht="27" x14ac:dyDescent="0.15">
      <c r="A490" s="6">
        <v>489</v>
      </c>
      <c r="B490" s="7" t="s">
        <v>9</v>
      </c>
      <c r="C490" s="8">
        <v>1886</v>
      </c>
      <c r="D490" s="9">
        <v>45418</v>
      </c>
      <c r="E490" s="13" t="str">
        <f>+HYPERLINK("http://trademark.i-assist.jp/data/china/image_1886th/76712681.pdf","76712681")</f>
        <v>76712681</v>
      </c>
      <c r="F490" s="7" t="s">
        <v>1338</v>
      </c>
      <c r="G490" s="7" t="s">
        <v>1276</v>
      </c>
      <c r="H490" s="7" t="s">
        <v>1277</v>
      </c>
      <c r="I490" s="9">
        <v>45322</v>
      </c>
    </row>
    <row r="491" spans="1:9" ht="27" x14ac:dyDescent="0.15">
      <c r="A491" s="6">
        <v>490</v>
      </c>
      <c r="B491" s="7" t="s">
        <v>9</v>
      </c>
      <c r="C491" s="8">
        <v>1886</v>
      </c>
      <c r="D491" s="9">
        <v>45418</v>
      </c>
      <c r="E491" s="13" t="str">
        <f>+HYPERLINK("http://trademark.i-assist.jp/data/china/image_1886th/76712721.pdf","76712721")</f>
        <v>76712721</v>
      </c>
      <c r="F491" s="7" t="s">
        <v>1339</v>
      </c>
      <c r="G491" s="7" t="s">
        <v>1276</v>
      </c>
      <c r="H491" s="7" t="s">
        <v>1277</v>
      </c>
      <c r="I491" s="9">
        <v>45322</v>
      </c>
    </row>
    <row r="492" spans="1:9" x14ac:dyDescent="0.15">
      <c r="A492" s="6">
        <v>491</v>
      </c>
      <c r="B492" s="7" t="s">
        <v>9</v>
      </c>
      <c r="C492" s="8">
        <v>1886</v>
      </c>
      <c r="D492" s="9">
        <v>45418</v>
      </c>
      <c r="E492" s="13" t="str">
        <f>+HYPERLINK("http://trademark.i-assist.jp/data/china/image_1886th/76712782.pdf","76712782")</f>
        <v>76712782</v>
      </c>
      <c r="F492" s="7" t="s">
        <v>1340</v>
      </c>
      <c r="G492" s="7" t="s">
        <v>1341</v>
      </c>
      <c r="H492" s="7" t="s">
        <v>1342</v>
      </c>
      <c r="I492" s="9">
        <v>45322</v>
      </c>
    </row>
    <row r="493" spans="1:9" x14ac:dyDescent="0.15">
      <c r="A493" s="6">
        <v>492</v>
      </c>
      <c r="B493" s="7" t="s">
        <v>9</v>
      </c>
      <c r="C493" s="8">
        <v>1886</v>
      </c>
      <c r="D493" s="9">
        <v>45418</v>
      </c>
      <c r="E493" s="13" t="str">
        <f>+HYPERLINK("http://trademark.i-assist.jp/data/china/image_1886th/76712814.pdf","76712814")</f>
        <v>76712814</v>
      </c>
      <c r="F493" s="7" t="s">
        <v>1343</v>
      </c>
      <c r="G493" s="7" t="s">
        <v>1344</v>
      </c>
      <c r="H493" s="7" t="s">
        <v>740</v>
      </c>
      <c r="I493" s="9">
        <v>45322</v>
      </c>
    </row>
    <row r="494" spans="1:9" ht="27" x14ac:dyDescent="0.15">
      <c r="A494" s="6">
        <v>493</v>
      </c>
      <c r="B494" s="7" t="s">
        <v>9</v>
      </c>
      <c r="C494" s="8">
        <v>1886</v>
      </c>
      <c r="D494" s="9">
        <v>45418</v>
      </c>
      <c r="E494" s="13" t="str">
        <f>+HYPERLINK("http://trademark.i-assist.jp/data/china/image_1886th/76712970.pdf","76712970")</f>
        <v>76712970</v>
      </c>
      <c r="F494" s="7" t="s">
        <v>1345</v>
      </c>
      <c r="G494" s="7" t="s">
        <v>1346</v>
      </c>
      <c r="H494" s="7" t="s">
        <v>1347</v>
      </c>
      <c r="I494" s="9">
        <v>45322</v>
      </c>
    </row>
    <row r="495" spans="1:9" x14ac:dyDescent="0.15">
      <c r="A495" s="6">
        <v>494</v>
      </c>
      <c r="B495" s="7" t="s">
        <v>9</v>
      </c>
      <c r="C495" s="8">
        <v>1886</v>
      </c>
      <c r="D495" s="9">
        <v>45418</v>
      </c>
      <c r="E495" s="13" t="str">
        <f>+HYPERLINK("http://trademark.i-assist.jp/data/china/image_1886th/76713026.pdf","76713026")</f>
        <v>76713026</v>
      </c>
      <c r="F495" s="7" t="s">
        <v>1348</v>
      </c>
      <c r="G495" s="7" t="s">
        <v>1349</v>
      </c>
      <c r="H495" s="7" t="s">
        <v>1350</v>
      </c>
      <c r="I495" s="9">
        <v>45322</v>
      </c>
    </row>
    <row r="496" spans="1:9" x14ac:dyDescent="0.15">
      <c r="A496" s="6">
        <v>495</v>
      </c>
      <c r="B496" s="7" t="s">
        <v>9</v>
      </c>
      <c r="C496" s="8">
        <v>1886</v>
      </c>
      <c r="D496" s="9">
        <v>45418</v>
      </c>
      <c r="E496" s="13" t="str">
        <f>+HYPERLINK("http://trademark.i-assist.jp/data/china/image_1886th/76713391.pdf","76713391")</f>
        <v>76713391</v>
      </c>
      <c r="F496" s="7" t="s">
        <v>1351</v>
      </c>
      <c r="G496" s="7" t="s">
        <v>1352</v>
      </c>
      <c r="H496" s="7" t="s">
        <v>1353</v>
      </c>
      <c r="I496" s="9">
        <v>45322</v>
      </c>
    </row>
    <row r="497" spans="1:9" x14ac:dyDescent="0.15">
      <c r="A497" s="6">
        <v>496</v>
      </c>
      <c r="B497" s="7" t="s">
        <v>9</v>
      </c>
      <c r="C497" s="8">
        <v>1886</v>
      </c>
      <c r="D497" s="9">
        <v>45418</v>
      </c>
      <c r="E497" s="13" t="str">
        <f>+HYPERLINK("http://trademark.i-assist.jp/data/china/image_1886th/76713924.pdf","76713924")</f>
        <v>76713924</v>
      </c>
      <c r="F497" s="7" t="s">
        <v>1354</v>
      </c>
      <c r="G497" s="7" t="s">
        <v>1355</v>
      </c>
      <c r="H497" s="7" t="s">
        <v>1356</v>
      </c>
      <c r="I497" s="9">
        <v>45322</v>
      </c>
    </row>
    <row r="498" spans="1:9" x14ac:dyDescent="0.15">
      <c r="A498" s="6">
        <v>497</v>
      </c>
      <c r="B498" s="7" t="s">
        <v>9</v>
      </c>
      <c r="C498" s="8">
        <v>1886</v>
      </c>
      <c r="D498" s="9">
        <v>45418</v>
      </c>
      <c r="E498" s="13" t="str">
        <f>+HYPERLINK("http://trademark.i-assist.jp/data/china/image_1886th/76713925.pdf","76713925")</f>
        <v>76713925</v>
      </c>
      <c r="F498" s="7" t="s">
        <v>1357</v>
      </c>
      <c r="G498" s="7" t="s">
        <v>1358</v>
      </c>
      <c r="H498" s="7" t="s">
        <v>1359</v>
      </c>
      <c r="I498" s="9">
        <v>45322</v>
      </c>
    </row>
    <row r="499" spans="1:9" x14ac:dyDescent="0.15">
      <c r="A499" s="6">
        <v>498</v>
      </c>
      <c r="B499" s="7" t="s">
        <v>9</v>
      </c>
      <c r="C499" s="8">
        <v>1886</v>
      </c>
      <c r="D499" s="9">
        <v>45418</v>
      </c>
      <c r="E499" s="13" t="str">
        <f>+HYPERLINK("http://trademark.i-assist.jp/data/china/image_1886th/76714117.pdf","76714117")</f>
        <v>76714117</v>
      </c>
      <c r="F499" s="7" t="s">
        <v>1360</v>
      </c>
      <c r="G499" s="7" t="s">
        <v>1361</v>
      </c>
      <c r="H499" s="7" t="s">
        <v>1362</v>
      </c>
      <c r="I499" s="9">
        <v>45322</v>
      </c>
    </row>
    <row r="500" spans="1:9" x14ac:dyDescent="0.15">
      <c r="A500" s="6">
        <v>499</v>
      </c>
      <c r="B500" s="7" t="s">
        <v>9</v>
      </c>
      <c r="C500" s="8">
        <v>1886</v>
      </c>
      <c r="D500" s="9">
        <v>45418</v>
      </c>
      <c r="E500" s="13" t="str">
        <f>+HYPERLINK("http://trademark.i-assist.jp/data/china/image_1886th/76714417.pdf","76714417")</f>
        <v>76714417</v>
      </c>
      <c r="F500" s="7" t="s">
        <v>1363</v>
      </c>
      <c r="G500" s="7" t="s">
        <v>1364</v>
      </c>
      <c r="H500" s="7" t="s">
        <v>1365</v>
      </c>
      <c r="I500" s="9">
        <v>45322</v>
      </c>
    </row>
    <row r="501" spans="1:9" x14ac:dyDescent="0.15">
      <c r="A501" s="6">
        <v>500</v>
      </c>
      <c r="B501" s="7" t="s">
        <v>9</v>
      </c>
      <c r="C501" s="8">
        <v>1886</v>
      </c>
      <c r="D501" s="9">
        <v>45418</v>
      </c>
      <c r="E501" s="13" t="str">
        <f>+HYPERLINK("http://trademark.i-assist.jp/data/china/image_1886th/76714759.pdf","76714759")</f>
        <v>76714759</v>
      </c>
      <c r="F501" s="7" t="s">
        <v>1366</v>
      </c>
      <c r="G501" s="7" t="s">
        <v>1367</v>
      </c>
      <c r="H501" s="7" t="s">
        <v>1368</v>
      </c>
      <c r="I501" s="9">
        <v>45322</v>
      </c>
    </row>
    <row r="502" spans="1:9" x14ac:dyDescent="0.15">
      <c r="A502" s="6">
        <v>501</v>
      </c>
      <c r="B502" s="7" t="s">
        <v>9</v>
      </c>
      <c r="C502" s="8">
        <v>1886</v>
      </c>
      <c r="D502" s="9">
        <v>45418</v>
      </c>
      <c r="E502" s="13" t="str">
        <f>+HYPERLINK("http://trademark.i-assist.jp/data/china/image_1886th/76715000.pdf","76715000")</f>
        <v>76715000</v>
      </c>
      <c r="F502" s="7" t="s">
        <v>1369</v>
      </c>
      <c r="G502" s="7" t="s">
        <v>1370</v>
      </c>
      <c r="H502" s="7" t="s">
        <v>1371</v>
      </c>
      <c r="I502" s="9">
        <v>45322</v>
      </c>
    </row>
    <row r="503" spans="1:9" x14ac:dyDescent="0.15">
      <c r="A503" s="6">
        <v>502</v>
      </c>
      <c r="B503" s="7" t="s">
        <v>9</v>
      </c>
      <c r="C503" s="8">
        <v>1886</v>
      </c>
      <c r="D503" s="9">
        <v>45418</v>
      </c>
      <c r="E503" s="13" t="str">
        <f>+HYPERLINK("http://trademark.i-assist.jp/data/china/image_1886th/76715006.pdf","76715006")</f>
        <v>76715006</v>
      </c>
      <c r="F503" s="7" t="s">
        <v>1372</v>
      </c>
      <c r="G503" s="7" t="s">
        <v>1373</v>
      </c>
      <c r="H503" s="7" t="s">
        <v>1374</v>
      </c>
      <c r="I503" s="9">
        <v>45322</v>
      </c>
    </row>
    <row r="504" spans="1:9" x14ac:dyDescent="0.15">
      <c r="A504" s="6">
        <v>503</v>
      </c>
      <c r="B504" s="7" t="s">
        <v>9</v>
      </c>
      <c r="C504" s="8">
        <v>1886</v>
      </c>
      <c r="D504" s="9">
        <v>45418</v>
      </c>
      <c r="E504" s="13" t="str">
        <f>+HYPERLINK("http://trademark.i-assist.jp/data/china/image_1886th/76715078.pdf","76715078")</f>
        <v>76715078</v>
      </c>
      <c r="F504" s="7" t="s">
        <v>1375</v>
      </c>
      <c r="G504" s="7" t="s">
        <v>1376</v>
      </c>
      <c r="H504" s="7" t="s">
        <v>1377</v>
      </c>
      <c r="I504" s="9">
        <v>45322</v>
      </c>
    </row>
    <row r="505" spans="1:9" x14ac:dyDescent="0.15">
      <c r="A505" s="6">
        <v>504</v>
      </c>
      <c r="B505" s="7" t="s">
        <v>9</v>
      </c>
      <c r="C505" s="8">
        <v>1886</v>
      </c>
      <c r="D505" s="9">
        <v>45418</v>
      </c>
      <c r="E505" s="13" t="str">
        <f>+HYPERLINK("http://trademark.i-assist.jp/data/china/image_1886th/76715828.pdf","76715828")</f>
        <v>76715828</v>
      </c>
      <c r="F505" s="7" t="s">
        <v>1378</v>
      </c>
      <c r="G505" s="7" t="s">
        <v>1379</v>
      </c>
      <c r="H505" s="7" t="s">
        <v>1380</v>
      </c>
      <c r="I505" s="9">
        <v>45322</v>
      </c>
    </row>
    <row r="506" spans="1:9" ht="27" x14ac:dyDescent="0.15">
      <c r="A506" s="6">
        <v>505</v>
      </c>
      <c r="B506" s="7" t="s">
        <v>9</v>
      </c>
      <c r="C506" s="8">
        <v>1886</v>
      </c>
      <c r="D506" s="9">
        <v>45418</v>
      </c>
      <c r="E506" s="13" t="str">
        <f>+HYPERLINK("http://trademark.i-assist.jp/data/china/image_1886th/76716047.pdf","76716047")</f>
        <v>76716047</v>
      </c>
      <c r="F506" s="7" t="s">
        <v>1381</v>
      </c>
      <c r="G506" s="7" t="s">
        <v>1276</v>
      </c>
      <c r="H506" s="7" t="s">
        <v>1382</v>
      </c>
      <c r="I506" s="9">
        <v>45322</v>
      </c>
    </row>
    <row r="507" spans="1:9" ht="27" x14ac:dyDescent="0.15">
      <c r="A507" s="6">
        <v>506</v>
      </c>
      <c r="B507" s="7" t="s">
        <v>9</v>
      </c>
      <c r="C507" s="8">
        <v>1886</v>
      </c>
      <c r="D507" s="9">
        <v>45418</v>
      </c>
      <c r="E507" s="13" t="str">
        <f>+HYPERLINK("http://trademark.i-assist.jp/data/china/image_1886th/76716286.pdf","76716286")</f>
        <v>76716286</v>
      </c>
      <c r="F507" s="7" t="s">
        <v>1383</v>
      </c>
      <c r="G507" s="7" t="s">
        <v>1384</v>
      </c>
      <c r="H507" s="7" t="s">
        <v>1385</v>
      </c>
      <c r="I507" s="9">
        <v>45322</v>
      </c>
    </row>
    <row r="508" spans="1:9" ht="27" x14ac:dyDescent="0.15">
      <c r="A508" s="6">
        <v>507</v>
      </c>
      <c r="B508" s="7" t="s">
        <v>9</v>
      </c>
      <c r="C508" s="8">
        <v>1886</v>
      </c>
      <c r="D508" s="9">
        <v>45418</v>
      </c>
      <c r="E508" s="13" t="str">
        <f>+HYPERLINK("http://trademark.i-assist.jp/data/china/image_1886th/76716379.pdf","76716379")</f>
        <v>76716379</v>
      </c>
      <c r="F508" s="7" t="s">
        <v>1386</v>
      </c>
      <c r="G508" s="7" t="s">
        <v>1387</v>
      </c>
      <c r="H508" s="7" t="s">
        <v>1388</v>
      </c>
      <c r="I508" s="9">
        <v>45322</v>
      </c>
    </row>
    <row r="509" spans="1:9" x14ac:dyDescent="0.15">
      <c r="A509" s="6">
        <v>508</v>
      </c>
      <c r="B509" s="7" t="s">
        <v>9</v>
      </c>
      <c r="C509" s="8">
        <v>1886</v>
      </c>
      <c r="D509" s="9">
        <v>45418</v>
      </c>
      <c r="E509" s="13" t="str">
        <f>+HYPERLINK("http://trademark.i-assist.jp/data/china/image_1886th/76716872.pdf","76716872")</f>
        <v>76716872</v>
      </c>
      <c r="F509" s="7" t="s">
        <v>1389</v>
      </c>
      <c r="G509" s="7" t="s">
        <v>1390</v>
      </c>
      <c r="H509" s="7" t="s">
        <v>1391</v>
      </c>
      <c r="I509" s="9">
        <v>45322</v>
      </c>
    </row>
    <row r="510" spans="1:9" x14ac:dyDescent="0.15">
      <c r="A510" s="6">
        <v>509</v>
      </c>
      <c r="B510" s="7" t="s">
        <v>9</v>
      </c>
      <c r="C510" s="8">
        <v>1886</v>
      </c>
      <c r="D510" s="9">
        <v>45418</v>
      </c>
      <c r="E510" s="13" t="str">
        <f>+HYPERLINK("http://trademark.i-assist.jp/data/china/image_1886th/76716973.pdf","76716973")</f>
        <v>76716973</v>
      </c>
      <c r="F510" s="7" t="s">
        <v>1392</v>
      </c>
      <c r="G510" s="7" t="s">
        <v>1393</v>
      </c>
      <c r="H510" s="7" t="s">
        <v>1394</v>
      </c>
      <c r="I510" s="9">
        <v>45322</v>
      </c>
    </row>
    <row r="511" spans="1:9" x14ac:dyDescent="0.15">
      <c r="A511" s="6">
        <v>510</v>
      </c>
      <c r="B511" s="7" t="s">
        <v>9</v>
      </c>
      <c r="C511" s="8">
        <v>1886</v>
      </c>
      <c r="D511" s="9">
        <v>45418</v>
      </c>
      <c r="E511" s="13" t="str">
        <f>+HYPERLINK("http://trademark.i-assist.jp/data/china/image_1886th/76716998.pdf","76716998")</f>
        <v>76716998</v>
      </c>
      <c r="F511" s="7" t="s">
        <v>1395</v>
      </c>
      <c r="G511" s="7" t="s">
        <v>1396</v>
      </c>
      <c r="H511" s="7" t="s">
        <v>1397</v>
      </c>
      <c r="I511" s="9">
        <v>45322</v>
      </c>
    </row>
    <row r="512" spans="1:9" x14ac:dyDescent="0.15">
      <c r="A512" s="6">
        <v>511</v>
      </c>
      <c r="B512" s="7" t="s">
        <v>9</v>
      </c>
      <c r="C512" s="8">
        <v>1886</v>
      </c>
      <c r="D512" s="9">
        <v>45418</v>
      </c>
      <c r="E512" s="13" t="str">
        <f>+HYPERLINK("http://trademark.i-assist.jp/data/china/image_1886th/76717414.pdf","76717414")</f>
        <v>76717414</v>
      </c>
      <c r="F512" s="7" t="s">
        <v>1398</v>
      </c>
      <c r="G512" s="7" t="s">
        <v>1399</v>
      </c>
      <c r="H512" s="7" t="s">
        <v>1400</v>
      </c>
      <c r="I512" s="9">
        <v>45322</v>
      </c>
    </row>
    <row r="513" spans="1:9" x14ac:dyDescent="0.15">
      <c r="A513" s="6">
        <v>512</v>
      </c>
      <c r="B513" s="7" t="s">
        <v>9</v>
      </c>
      <c r="C513" s="8">
        <v>1886</v>
      </c>
      <c r="D513" s="9">
        <v>45418</v>
      </c>
      <c r="E513" s="13" t="str">
        <f>+HYPERLINK("http://trademark.i-assist.jp/data/china/image_1886th/76717525.pdf","76717525")</f>
        <v>76717525</v>
      </c>
      <c r="F513" s="7" t="s">
        <v>1401</v>
      </c>
      <c r="G513" s="7" t="s">
        <v>1402</v>
      </c>
      <c r="H513" s="7" t="s">
        <v>1403</v>
      </c>
      <c r="I513" s="9">
        <v>45322</v>
      </c>
    </row>
    <row r="514" spans="1:9" x14ac:dyDescent="0.15">
      <c r="A514" s="6">
        <v>513</v>
      </c>
      <c r="B514" s="7" t="s">
        <v>9</v>
      </c>
      <c r="C514" s="8">
        <v>1886</v>
      </c>
      <c r="D514" s="9">
        <v>45418</v>
      </c>
      <c r="E514" s="13" t="str">
        <f>+HYPERLINK("http://trademark.i-assist.jp/data/china/image_1886th/76717691.pdf","76717691")</f>
        <v>76717691</v>
      </c>
      <c r="F514" s="7" t="s">
        <v>1404</v>
      </c>
      <c r="G514" s="7" t="s">
        <v>1405</v>
      </c>
      <c r="H514" s="7" t="s">
        <v>1406</v>
      </c>
      <c r="I514" s="9">
        <v>45322</v>
      </c>
    </row>
    <row r="515" spans="1:9" x14ac:dyDescent="0.15">
      <c r="A515" s="6">
        <v>514</v>
      </c>
      <c r="B515" s="7" t="s">
        <v>9</v>
      </c>
      <c r="C515" s="8">
        <v>1886</v>
      </c>
      <c r="D515" s="9">
        <v>45418</v>
      </c>
      <c r="E515" s="13" t="str">
        <f>+HYPERLINK("http://trademark.i-assist.jp/data/china/image_1886th/76717946.pdf","76717946")</f>
        <v>76717946</v>
      </c>
      <c r="F515" s="7" t="s">
        <v>1407</v>
      </c>
      <c r="G515" s="7" t="s">
        <v>1408</v>
      </c>
      <c r="H515" s="7" t="s">
        <v>1409</v>
      </c>
      <c r="I515" s="9">
        <v>45322</v>
      </c>
    </row>
    <row r="516" spans="1:9" ht="27" x14ac:dyDescent="0.15">
      <c r="A516" s="6">
        <v>515</v>
      </c>
      <c r="B516" s="7" t="s">
        <v>9</v>
      </c>
      <c r="C516" s="8">
        <v>1886</v>
      </c>
      <c r="D516" s="9">
        <v>45418</v>
      </c>
      <c r="E516" s="13" t="str">
        <f>+HYPERLINK("http://trademark.i-assist.jp/data/china/image_1886th/76718584.pdf","76718584")</f>
        <v>76718584</v>
      </c>
      <c r="F516" s="7" t="s">
        <v>1410</v>
      </c>
      <c r="G516" s="7" t="s">
        <v>1411</v>
      </c>
      <c r="H516" s="7" t="s">
        <v>1412</v>
      </c>
      <c r="I516" s="9">
        <v>45322</v>
      </c>
    </row>
    <row r="517" spans="1:9" x14ac:dyDescent="0.15">
      <c r="A517" s="6">
        <v>516</v>
      </c>
      <c r="B517" s="7" t="s">
        <v>9</v>
      </c>
      <c r="C517" s="8">
        <v>1886</v>
      </c>
      <c r="D517" s="9">
        <v>45418</v>
      </c>
      <c r="E517" s="13" t="str">
        <f>+HYPERLINK("http://trademark.i-assist.jp/data/china/image_1886th/76718642.pdf","76718642")</f>
        <v>76718642</v>
      </c>
      <c r="F517" s="7" t="s">
        <v>1413</v>
      </c>
      <c r="G517" s="7" t="s">
        <v>1414</v>
      </c>
      <c r="H517" s="7" t="s">
        <v>1415</v>
      </c>
      <c r="I517" s="9">
        <v>45322</v>
      </c>
    </row>
    <row r="518" spans="1:9" ht="27" x14ac:dyDescent="0.15">
      <c r="A518" s="6">
        <v>517</v>
      </c>
      <c r="B518" s="7" t="s">
        <v>9</v>
      </c>
      <c r="C518" s="8">
        <v>1886</v>
      </c>
      <c r="D518" s="9">
        <v>45418</v>
      </c>
      <c r="E518" s="13" t="str">
        <f>+HYPERLINK("http://trademark.i-assist.jp/data/china/image_1886th/76718845.pdf","76718845")</f>
        <v>76718845</v>
      </c>
      <c r="F518" s="7" t="s">
        <v>1416</v>
      </c>
      <c r="G518" s="7" t="s">
        <v>1276</v>
      </c>
      <c r="H518" s="7" t="s">
        <v>1277</v>
      </c>
      <c r="I518" s="9">
        <v>45322</v>
      </c>
    </row>
    <row r="519" spans="1:9" x14ac:dyDescent="0.15">
      <c r="A519" s="6">
        <v>518</v>
      </c>
      <c r="B519" s="7" t="s">
        <v>9</v>
      </c>
      <c r="C519" s="8">
        <v>1886</v>
      </c>
      <c r="D519" s="9">
        <v>45418</v>
      </c>
      <c r="E519" s="13" t="str">
        <f>+HYPERLINK("http://trademark.i-assist.jp/data/china/image_1886th/76719304.pdf","76719304")</f>
        <v>76719304</v>
      </c>
      <c r="F519" s="7" t="s">
        <v>1417</v>
      </c>
      <c r="G519" s="7" t="s">
        <v>1418</v>
      </c>
      <c r="H519" s="7" t="s">
        <v>1419</v>
      </c>
      <c r="I519" s="9">
        <v>45322</v>
      </c>
    </row>
    <row r="520" spans="1:9" ht="27" x14ac:dyDescent="0.15">
      <c r="A520" s="6">
        <v>519</v>
      </c>
      <c r="B520" s="7" t="s">
        <v>9</v>
      </c>
      <c r="C520" s="8">
        <v>1886</v>
      </c>
      <c r="D520" s="9">
        <v>45418</v>
      </c>
      <c r="E520" s="13" t="str">
        <f>+HYPERLINK("http://trademark.i-assist.jp/data/china/image_1886th/76719379.pdf","76719379")</f>
        <v>76719379</v>
      </c>
      <c r="F520" s="7" t="s">
        <v>1420</v>
      </c>
      <c r="G520" s="7" t="s">
        <v>1421</v>
      </c>
      <c r="H520" s="7" t="s">
        <v>1422</v>
      </c>
      <c r="I520" s="9">
        <v>45322</v>
      </c>
    </row>
    <row r="521" spans="1:9" x14ac:dyDescent="0.15">
      <c r="A521" s="6">
        <v>520</v>
      </c>
      <c r="B521" s="7" t="s">
        <v>9</v>
      </c>
      <c r="C521" s="8">
        <v>1886</v>
      </c>
      <c r="D521" s="9">
        <v>45418</v>
      </c>
      <c r="E521" s="13" t="str">
        <f>+HYPERLINK("http://trademark.i-assist.jp/data/china/image_1886th/76719434.pdf","76719434")</f>
        <v>76719434</v>
      </c>
      <c r="F521" s="7" t="s">
        <v>1423</v>
      </c>
      <c r="G521" s="7" t="s">
        <v>1424</v>
      </c>
      <c r="H521" s="7" t="s">
        <v>1425</v>
      </c>
      <c r="I521" s="9">
        <v>45322</v>
      </c>
    </row>
    <row r="522" spans="1:9" x14ac:dyDescent="0.15">
      <c r="A522" s="6">
        <v>521</v>
      </c>
      <c r="B522" s="7" t="s">
        <v>9</v>
      </c>
      <c r="C522" s="8">
        <v>1886</v>
      </c>
      <c r="D522" s="9">
        <v>45418</v>
      </c>
      <c r="E522" s="13" t="str">
        <f>+HYPERLINK("http://trademark.i-assist.jp/data/china/image_1886th/76719540.pdf","76719540")</f>
        <v>76719540</v>
      </c>
      <c r="F522" s="7" t="s">
        <v>1426</v>
      </c>
      <c r="G522" s="7" t="s">
        <v>1427</v>
      </c>
      <c r="H522" s="7" t="s">
        <v>1428</v>
      </c>
      <c r="I522" s="9">
        <v>45322</v>
      </c>
    </row>
    <row r="523" spans="1:9" x14ac:dyDescent="0.15">
      <c r="A523" s="6">
        <v>522</v>
      </c>
      <c r="B523" s="7" t="s">
        <v>9</v>
      </c>
      <c r="C523" s="8">
        <v>1886</v>
      </c>
      <c r="D523" s="9">
        <v>45418</v>
      </c>
      <c r="E523" s="13" t="str">
        <f>+HYPERLINK("http://trademark.i-assist.jp/data/china/image_1886th/76721172.pdf","76721172")</f>
        <v>76721172</v>
      </c>
      <c r="F523" s="7" t="s">
        <v>33</v>
      </c>
      <c r="G523" s="7" t="s">
        <v>1429</v>
      </c>
      <c r="H523" s="7" t="s">
        <v>1430</v>
      </c>
      <c r="I523" s="9">
        <v>45322</v>
      </c>
    </row>
    <row r="524" spans="1:9" ht="27" x14ac:dyDescent="0.15">
      <c r="A524" s="6">
        <v>523</v>
      </c>
      <c r="B524" s="7" t="s">
        <v>9</v>
      </c>
      <c r="C524" s="8">
        <v>1886</v>
      </c>
      <c r="D524" s="9">
        <v>45418</v>
      </c>
      <c r="E524" s="13" t="str">
        <f>+HYPERLINK("http://trademark.i-assist.jp/data/china/image_1886th/76721430.pdf","76721430")</f>
        <v>76721430</v>
      </c>
      <c r="F524" s="7" t="s">
        <v>1431</v>
      </c>
      <c r="G524" s="7" t="s">
        <v>1432</v>
      </c>
      <c r="H524" s="7" t="s">
        <v>1433</v>
      </c>
      <c r="I524" s="9">
        <v>45322</v>
      </c>
    </row>
    <row r="525" spans="1:9" ht="27" x14ac:dyDescent="0.15">
      <c r="A525" s="6">
        <v>524</v>
      </c>
      <c r="B525" s="7" t="s">
        <v>9</v>
      </c>
      <c r="C525" s="8">
        <v>1886</v>
      </c>
      <c r="D525" s="9">
        <v>45418</v>
      </c>
      <c r="E525" s="13" t="str">
        <f>+HYPERLINK("http://trademark.i-assist.jp/data/china/image_1886th/76721821.pdf","76721821")</f>
        <v>76721821</v>
      </c>
      <c r="F525" s="7" t="s">
        <v>1434</v>
      </c>
      <c r="G525" s="7" t="s">
        <v>1435</v>
      </c>
      <c r="H525" s="7" t="s">
        <v>1436</v>
      </c>
      <c r="I525" s="9">
        <v>45323</v>
      </c>
    </row>
    <row r="526" spans="1:9" x14ac:dyDescent="0.15">
      <c r="A526" s="6">
        <v>525</v>
      </c>
      <c r="B526" s="7" t="s">
        <v>9</v>
      </c>
      <c r="C526" s="8">
        <v>1886</v>
      </c>
      <c r="D526" s="9">
        <v>45418</v>
      </c>
      <c r="E526" s="13" t="str">
        <f>+HYPERLINK("http://trademark.i-assist.jp/data/china/image_1886th/76722177.pdf","76722177")</f>
        <v>76722177</v>
      </c>
      <c r="F526" s="7" t="s">
        <v>1437</v>
      </c>
      <c r="G526" s="7" t="s">
        <v>1438</v>
      </c>
      <c r="H526" s="7" t="s">
        <v>755</v>
      </c>
      <c r="I526" s="9">
        <v>45323</v>
      </c>
    </row>
    <row r="527" spans="1:9" ht="27" x14ac:dyDescent="0.15">
      <c r="A527" s="6">
        <v>526</v>
      </c>
      <c r="B527" s="7" t="s">
        <v>9</v>
      </c>
      <c r="C527" s="8">
        <v>1886</v>
      </c>
      <c r="D527" s="9">
        <v>45418</v>
      </c>
      <c r="E527" s="13" t="str">
        <f>+HYPERLINK("http://trademark.i-assist.jp/data/china/image_1886th/76722245.pdf","76722245")</f>
        <v>76722245</v>
      </c>
      <c r="F527" s="7" t="s">
        <v>1439</v>
      </c>
      <c r="G527" s="7" t="s">
        <v>1440</v>
      </c>
      <c r="H527" s="7" t="s">
        <v>1441</v>
      </c>
      <c r="I527" s="9">
        <v>45323</v>
      </c>
    </row>
    <row r="528" spans="1:9" x14ac:dyDescent="0.15">
      <c r="A528" s="6">
        <v>527</v>
      </c>
      <c r="B528" s="7" t="s">
        <v>9</v>
      </c>
      <c r="C528" s="8">
        <v>1886</v>
      </c>
      <c r="D528" s="9">
        <v>45418</v>
      </c>
      <c r="E528" s="13" t="str">
        <f>+HYPERLINK("http://trademark.i-assist.jp/data/china/image_1886th/76722581.pdf","76722581")</f>
        <v>76722581</v>
      </c>
      <c r="F528" s="7" t="s">
        <v>1442</v>
      </c>
      <c r="G528" s="7" t="s">
        <v>1443</v>
      </c>
      <c r="H528" s="7" t="s">
        <v>1444</v>
      </c>
      <c r="I528" s="9">
        <v>45323</v>
      </c>
    </row>
    <row r="529" spans="1:9" x14ac:dyDescent="0.15">
      <c r="A529" s="6">
        <v>528</v>
      </c>
      <c r="B529" s="7" t="s">
        <v>9</v>
      </c>
      <c r="C529" s="8">
        <v>1886</v>
      </c>
      <c r="D529" s="9">
        <v>45418</v>
      </c>
      <c r="E529" s="13" t="str">
        <f>+HYPERLINK("http://trademark.i-assist.jp/data/china/image_1886th/76723278.pdf","76723278")</f>
        <v>76723278</v>
      </c>
      <c r="F529" s="7" t="s">
        <v>1445</v>
      </c>
      <c r="G529" s="7" t="s">
        <v>1446</v>
      </c>
      <c r="H529" s="7" t="s">
        <v>1447</v>
      </c>
      <c r="I529" s="9">
        <v>45323</v>
      </c>
    </row>
    <row r="530" spans="1:9" x14ac:dyDescent="0.15">
      <c r="A530" s="6">
        <v>529</v>
      </c>
      <c r="B530" s="7" t="s">
        <v>9</v>
      </c>
      <c r="C530" s="8">
        <v>1886</v>
      </c>
      <c r="D530" s="9">
        <v>45418</v>
      </c>
      <c r="E530" s="13" t="str">
        <f>+HYPERLINK("http://trademark.i-assist.jp/data/china/image_1886th/76723568.pdf","76723568")</f>
        <v>76723568</v>
      </c>
      <c r="F530" s="7" t="s">
        <v>1448</v>
      </c>
      <c r="G530" s="7" t="s">
        <v>1449</v>
      </c>
      <c r="H530" s="7" t="s">
        <v>1450</v>
      </c>
      <c r="I530" s="9">
        <v>45323</v>
      </c>
    </row>
    <row r="531" spans="1:9" x14ac:dyDescent="0.15">
      <c r="A531" s="6">
        <v>530</v>
      </c>
      <c r="B531" s="7" t="s">
        <v>9</v>
      </c>
      <c r="C531" s="8">
        <v>1886</v>
      </c>
      <c r="D531" s="9">
        <v>45418</v>
      </c>
      <c r="E531" s="13" t="str">
        <f>+HYPERLINK("http://trademark.i-assist.jp/data/china/image_1886th/76723737.pdf","76723737")</f>
        <v>76723737</v>
      </c>
      <c r="F531" s="7" t="s">
        <v>1451</v>
      </c>
      <c r="G531" s="7" t="s">
        <v>1443</v>
      </c>
      <c r="H531" s="7" t="s">
        <v>1452</v>
      </c>
      <c r="I531" s="9">
        <v>45323</v>
      </c>
    </row>
    <row r="532" spans="1:9" x14ac:dyDescent="0.15">
      <c r="A532" s="6">
        <v>531</v>
      </c>
      <c r="B532" s="7" t="s">
        <v>9</v>
      </c>
      <c r="C532" s="8">
        <v>1886</v>
      </c>
      <c r="D532" s="9">
        <v>45418</v>
      </c>
      <c r="E532" s="13" t="str">
        <f>+HYPERLINK("http://trademark.i-assist.jp/data/china/image_1886th/76723791.pdf","76723791")</f>
        <v>76723791</v>
      </c>
      <c r="F532" s="7" t="s">
        <v>1453</v>
      </c>
      <c r="G532" s="7" t="s">
        <v>1454</v>
      </c>
      <c r="H532" s="7" t="s">
        <v>1455</v>
      </c>
      <c r="I532" s="9">
        <v>45323</v>
      </c>
    </row>
    <row r="533" spans="1:9" ht="27" x14ac:dyDescent="0.15">
      <c r="A533" s="6">
        <v>532</v>
      </c>
      <c r="B533" s="7" t="s">
        <v>9</v>
      </c>
      <c r="C533" s="8">
        <v>1886</v>
      </c>
      <c r="D533" s="9">
        <v>45418</v>
      </c>
      <c r="E533" s="13" t="str">
        <f>+HYPERLINK("http://trademark.i-assist.jp/data/china/image_1886th/76723984.pdf","76723984")</f>
        <v>76723984</v>
      </c>
      <c r="F533" s="7" t="s">
        <v>1456</v>
      </c>
      <c r="G533" s="7" t="s">
        <v>1457</v>
      </c>
      <c r="H533" s="7" t="s">
        <v>1458</v>
      </c>
      <c r="I533" s="9">
        <v>45323</v>
      </c>
    </row>
    <row r="534" spans="1:9" x14ac:dyDescent="0.15">
      <c r="A534" s="6">
        <v>533</v>
      </c>
      <c r="B534" s="7" t="s">
        <v>9</v>
      </c>
      <c r="C534" s="8">
        <v>1886</v>
      </c>
      <c r="D534" s="9">
        <v>45418</v>
      </c>
      <c r="E534" s="13" t="str">
        <f>+HYPERLINK("http://trademark.i-assist.jp/data/china/image_1886th/76724464.pdf","76724464")</f>
        <v>76724464</v>
      </c>
      <c r="F534" s="7" t="s">
        <v>1459</v>
      </c>
      <c r="G534" s="7" t="s">
        <v>1460</v>
      </c>
      <c r="H534" s="7" t="s">
        <v>1461</v>
      </c>
      <c r="I534" s="9">
        <v>45323</v>
      </c>
    </row>
    <row r="535" spans="1:9" x14ac:dyDescent="0.15">
      <c r="A535" s="6">
        <v>534</v>
      </c>
      <c r="B535" s="7" t="s">
        <v>9</v>
      </c>
      <c r="C535" s="8">
        <v>1886</v>
      </c>
      <c r="D535" s="9">
        <v>45418</v>
      </c>
      <c r="E535" s="13" t="str">
        <f>+HYPERLINK("http://trademark.i-assist.jp/data/china/image_1886th/76724529.pdf","76724529")</f>
        <v>76724529</v>
      </c>
      <c r="F535" s="7" t="s">
        <v>33</v>
      </c>
      <c r="G535" s="7" t="s">
        <v>1462</v>
      </c>
      <c r="H535" s="7" t="s">
        <v>1463</v>
      </c>
      <c r="I535" s="9">
        <v>45323</v>
      </c>
    </row>
    <row r="536" spans="1:9" x14ac:dyDescent="0.15">
      <c r="A536" s="6">
        <v>535</v>
      </c>
      <c r="B536" s="7" t="s">
        <v>9</v>
      </c>
      <c r="C536" s="8">
        <v>1886</v>
      </c>
      <c r="D536" s="9">
        <v>45418</v>
      </c>
      <c r="E536" s="13" t="str">
        <f>+HYPERLINK("http://trademark.i-assist.jp/data/china/image_1886th/76725750.pdf","76725750")</f>
        <v>76725750</v>
      </c>
      <c r="F536" s="7" t="s">
        <v>1464</v>
      </c>
      <c r="G536" s="7" t="s">
        <v>1465</v>
      </c>
      <c r="H536" s="7" t="s">
        <v>1466</v>
      </c>
      <c r="I536" s="9">
        <v>45323</v>
      </c>
    </row>
    <row r="537" spans="1:9" x14ac:dyDescent="0.15">
      <c r="A537" s="6">
        <v>536</v>
      </c>
      <c r="B537" s="7" t="s">
        <v>9</v>
      </c>
      <c r="C537" s="8">
        <v>1886</v>
      </c>
      <c r="D537" s="9">
        <v>45418</v>
      </c>
      <c r="E537" s="13" t="str">
        <f>+HYPERLINK("http://trademark.i-assist.jp/data/china/image_1886th/76725801.pdf","76725801")</f>
        <v>76725801</v>
      </c>
      <c r="F537" s="7" t="s">
        <v>1467</v>
      </c>
      <c r="G537" s="7" t="s">
        <v>1468</v>
      </c>
      <c r="H537" s="7" t="s">
        <v>1469</v>
      </c>
      <c r="I537" s="9">
        <v>45323</v>
      </c>
    </row>
    <row r="538" spans="1:9" x14ac:dyDescent="0.15">
      <c r="A538" s="6">
        <v>537</v>
      </c>
      <c r="B538" s="7" t="s">
        <v>9</v>
      </c>
      <c r="C538" s="8">
        <v>1886</v>
      </c>
      <c r="D538" s="9">
        <v>45418</v>
      </c>
      <c r="E538" s="13" t="str">
        <f>+HYPERLINK("http://trademark.i-assist.jp/data/china/image_1886th/76726294.pdf","76726294")</f>
        <v>76726294</v>
      </c>
      <c r="F538" s="7" t="s">
        <v>1470</v>
      </c>
      <c r="G538" s="7" t="s">
        <v>1471</v>
      </c>
      <c r="H538" s="7" t="s">
        <v>1472</v>
      </c>
      <c r="I538" s="9">
        <v>45323</v>
      </c>
    </row>
    <row r="539" spans="1:9" x14ac:dyDescent="0.15">
      <c r="A539" s="6">
        <v>538</v>
      </c>
      <c r="B539" s="7" t="s">
        <v>9</v>
      </c>
      <c r="C539" s="8">
        <v>1886</v>
      </c>
      <c r="D539" s="9">
        <v>45418</v>
      </c>
      <c r="E539" s="13" t="str">
        <f>+HYPERLINK("http://trademark.i-assist.jp/data/china/image_1886th/76726537.pdf","76726537")</f>
        <v>76726537</v>
      </c>
      <c r="F539" s="7" t="s">
        <v>1473</v>
      </c>
      <c r="G539" s="7" t="s">
        <v>1474</v>
      </c>
      <c r="H539" s="7" t="s">
        <v>1475</v>
      </c>
      <c r="I539" s="9">
        <v>45323</v>
      </c>
    </row>
    <row r="540" spans="1:9" x14ac:dyDescent="0.15">
      <c r="A540" s="6">
        <v>539</v>
      </c>
      <c r="B540" s="7" t="s">
        <v>9</v>
      </c>
      <c r="C540" s="8">
        <v>1886</v>
      </c>
      <c r="D540" s="9">
        <v>45418</v>
      </c>
      <c r="E540" s="13" t="str">
        <f>+HYPERLINK("http://trademark.i-assist.jp/data/china/image_1886th/76727216.pdf","76727216")</f>
        <v>76727216</v>
      </c>
      <c r="F540" s="7" t="s">
        <v>1476</v>
      </c>
      <c r="G540" s="7" t="s">
        <v>1477</v>
      </c>
      <c r="H540" s="7" t="s">
        <v>1478</v>
      </c>
      <c r="I540" s="9">
        <v>45323</v>
      </c>
    </row>
    <row r="541" spans="1:9" x14ac:dyDescent="0.15">
      <c r="A541" s="6">
        <v>540</v>
      </c>
      <c r="B541" s="7" t="s">
        <v>9</v>
      </c>
      <c r="C541" s="8">
        <v>1886</v>
      </c>
      <c r="D541" s="9">
        <v>45418</v>
      </c>
      <c r="E541" s="13" t="str">
        <f>+HYPERLINK("http://trademark.i-assist.jp/data/china/image_1886th/76727722.pdf","76727722")</f>
        <v>76727722</v>
      </c>
      <c r="F541" s="7" t="s">
        <v>1479</v>
      </c>
      <c r="G541" s="7" t="s">
        <v>1480</v>
      </c>
      <c r="H541" s="7" t="s">
        <v>1481</v>
      </c>
      <c r="I541" s="9">
        <v>45323</v>
      </c>
    </row>
    <row r="542" spans="1:9" x14ac:dyDescent="0.15">
      <c r="A542" s="6">
        <v>541</v>
      </c>
      <c r="B542" s="7" t="s">
        <v>9</v>
      </c>
      <c r="C542" s="8">
        <v>1886</v>
      </c>
      <c r="D542" s="9">
        <v>45418</v>
      </c>
      <c r="E542" s="13" t="str">
        <f>+HYPERLINK("http://trademark.i-assist.jp/data/china/image_1886th/76728885.pdf","76728885")</f>
        <v>76728885</v>
      </c>
      <c r="F542" s="7" t="s">
        <v>1482</v>
      </c>
      <c r="G542" s="7" t="s">
        <v>830</v>
      </c>
      <c r="H542" s="7" t="s">
        <v>1483</v>
      </c>
      <c r="I542" s="9">
        <v>45323</v>
      </c>
    </row>
    <row r="543" spans="1:9" x14ac:dyDescent="0.15">
      <c r="A543" s="6">
        <v>542</v>
      </c>
      <c r="B543" s="7" t="s">
        <v>9</v>
      </c>
      <c r="C543" s="8">
        <v>1886</v>
      </c>
      <c r="D543" s="9">
        <v>45418</v>
      </c>
      <c r="E543" s="13" t="str">
        <f>+HYPERLINK("http://trademark.i-assist.jp/data/china/image_1886th/76729143.pdf","76729143")</f>
        <v>76729143</v>
      </c>
      <c r="F543" s="7" t="s">
        <v>1484</v>
      </c>
      <c r="G543" s="7" t="s">
        <v>1443</v>
      </c>
      <c r="H543" s="7" t="s">
        <v>1485</v>
      </c>
      <c r="I543" s="9">
        <v>45323</v>
      </c>
    </row>
    <row r="544" spans="1:9" x14ac:dyDescent="0.15">
      <c r="A544" s="6">
        <v>543</v>
      </c>
      <c r="B544" s="7" t="s">
        <v>9</v>
      </c>
      <c r="C544" s="8">
        <v>1886</v>
      </c>
      <c r="D544" s="9">
        <v>45418</v>
      </c>
      <c r="E544" s="13" t="str">
        <f>+HYPERLINK("http://trademark.i-assist.jp/data/china/image_1886th/76729753.pdf","76729753")</f>
        <v>76729753</v>
      </c>
      <c r="F544" s="7" t="s">
        <v>1486</v>
      </c>
      <c r="G544" s="7" t="s">
        <v>1487</v>
      </c>
      <c r="H544" s="7" t="s">
        <v>1488</v>
      </c>
      <c r="I544" s="9">
        <v>45323</v>
      </c>
    </row>
    <row r="545" spans="1:9" x14ac:dyDescent="0.15">
      <c r="A545" s="6">
        <v>544</v>
      </c>
      <c r="B545" s="7" t="s">
        <v>9</v>
      </c>
      <c r="C545" s="8">
        <v>1886</v>
      </c>
      <c r="D545" s="9">
        <v>45418</v>
      </c>
      <c r="E545" s="13" t="str">
        <f>+HYPERLINK("http://trademark.i-assist.jp/data/china/image_1886th/76729930.pdf","76729930")</f>
        <v>76729930</v>
      </c>
      <c r="F545" s="7" t="s">
        <v>1489</v>
      </c>
      <c r="G545" s="7" t="s">
        <v>1490</v>
      </c>
      <c r="H545" s="7" t="s">
        <v>1491</v>
      </c>
      <c r="I545" s="9">
        <v>45323</v>
      </c>
    </row>
    <row r="546" spans="1:9" ht="27" x14ac:dyDescent="0.15">
      <c r="A546" s="6">
        <v>545</v>
      </c>
      <c r="B546" s="7" t="s">
        <v>9</v>
      </c>
      <c r="C546" s="8">
        <v>1886</v>
      </c>
      <c r="D546" s="9">
        <v>45418</v>
      </c>
      <c r="E546" s="13" t="str">
        <f>+HYPERLINK("http://trademark.i-assist.jp/data/china/image_1886th/76730263.pdf","76730263")</f>
        <v>76730263</v>
      </c>
      <c r="F546" s="7" t="s">
        <v>1492</v>
      </c>
      <c r="G546" s="7" t="s">
        <v>1493</v>
      </c>
      <c r="H546" s="7" t="s">
        <v>1494</v>
      </c>
      <c r="I546" s="9">
        <v>45323</v>
      </c>
    </row>
    <row r="547" spans="1:9" ht="27" x14ac:dyDescent="0.15">
      <c r="A547" s="6">
        <v>546</v>
      </c>
      <c r="B547" s="7" t="s">
        <v>9</v>
      </c>
      <c r="C547" s="8">
        <v>1886</v>
      </c>
      <c r="D547" s="9">
        <v>45418</v>
      </c>
      <c r="E547" s="13" t="str">
        <f>+HYPERLINK("http://trademark.i-assist.jp/data/china/image_1886th/76730446.pdf","76730446")</f>
        <v>76730446</v>
      </c>
      <c r="F547" s="7" t="s">
        <v>1495</v>
      </c>
      <c r="G547" s="7" t="s">
        <v>1496</v>
      </c>
      <c r="H547" s="7" t="s">
        <v>1497</v>
      </c>
      <c r="I547" s="9">
        <v>45323</v>
      </c>
    </row>
    <row r="548" spans="1:9" ht="27" x14ac:dyDescent="0.15">
      <c r="A548" s="6">
        <v>547</v>
      </c>
      <c r="B548" s="7" t="s">
        <v>9</v>
      </c>
      <c r="C548" s="8">
        <v>1886</v>
      </c>
      <c r="D548" s="9">
        <v>45418</v>
      </c>
      <c r="E548" s="13" t="str">
        <f>+HYPERLINK("http://trademark.i-assist.jp/data/china/image_1886th/76730699.pdf","76730699")</f>
        <v>76730699</v>
      </c>
      <c r="F548" s="7" t="s">
        <v>1498</v>
      </c>
      <c r="G548" s="7" t="s">
        <v>1499</v>
      </c>
      <c r="H548" s="7" t="s">
        <v>1500</v>
      </c>
      <c r="I548" s="9">
        <v>45323</v>
      </c>
    </row>
    <row r="549" spans="1:9" x14ac:dyDescent="0.15">
      <c r="A549" s="6">
        <v>548</v>
      </c>
      <c r="B549" s="7" t="s">
        <v>9</v>
      </c>
      <c r="C549" s="8">
        <v>1886</v>
      </c>
      <c r="D549" s="9">
        <v>45418</v>
      </c>
      <c r="E549" s="13" t="str">
        <f>+HYPERLINK("http://trademark.i-assist.jp/data/china/image_1886th/76730823.pdf","76730823")</f>
        <v>76730823</v>
      </c>
      <c r="F549" s="7" t="s">
        <v>1501</v>
      </c>
      <c r="G549" s="7" t="s">
        <v>1502</v>
      </c>
      <c r="H549" s="7" t="s">
        <v>1503</v>
      </c>
      <c r="I549" s="9">
        <v>45323</v>
      </c>
    </row>
    <row r="550" spans="1:9" x14ac:dyDescent="0.15">
      <c r="A550" s="6">
        <v>549</v>
      </c>
      <c r="B550" s="7" t="s">
        <v>9</v>
      </c>
      <c r="C550" s="8">
        <v>1886</v>
      </c>
      <c r="D550" s="9">
        <v>45418</v>
      </c>
      <c r="E550" s="13" t="str">
        <f>+HYPERLINK("http://trademark.i-assist.jp/data/china/image_1886th/76730980.pdf","76730980")</f>
        <v>76730980</v>
      </c>
      <c r="F550" s="7" t="s">
        <v>1504</v>
      </c>
      <c r="G550" s="7" t="s">
        <v>1505</v>
      </c>
      <c r="H550" s="7" t="s">
        <v>1506</v>
      </c>
      <c r="I550" s="9">
        <v>45323</v>
      </c>
    </row>
    <row r="551" spans="1:9" ht="27" x14ac:dyDescent="0.15">
      <c r="A551" s="6">
        <v>550</v>
      </c>
      <c r="B551" s="7" t="s">
        <v>9</v>
      </c>
      <c r="C551" s="8">
        <v>1886</v>
      </c>
      <c r="D551" s="9">
        <v>45418</v>
      </c>
      <c r="E551" s="13" t="str">
        <f>+HYPERLINK("http://trademark.i-assist.jp/data/china/image_1886th/76731289.pdf","76731289")</f>
        <v>76731289</v>
      </c>
      <c r="F551" s="7" t="s">
        <v>1507</v>
      </c>
      <c r="G551" s="7" t="s">
        <v>1435</v>
      </c>
      <c r="H551" s="7" t="s">
        <v>1508</v>
      </c>
      <c r="I551" s="9">
        <v>45323</v>
      </c>
    </row>
    <row r="552" spans="1:9" x14ac:dyDescent="0.15">
      <c r="A552" s="6">
        <v>551</v>
      </c>
      <c r="B552" s="7" t="s">
        <v>9</v>
      </c>
      <c r="C552" s="8">
        <v>1886</v>
      </c>
      <c r="D552" s="9">
        <v>45418</v>
      </c>
      <c r="E552" s="13" t="str">
        <f>+HYPERLINK("http://trademark.i-assist.jp/data/china/image_1886th/76731737.pdf","76731737")</f>
        <v>76731737</v>
      </c>
      <c r="F552" s="7" t="s">
        <v>1509</v>
      </c>
      <c r="G552" s="7" t="s">
        <v>1510</v>
      </c>
      <c r="H552" s="7" t="s">
        <v>1511</v>
      </c>
      <c r="I552" s="9">
        <v>45323</v>
      </c>
    </row>
    <row r="553" spans="1:9" x14ac:dyDescent="0.15">
      <c r="A553" s="6">
        <v>552</v>
      </c>
      <c r="B553" s="7" t="s">
        <v>9</v>
      </c>
      <c r="C553" s="8">
        <v>1886</v>
      </c>
      <c r="D553" s="9">
        <v>45418</v>
      </c>
      <c r="E553" s="13" t="str">
        <f>+HYPERLINK("http://trademark.i-assist.jp/data/china/image_1886th/76732402.pdf","76732402")</f>
        <v>76732402</v>
      </c>
      <c r="F553" s="7" t="s">
        <v>1512</v>
      </c>
      <c r="G553" s="7" t="s">
        <v>1513</v>
      </c>
      <c r="H553" s="7" t="s">
        <v>1514</v>
      </c>
      <c r="I553" s="9">
        <v>45323</v>
      </c>
    </row>
    <row r="554" spans="1:9" ht="27" x14ac:dyDescent="0.15">
      <c r="A554" s="6">
        <v>553</v>
      </c>
      <c r="B554" s="7" t="s">
        <v>9</v>
      </c>
      <c r="C554" s="8">
        <v>1886</v>
      </c>
      <c r="D554" s="9">
        <v>45418</v>
      </c>
      <c r="E554" s="13" t="str">
        <f>+HYPERLINK("http://trademark.i-assist.jp/data/china/image_1886th/76732738.pdf","76732738")</f>
        <v>76732738</v>
      </c>
      <c r="F554" s="7" t="s">
        <v>1515</v>
      </c>
      <c r="G554" s="7" t="s">
        <v>1516</v>
      </c>
      <c r="H554" s="7" t="s">
        <v>1517</v>
      </c>
      <c r="I554" s="9">
        <v>45323</v>
      </c>
    </row>
    <row r="555" spans="1:9" x14ac:dyDescent="0.15">
      <c r="A555" s="6">
        <v>554</v>
      </c>
      <c r="B555" s="7" t="s">
        <v>9</v>
      </c>
      <c r="C555" s="8">
        <v>1886</v>
      </c>
      <c r="D555" s="9">
        <v>45418</v>
      </c>
      <c r="E555" s="13" t="str">
        <f>+HYPERLINK("http://trademark.i-assist.jp/data/china/image_1886th/76732831.pdf","76732831")</f>
        <v>76732831</v>
      </c>
      <c r="F555" s="7" t="s">
        <v>1518</v>
      </c>
      <c r="G555" s="7" t="s">
        <v>830</v>
      </c>
      <c r="H555" s="7" t="s">
        <v>831</v>
      </c>
      <c r="I555" s="9">
        <v>45323</v>
      </c>
    </row>
    <row r="556" spans="1:9" x14ac:dyDescent="0.15">
      <c r="A556" s="6">
        <v>555</v>
      </c>
      <c r="B556" s="7" t="s">
        <v>9</v>
      </c>
      <c r="C556" s="8">
        <v>1886</v>
      </c>
      <c r="D556" s="9">
        <v>45418</v>
      </c>
      <c r="E556" s="13" t="str">
        <f>+HYPERLINK("http://trademark.i-assist.jp/data/china/image_1886th/76733411.pdf","76733411")</f>
        <v>76733411</v>
      </c>
      <c r="F556" s="7" t="s">
        <v>1519</v>
      </c>
      <c r="G556" s="7" t="s">
        <v>1520</v>
      </c>
      <c r="H556" s="7" t="s">
        <v>1521</v>
      </c>
      <c r="I556" s="9">
        <v>45323</v>
      </c>
    </row>
    <row r="557" spans="1:9" x14ac:dyDescent="0.15">
      <c r="A557" s="6">
        <v>556</v>
      </c>
      <c r="B557" s="7" t="s">
        <v>9</v>
      </c>
      <c r="C557" s="8">
        <v>1886</v>
      </c>
      <c r="D557" s="9">
        <v>45418</v>
      </c>
      <c r="E557" s="13" t="str">
        <f>+HYPERLINK("http://trademark.i-assist.jp/data/china/image_1886th/76733952.pdf","76733952")</f>
        <v>76733952</v>
      </c>
      <c r="F557" s="7" t="s">
        <v>1522</v>
      </c>
      <c r="G557" s="7" t="s">
        <v>1523</v>
      </c>
      <c r="H557" s="7" t="s">
        <v>1524</v>
      </c>
      <c r="I557" s="9">
        <v>45323</v>
      </c>
    </row>
    <row r="558" spans="1:9" x14ac:dyDescent="0.15">
      <c r="A558" s="6">
        <v>557</v>
      </c>
      <c r="B558" s="7" t="s">
        <v>9</v>
      </c>
      <c r="C558" s="8">
        <v>1886</v>
      </c>
      <c r="D558" s="9">
        <v>45418</v>
      </c>
      <c r="E558" s="13" t="str">
        <f>+HYPERLINK("http://trademark.i-assist.jp/data/china/image_1886th/76733956.pdf","76733956")</f>
        <v>76733956</v>
      </c>
      <c r="F558" s="7" t="s">
        <v>1525</v>
      </c>
      <c r="G558" s="7" t="s">
        <v>219</v>
      </c>
      <c r="H558" s="7" t="s">
        <v>1526</v>
      </c>
      <c r="I558" s="9">
        <v>45323</v>
      </c>
    </row>
    <row r="559" spans="1:9" x14ac:dyDescent="0.15">
      <c r="A559" s="6">
        <v>558</v>
      </c>
      <c r="B559" s="7" t="s">
        <v>9</v>
      </c>
      <c r="C559" s="8">
        <v>1886</v>
      </c>
      <c r="D559" s="9">
        <v>45418</v>
      </c>
      <c r="E559" s="13" t="str">
        <f>+HYPERLINK("http://trademark.i-assist.jp/data/china/image_1886th/76734008.pdf","76734008")</f>
        <v>76734008</v>
      </c>
      <c r="F559" s="7" t="s">
        <v>1527</v>
      </c>
      <c r="G559" s="7" t="s">
        <v>1465</v>
      </c>
      <c r="H559" s="7" t="s">
        <v>740</v>
      </c>
      <c r="I559" s="9">
        <v>45323</v>
      </c>
    </row>
    <row r="560" spans="1:9" x14ac:dyDescent="0.15">
      <c r="A560" s="6">
        <v>559</v>
      </c>
      <c r="B560" s="7" t="s">
        <v>9</v>
      </c>
      <c r="C560" s="8">
        <v>1886</v>
      </c>
      <c r="D560" s="9">
        <v>45418</v>
      </c>
      <c r="E560" s="13" t="str">
        <f>+HYPERLINK("http://trademark.i-assist.jp/data/china/image_1886th/76734290.pdf","76734290")</f>
        <v>76734290</v>
      </c>
      <c r="F560" s="7" t="s">
        <v>1528</v>
      </c>
      <c r="G560" s="7" t="s">
        <v>1529</v>
      </c>
      <c r="H560" s="7" t="s">
        <v>1530</v>
      </c>
      <c r="I560" s="9">
        <v>45323</v>
      </c>
    </row>
    <row r="561" spans="1:9" ht="27" x14ac:dyDescent="0.15">
      <c r="A561" s="6">
        <v>560</v>
      </c>
      <c r="B561" s="7" t="s">
        <v>9</v>
      </c>
      <c r="C561" s="8">
        <v>1886</v>
      </c>
      <c r="D561" s="9">
        <v>45418</v>
      </c>
      <c r="E561" s="13" t="str">
        <f>+HYPERLINK("http://trademark.i-assist.jp/data/china/image_1886th/76734320.pdf","76734320")</f>
        <v>76734320</v>
      </c>
      <c r="F561" s="7" t="s">
        <v>1531</v>
      </c>
      <c r="G561" s="7" t="s">
        <v>1532</v>
      </c>
      <c r="H561" s="7" t="s">
        <v>1533</v>
      </c>
      <c r="I561" s="9">
        <v>45323</v>
      </c>
    </row>
    <row r="562" spans="1:9" x14ac:dyDescent="0.15">
      <c r="A562" s="6">
        <v>561</v>
      </c>
      <c r="B562" s="7" t="s">
        <v>9</v>
      </c>
      <c r="C562" s="8">
        <v>1886</v>
      </c>
      <c r="D562" s="9">
        <v>45418</v>
      </c>
      <c r="E562" s="13" t="str">
        <f>+HYPERLINK("http://trademark.i-assist.jp/data/china/image_1886th/76734706.pdf","76734706")</f>
        <v>76734706</v>
      </c>
      <c r="F562" s="7" t="s">
        <v>1534</v>
      </c>
      <c r="G562" s="7" t="s">
        <v>1535</v>
      </c>
      <c r="H562" s="7" t="s">
        <v>1536</v>
      </c>
      <c r="I562" s="9">
        <v>45323</v>
      </c>
    </row>
    <row r="563" spans="1:9" x14ac:dyDescent="0.15">
      <c r="A563" s="6">
        <v>562</v>
      </c>
      <c r="B563" s="7" t="s">
        <v>9</v>
      </c>
      <c r="C563" s="8">
        <v>1886</v>
      </c>
      <c r="D563" s="9">
        <v>45418</v>
      </c>
      <c r="E563" s="13" t="str">
        <f>+HYPERLINK("http://trademark.i-assist.jp/data/china/image_1886th/76735073.pdf","76735073")</f>
        <v>76735073</v>
      </c>
      <c r="F563" s="7" t="s">
        <v>1537</v>
      </c>
      <c r="G563" s="7" t="s">
        <v>1538</v>
      </c>
      <c r="H563" s="7" t="s">
        <v>1539</v>
      </c>
      <c r="I563" s="9">
        <v>45323</v>
      </c>
    </row>
    <row r="564" spans="1:9" ht="27" x14ac:dyDescent="0.15">
      <c r="A564" s="6">
        <v>563</v>
      </c>
      <c r="B564" s="7" t="s">
        <v>9</v>
      </c>
      <c r="C564" s="8">
        <v>1886</v>
      </c>
      <c r="D564" s="9">
        <v>45418</v>
      </c>
      <c r="E564" s="13" t="str">
        <f>+HYPERLINK("http://trademark.i-assist.jp/data/china/image_1886th/76735269.pdf","76735269")</f>
        <v>76735269</v>
      </c>
      <c r="F564" s="7" t="s">
        <v>1540</v>
      </c>
      <c r="G564" s="7" t="s">
        <v>1541</v>
      </c>
      <c r="H564" s="7" t="s">
        <v>1542</v>
      </c>
      <c r="I564" s="9">
        <v>45323</v>
      </c>
    </row>
    <row r="565" spans="1:9" x14ac:dyDescent="0.15">
      <c r="A565" s="6">
        <v>564</v>
      </c>
      <c r="B565" s="7" t="s">
        <v>9</v>
      </c>
      <c r="C565" s="8">
        <v>1886</v>
      </c>
      <c r="D565" s="9">
        <v>45418</v>
      </c>
      <c r="E565" s="13" t="str">
        <f>+HYPERLINK("http://trademark.i-assist.jp/data/china/image_1886th/76735439.pdf","76735439")</f>
        <v>76735439</v>
      </c>
      <c r="F565" s="7" t="s">
        <v>1543</v>
      </c>
      <c r="G565" s="7" t="s">
        <v>1510</v>
      </c>
      <c r="H565" s="7" t="s">
        <v>1511</v>
      </c>
      <c r="I565" s="9">
        <v>45323</v>
      </c>
    </row>
    <row r="566" spans="1:9" x14ac:dyDescent="0.15">
      <c r="A566" s="6">
        <v>565</v>
      </c>
      <c r="B566" s="7" t="s">
        <v>9</v>
      </c>
      <c r="C566" s="8">
        <v>1886</v>
      </c>
      <c r="D566" s="9">
        <v>45418</v>
      </c>
      <c r="E566" s="13" t="str">
        <f>+HYPERLINK("http://trademark.i-assist.jp/data/china/image_1886th/76735871.pdf","76735871")</f>
        <v>76735871</v>
      </c>
      <c r="F566" s="7" t="s">
        <v>1544</v>
      </c>
      <c r="G566" s="7" t="s">
        <v>1545</v>
      </c>
      <c r="H566" s="7" t="s">
        <v>1546</v>
      </c>
      <c r="I566" s="9">
        <v>45323</v>
      </c>
    </row>
    <row r="567" spans="1:9" x14ac:dyDescent="0.15">
      <c r="A567" s="6">
        <v>566</v>
      </c>
      <c r="B567" s="7" t="s">
        <v>9</v>
      </c>
      <c r="C567" s="8">
        <v>1886</v>
      </c>
      <c r="D567" s="9">
        <v>45418</v>
      </c>
      <c r="E567" s="13" t="str">
        <f>+HYPERLINK("http://trademark.i-assist.jp/data/china/image_1886th/76736812.pdf","76736812")</f>
        <v>76736812</v>
      </c>
      <c r="F567" s="7" t="s">
        <v>1547</v>
      </c>
      <c r="G567" s="7" t="s">
        <v>1510</v>
      </c>
      <c r="H567" s="7" t="s">
        <v>1548</v>
      </c>
      <c r="I567" s="9">
        <v>45323</v>
      </c>
    </row>
    <row r="568" spans="1:9" x14ac:dyDescent="0.15">
      <c r="A568" s="6">
        <v>567</v>
      </c>
      <c r="B568" s="7" t="s">
        <v>9</v>
      </c>
      <c r="C568" s="8">
        <v>1886</v>
      </c>
      <c r="D568" s="9">
        <v>45418</v>
      </c>
      <c r="E568" s="13" t="str">
        <f>+HYPERLINK("http://trademark.i-assist.jp/data/china/image_1886th/76737006.pdf","76737006")</f>
        <v>76737006</v>
      </c>
      <c r="F568" s="7" t="s">
        <v>1549</v>
      </c>
      <c r="G568" s="7" t="s">
        <v>1550</v>
      </c>
      <c r="H568" s="7" t="s">
        <v>1551</v>
      </c>
      <c r="I568" s="9">
        <v>45323</v>
      </c>
    </row>
    <row r="569" spans="1:9" x14ac:dyDescent="0.15">
      <c r="A569" s="6">
        <v>568</v>
      </c>
      <c r="B569" s="7" t="s">
        <v>9</v>
      </c>
      <c r="C569" s="8">
        <v>1886</v>
      </c>
      <c r="D569" s="9">
        <v>45418</v>
      </c>
      <c r="E569" s="13" t="str">
        <f>+HYPERLINK("http://trademark.i-assist.jp/data/china/image_1886th/76738382.pdf","76738382")</f>
        <v>76738382</v>
      </c>
      <c r="F569" s="7" t="s">
        <v>1552</v>
      </c>
      <c r="G569" s="7" t="s">
        <v>1553</v>
      </c>
      <c r="H569" s="7" t="s">
        <v>1554</v>
      </c>
      <c r="I569" s="9">
        <v>45323</v>
      </c>
    </row>
    <row r="570" spans="1:9" x14ac:dyDescent="0.15">
      <c r="A570" s="6">
        <v>569</v>
      </c>
      <c r="B570" s="7" t="s">
        <v>9</v>
      </c>
      <c r="C570" s="8">
        <v>1886</v>
      </c>
      <c r="D570" s="9">
        <v>45418</v>
      </c>
      <c r="E570" s="13" t="str">
        <f>+HYPERLINK("http://trademark.i-assist.jp/data/china/image_1886th/76738783.pdf","76738783")</f>
        <v>76738783</v>
      </c>
      <c r="F570" s="7" t="s">
        <v>1555</v>
      </c>
      <c r="G570" s="7" t="s">
        <v>1556</v>
      </c>
      <c r="H570" s="7" t="s">
        <v>1557</v>
      </c>
      <c r="I570" s="9">
        <v>45323</v>
      </c>
    </row>
    <row r="571" spans="1:9" ht="27" x14ac:dyDescent="0.15">
      <c r="A571" s="6">
        <v>570</v>
      </c>
      <c r="B571" s="7" t="s">
        <v>9</v>
      </c>
      <c r="C571" s="8">
        <v>1886</v>
      </c>
      <c r="D571" s="9">
        <v>45418</v>
      </c>
      <c r="E571" s="13" t="str">
        <f>+HYPERLINK("http://trademark.i-assist.jp/data/china/image_1886th/76738938.pdf","76738938")</f>
        <v>76738938</v>
      </c>
      <c r="F571" s="7" t="s">
        <v>1558</v>
      </c>
      <c r="G571" s="7" t="s">
        <v>1559</v>
      </c>
      <c r="H571" s="7" t="s">
        <v>1560</v>
      </c>
      <c r="I571" s="9">
        <v>45323</v>
      </c>
    </row>
    <row r="572" spans="1:9" x14ac:dyDescent="0.15">
      <c r="A572" s="6">
        <v>571</v>
      </c>
      <c r="B572" s="7" t="s">
        <v>9</v>
      </c>
      <c r="C572" s="8">
        <v>1886</v>
      </c>
      <c r="D572" s="9">
        <v>45418</v>
      </c>
      <c r="E572" s="13" t="str">
        <f>+HYPERLINK("http://trademark.i-assist.jp/data/china/image_1886th/76739333.pdf","76739333")</f>
        <v>76739333</v>
      </c>
      <c r="F572" s="7" t="s">
        <v>1561</v>
      </c>
      <c r="G572" s="7" t="s">
        <v>1562</v>
      </c>
      <c r="H572" s="7" t="s">
        <v>1563</v>
      </c>
      <c r="I572" s="9">
        <v>45323</v>
      </c>
    </row>
    <row r="573" spans="1:9" ht="27" x14ac:dyDescent="0.15">
      <c r="A573" s="6">
        <v>572</v>
      </c>
      <c r="B573" s="7" t="s">
        <v>9</v>
      </c>
      <c r="C573" s="8">
        <v>1886</v>
      </c>
      <c r="D573" s="9">
        <v>45418</v>
      </c>
      <c r="E573" s="13" t="str">
        <f>+HYPERLINK("http://trademark.i-assist.jp/data/china/image_1886th/76739441.pdf","76739441")</f>
        <v>76739441</v>
      </c>
      <c r="F573" s="7" t="s">
        <v>1564</v>
      </c>
      <c r="G573" s="7" t="s">
        <v>1565</v>
      </c>
      <c r="H573" s="7" t="s">
        <v>1566</v>
      </c>
      <c r="I573" s="9">
        <v>45323</v>
      </c>
    </row>
    <row r="574" spans="1:9" ht="27" x14ac:dyDescent="0.15">
      <c r="A574" s="6">
        <v>573</v>
      </c>
      <c r="B574" s="7" t="s">
        <v>9</v>
      </c>
      <c r="C574" s="8">
        <v>1886</v>
      </c>
      <c r="D574" s="9">
        <v>45418</v>
      </c>
      <c r="E574" s="13" t="str">
        <f>+HYPERLINK("http://trademark.i-assist.jp/data/china/image_1886th/76739462.pdf","76739462")</f>
        <v>76739462</v>
      </c>
      <c r="F574" s="7" t="s">
        <v>1567</v>
      </c>
      <c r="G574" s="7" t="s">
        <v>1568</v>
      </c>
      <c r="H574" s="7" t="s">
        <v>1569</v>
      </c>
      <c r="I574" s="9">
        <v>45323</v>
      </c>
    </row>
    <row r="575" spans="1:9" x14ac:dyDescent="0.15">
      <c r="A575" s="6">
        <v>574</v>
      </c>
      <c r="B575" s="7" t="s">
        <v>9</v>
      </c>
      <c r="C575" s="8">
        <v>1886</v>
      </c>
      <c r="D575" s="9">
        <v>45418</v>
      </c>
      <c r="E575" s="13" t="str">
        <f>+HYPERLINK("http://trademark.i-assist.jp/data/china/image_1886th/76739887.pdf","76739887")</f>
        <v>76739887</v>
      </c>
      <c r="F575" s="7" t="s">
        <v>1570</v>
      </c>
      <c r="G575" s="7" t="s">
        <v>1571</v>
      </c>
      <c r="H575" s="7" t="s">
        <v>1572</v>
      </c>
      <c r="I575" s="9">
        <v>45323</v>
      </c>
    </row>
    <row r="576" spans="1:9" ht="27" x14ac:dyDescent="0.15">
      <c r="A576" s="6">
        <v>575</v>
      </c>
      <c r="B576" s="7" t="s">
        <v>9</v>
      </c>
      <c r="C576" s="8">
        <v>1886</v>
      </c>
      <c r="D576" s="9">
        <v>45418</v>
      </c>
      <c r="E576" s="13" t="str">
        <f>+HYPERLINK("http://trademark.i-assist.jp/data/china/image_1886th/76739961.pdf","76739961")</f>
        <v>76739961</v>
      </c>
      <c r="F576" s="7" t="s">
        <v>1573</v>
      </c>
      <c r="G576" s="7" t="s">
        <v>1541</v>
      </c>
      <c r="H576" s="7" t="s">
        <v>1574</v>
      </c>
      <c r="I576" s="9">
        <v>45323</v>
      </c>
    </row>
    <row r="577" spans="1:9" x14ac:dyDescent="0.15">
      <c r="A577" s="6">
        <v>576</v>
      </c>
      <c r="B577" s="7" t="s">
        <v>9</v>
      </c>
      <c r="C577" s="8">
        <v>1886</v>
      </c>
      <c r="D577" s="9">
        <v>45418</v>
      </c>
      <c r="E577" s="13" t="str">
        <f>+HYPERLINK("http://trademark.i-assist.jp/data/china/image_1886th/76740250.pdf","76740250")</f>
        <v>76740250</v>
      </c>
      <c r="F577" s="7" t="s">
        <v>1575</v>
      </c>
      <c r="G577" s="7" t="s">
        <v>1576</v>
      </c>
      <c r="H577" s="7" t="s">
        <v>1577</v>
      </c>
      <c r="I577" s="9">
        <v>45323</v>
      </c>
    </row>
    <row r="578" spans="1:9" x14ac:dyDescent="0.15">
      <c r="A578" s="6">
        <v>577</v>
      </c>
      <c r="B578" s="7" t="s">
        <v>9</v>
      </c>
      <c r="C578" s="8">
        <v>1886</v>
      </c>
      <c r="D578" s="9">
        <v>45418</v>
      </c>
      <c r="E578" s="13" t="str">
        <f>+HYPERLINK("http://trademark.i-assist.jp/data/china/image_1886th/76740337.pdf","76740337")</f>
        <v>76740337</v>
      </c>
      <c r="F578" s="7" t="s">
        <v>1578</v>
      </c>
      <c r="G578" s="7" t="s">
        <v>1579</v>
      </c>
      <c r="H578" s="7" t="s">
        <v>1580</v>
      </c>
      <c r="I578" s="9">
        <v>45323</v>
      </c>
    </row>
    <row r="579" spans="1:9" x14ac:dyDescent="0.15">
      <c r="A579" s="6">
        <v>578</v>
      </c>
      <c r="B579" s="7" t="s">
        <v>9</v>
      </c>
      <c r="C579" s="8">
        <v>1886</v>
      </c>
      <c r="D579" s="9">
        <v>45418</v>
      </c>
      <c r="E579" s="13" t="str">
        <f>+HYPERLINK("http://trademark.i-assist.jp/data/china/image_1886th/76741230.pdf","76741230")</f>
        <v>76741230</v>
      </c>
      <c r="F579" s="7" t="s">
        <v>1581</v>
      </c>
      <c r="G579" s="7" t="s">
        <v>1582</v>
      </c>
      <c r="H579" s="7" t="s">
        <v>1583</v>
      </c>
      <c r="I579" s="9">
        <v>45323</v>
      </c>
    </row>
    <row r="580" spans="1:9" x14ac:dyDescent="0.15">
      <c r="A580" s="6">
        <v>579</v>
      </c>
      <c r="B580" s="7" t="s">
        <v>9</v>
      </c>
      <c r="C580" s="8">
        <v>1886</v>
      </c>
      <c r="D580" s="9">
        <v>45418</v>
      </c>
      <c r="E580" s="13" t="str">
        <f>+HYPERLINK("http://trademark.i-assist.jp/data/china/image_1886th/76743056.pdf","76743056")</f>
        <v>76743056</v>
      </c>
      <c r="F580" s="7" t="s">
        <v>1584</v>
      </c>
      <c r="G580" s="7" t="s">
        <v>1585</v>
      </c>
      <c r="H580" s="7" t="s">
        <v>1586</v>
      </c>
      <c r="I580" s="9">
        <v>45324</v>
      </c>
    </row>
    <row r="581" spans="1:9" x14ac:dyDescent="0.15">
      <c r="A581" s="6">
        <v>580</v>
      </c>
      <c r="B581" s="7" t="s">
        <v>9</v>
      </c>
      <c r="C581" s="8">
        <v>1886</v>
      </c>
      <c r="D581" s="9">
        <v>45418</v>
      </c>
      <c r="E581" s="13" t="str">
        <f>+HYPERLINK("http://trademark.i-assist.jp/data/china/image_1886th/76744414.pdf","76744414")</f>
        <v>76744414</v>
      </c>
      <c r="F581" s="7" t="s">
        <v>1587</v>
      </c>
      <c r="G581" s="7" t="s">
        <v>1588</v>
      </c>
      <c r="H581" s="7" t="s">
        <v>1589</v>
      </c>
      <c r="I581" s="9">
        <v>45324</v>
      </c>
    </row>
    <row r="582" spans="1:9" x14ac:dyDescent="0.15">
      <c r="A582" s="6">
        <v>581</v>
      </c>
      <c r="B582" s="7" t="s">
        <v>9</v>
      </c>
      <c r="C582" s="8">
        <v>1886</v>
      </c>
      <c r="D582" s="9">
        <v>45418</v>
      </c>
      <c r="E582" s="13" t="str">
        <f>+HYPERLINK("http://trademark.i-assist.jp/data/china/image_1886th/76745190.pdf","76745190")</f>
        <v>76745190</v>
      </c>
      <c r="F582" s="7" t="s">
        <v>1590</v>
      </c>
      <c r="G582" s="7" t="s">
        <v>989</v>
      </c>
      <c r="H582" s="7" t="s">
        <v>1591</v>
      </c>
      <c r="I582" s="9">
        <v>45324</v>
      </c>
    </row>
    <row r="583" spans="1:9" x14ac:dyDescent="0.15">
      <c r="A583" s="6">
        <v>582</v>
      </c>
      <c r="B583" s="7" t="s">
        <v>9</v>
      </c>
      <c r="C583" s="8">
        <v>1886</v>
      </c>
      <c r="D583" s="9">
        <v>45418</v>
      </c>
      <c r="E583" s="13" t="str">
        <f>+HYPERLINK("http://trademark.i-assist.jp/data/china/image_1886th/76745215.pdf","76745215")</f>
        <v>76745215</v>
      </c>
      <c r="F583" s="7" t="s">
        <v>1592</v>
      </c>
      <c r="G583" s="7" t="s">
        <v>989</v>
      </c>
      <c r="H583" s="7" t="s">
        <v>1593</v>
      </c>
      <c r="I583" s="9">
        <v>45324</v>
      </c>
    </row>
    <row r="584" spans="1:9" x14ac:dyDescent="0.15">
      <c r="A584" s="6">
        <v>583</v>
      </c>
      <c r="B584" s="7" t="s">
        <v>9</v>
      </c>
      <c r="C584" s="8">
        <v>1886</v>
      </c>
      <c r="D584" s="9">
        <v>45418</v>
      </c>
      <c r="E584" s="13" t="str">
        <f>+HYPERLINK("http://trademark.i-assist.jp/data/china/image_1886th/76745236.pdf","76745236")</f>
        <v>76745236</v>
      </c>
      <c r="F584" s="7" t="s">
        <v>1594</v>
      </c>
      <c r="G584" s="7" t="s">
        <v>1595</v>
      </c>
      <c r="H584" s="7" t="s">
        <v>1596</v>
      </c>
      <c r="I584" s="9">
        <v>45324</v>
      </c>
    </row>
    <row r="585" spans="1:9" x14ac:dyDescent="0.15">
      <c r="A585" s="6">
        <v>584</v>
      </c>
      <c r="B585" s="7" t="s">
        <v>9</v>
      </c>
      <c r="C585" s="8">
        <v>1886</v>
      </c>
      <c r="D585" s="9">
        <v>45418</v>
      </c>
      <c r="E585" s="13" t="str">
        <f>+HYPERLINK("http://trademark.i-assist.jp/data/china/image_1886th/76745779.pdf","76745779")</f>
        <v>76745779</v>
      </c>
      <c r="F585" s="7" t="s">
        <v>1597</v>
      </c>
      <c r="G585" s="7" t="s">
        <v>1598</v>
      </c>
      <c r="H585" s="7" t="s">
        <v>1599</v>
      </c>
      <c r="I585" s="9">
        <v>45324</v>
      </c>
    </row>
    <row r="586" spans="1:9" x14ac:dyDescent="0.15">
      <c r="A586" s="6">
        <v>585</v>
      </c>
      <c r="B586" s="7" t="s">
        <v>9</v>
      </c>
      <c r="C586" s="8">
        <v>1886</v>
      </c>
      <c r="D586" s="9">
        <v>45418</v>
      </c>
      <c r="E586" s="13" t="str">
        <f>+HYPERLINK("http://trademark.i-assist.jp/data/china/image_1886th/76747684.pdf","76747684")</f>
        <v>76747684</v>
      </c>
      <c r="F586" s="7" t="s">
        <v>1600</v>
      </c>
      <c r="G586" s="7" t="s">
        <v>1601</v>
      </c>
      <c r="H586" s="7" t="s">
        <v>1602</v>
      </c>
      <c r="I586" s="9">
        <v>45324</v>
      </c>
    </row>
    <row r="587" spans="1:9" x14ac:dyDescent="0.15">
      <c r="A587" s="6">
        <v>586</v>
      </c>
      <c r="B587" s="7" t="s">
        <v>9</v>
      </c>
      <c r="C587" s="8">
        <v>1886</v>
      </c>
      <c r="D587" s="9">
        <v>45418</v>
      </c>
      <c r="E587" s="13" t="str">
        <f>+HYPERLINK("http://trademark.i-assist.jp/data/china/image_1886th/76747748.pdf","76747748")</f>
        <v>76747748</v>
      </c>
      <c r="F587" s="7" t="s">
        <v>1603</v>
      </c>
      <c r="G587" s="7" t="s">
        <v>1604</v>
      </c>
      <c r="H587" s="7" t="s">
        <v>1605</v>
      </c>
      <c r="I587" s="9">
        <v>45324</v>
      </c>
    </row>
    <row r="588" spans="1:9" x14ac:dyDescent="0.15">
      <c r="A588" s="6">
        <v>587</v>
      </c>
      <c r="B588" s="7" t="s">
        <v>9</v>
      </c>
      <c r="C588" s="8">
        <v>1886</v>
      </c>
      <c r="D588" s="9">
        <v>45418</v>
      </c>
      <c r="E588" s="13" t="str">
        <f>+HYPERLINK("http://trademark.i-assist.jp/data/china/image_1886th/76747760.pdf","76747760")</f>
        <v>76747760</v>
      </c>
      <c r="F588" s="7" t="s">
        <v>1606</v>
      </c>
      <c r="G588" s="7" t="s">
        <v>1607</v>
      </c>
      <c r="H588" s="7" t="s">
        <v>1608</v>
      </c>
      <c r="I588" s="9">
        <v>45324</v>
      </c>
    </row>
    <row r="589" spans="1:9" x14ac:dyDescent="0.15">
      <c r="A589" s="6">
        <v>588</v>
      </c>
      <c r="B589" s="7" t="s">
        <v>9</v>
      </c>
      <c r="C589" s="8">
        <v>1886</v>
      </c>
      <c r="D589" s="9">
        <v>45418</v>
      </c>
      <c r="E589" s="13" t="str">
        <f>+HYPERLINK("http://trademark.i-assist.jp/data/china/image_1886th/76748056.pdf","76748056")</f>
        <v>76748056</v>
      </c>
      <c r="F589" s="7" t="s">
        <v>33</v>
      </c>
      <c r="G589" s="7" t="s">
        <v>1609</v>
      </c>
      <c r="H589" s="7" t="s">
        <v>1610</v>
      </c>
      <c r="I589" s="9">
        <v>45324</v>
      </c>
    </row>
    <row r="590" spans="1:9" x14ac:dyDescent="0.15">
      <c r="A590" s="6">
        <v>589</v>
      </c>
      <c r="B590" s="7" t="s">
        <v>9</v>
      </c>
      <c r="C590" s="8">
        <v>1886</v>
      </c>
      <c r="D590" s="9">
        <v>45418</v>
      </c>
      <c r="E590" s="13" t="str">
        <f>+HYPERLINK("http://trademark.i-assist.jp/data/china/image_1886th/76748065.pdf","76748065")</f>
        <v>76748065</v>
      </c>
      <c r="F590" s="7" t="s">
        <v>1611</v>
      </c>
      <c r="G590" s="7" t="s">
        <v>1612</v>
      </c>
      <c r="H590" s="7" t="s">
        <v>1613</v>
      </c>
      <c r="I590" s="9">
        <v>45324</v>
      </c>
    </row>
    <row r="591" spans="1:9" x14ac:dyDescent="0.15">
      <c r="A591" s="6">
        <v>590</v>
      </c>
      <c r="B591" s="7" t="s">
        <v>9</v>
      </c>
      <c r="C591" s="8">
        <v>1886</v>
      </c>
      <c r="D591" s="9">
        <v>45418</v>
      </c>
      <c r="E591" s="13" t="str">
        <f>+HYPERLINK("http://trademark.i-assist.jp/data/china/image_1886th/76748355.pdf","76748355")</f>
        <v>76748355</v>
      </c>
      <c r="F591" s="7" t="s">
        <v>1614</v>
      </c>
      <c r="G591" s="7" t="s">
        <v>1615</v>
      </c>
      <c r="H591" s="7" t="s">
        <v>1616</v>
      </c>
      <c r="I591" s="9">
        <v>45324</v>
      </c>
    </row>
    <row r="592" spans="1:9" x14ac:dyDescent="0.15">
      <c r="A592" s="6">
        <v>591</v>
      </c>
      <c r="B592" s="7" t="s">
        <v>9</v>
      </c>
      <c r="C592" s="8">
        <v>1886</v>
      </c>
      <c r="D592" s="9">
        <v>45418</v>
      </c>
      <c r="E592" s="13" t="str">
        <f>+HYPERLINK("http://trademark.i-assist.jp/data/china/image_1886th/76748797.pdf","76748797")</f>
        <v>76748797</v>
      </c>
      <c r="F592" s="7" t="s">
        <v>1617</v>
      </c>
      <c r="G592" s="7" t="s">
        <v>1618</v>
      </c>
      <c r="H592" s="7" t="s">
        <v>1619</v>
      </c>
      <c r="I592" s="9">
        <v>45324</v>
      </c>
    </row>
    <row r="593" spans="1:9" x14ac:dyDescent="0.15">
      <c r="A593" s="6">
        <v>592</v>
      </c>
      <c r="B593" s="7" t="s">
        <v>9</v>
      </c>
      <c r="C593" s="8">
        <v>1886</v>
      </c>
      <c r="D593" s="9">
        <v>45418</v>
      </c>
      <c r="E593" s="13" t="str">
        <f>+HYPERLINK("http://trademark.i-assist.jp/data/china/image_1886th/76749759.pdf","76749759")</f>
        <v>76749759</v>
      </c>
      <c r="F593" s="7" t="s">
        <v>1620</v>
      </c>
      <c r="G593" s="7" t="s">
        <v>1621</v>
      </c>
      <c r="H593" s="7" t="s">
        <v>1622</v>
      </c>
      <c r="I593" s="9">
        <v>45324</v>
      </c>
    </row>
    <row r="594" spans="1:9" ht="27" x14ac:dyDescent="0.15">
      <c r="A594" s="6">
        <v>593</v>
      </c>
      <c r="B594" s="7" t="s">
        <v>9</v>
      </c>
      <c r="C594" s="8">
        <v>1886</v>
      </c>
      <c r="D594" s="9">
        <v>45418</v>
      </c>
      <c r="E594" s="13" t="str">
        <f>+HYPERLINK("http://trademark.i-assist.jp/data/china/image_1886th/76750235.pdf","76750235")</f>
        <v>76750235</v>
      </c>
      <c r="F594" s="7" t="s">
        <v>1623</v>
      </c>
      <c r="G594" s="7" t="s">
        <v>1624</v>
      </c>
      <c r="H594" s="7" t="s">
        <v>1625</v>
      </c>
      <c r="I594" s="9">
        <v>45324</v>
      </c>
    </row>
    <row r="595" spans="1:9" x14ac:dyDescent="0.15">
      <c r="A595" s="6">
        <v>594</v>
      </c>
      <c r="B595" s="7" t="s">
        <v>9</v>
      </c>
      <c r="C595" s="8">
        <v>1886</v>
      </c>
      <c r="D595" s="9">
        <v>45418</v>
      </c>
      <c r="E595" s="13" t="str">
        <f>+HYPERLINK("http://trademark.i-assist.jp/data/china/image_1886th/76750299.pdf","76750299")</f>
        <v>76750299</v>
      </c>
      <c r="F595" s="7" t="s">
        <v>1626</v>
      </c>
      <c r="G595" s="7" t="s">
        <v>1627</v>
      </c>
      <c r="H595" s="7" t="s">
        <v>1628</v>
      </c>
      <c r="I595" s="9">
        <v>45324</v>
      </c>
    </row>
    <row r="596" spans="1:9" x14ac:dyDescent="0.15">
      <c r="A596" s="6">
        <v>595</v>
      </c>
      <c r="B596" s="7" t="s">
        <v>9</v>
      </c>
      <c r="C596" s="8">
        <v>1886</v>
      </c>
      <c r="D596" s="9">
        <v>45418</v>
      </c>
      <c r="E596" s="13" t="str">
        <f>+HYPERLINK("http://trademark.i-assist.jp/data/china/image_1886th/76750311.pdf","76750311")</f>
        <v>76750311</v>
      </c>
      <c r="F596" s="7" t="s">
        <v>1629</v>
      </c>
      <c r="G596" s="7" t="s">
        <v>1630</v>
      </c>
      <c r="H596" s="7" t="s">
        <v>1631</v>
      </c>
      <c r="I596" s="9">
        <v>45324</v>
      </c>
    </row>
    <row r="597" spans="1:9" x14ac:dyDescent="0.15">
      <c r="A597" s="6">
        <v>596</v>
      </c>
      <c r="B597" s="7" t="s">
        <v>9</v>
      </c>
      <c r="C597" s="8">
        <v>1886</v>
      </c>
      <c r="D597" s="9">
        <v>45418</v>
      </c>
      <c r="E597" s="13" t="str">
        <f>+HYPERLINK("http://trademark.i-assist.jp/data/china/image_1886th/76750417.pdf","76750417")</f>
        <v>76750417</v>
      </c>
      <c r="F597" s="7" t="s">
        <v>1632</v>
      </c>
      <c r="G597" s="7" t="s">
        <v>1633</v>
      </c>
      <c r="H597" s="7" t="s">
        <v>1634</v>
      </c>
      <c r="I597" s="9">
        <v>45324</v>
      </c>
    </row>
    <row r="598" spans="1:9" x14ac:dyDescent="0.15">
      <c r="A598" s="6">
        <v>597</v>
      </c>
      <c r="B598" s="7" t="s">
        <v>9</v>
      </c>
      <c r="C598" s="8">
        <v>1886</v>
      </c>
      <c r="D598" s="9">
        <v>45418</v>
      </c>
      <c r="E598" s="13" t="str">
        <f>+HYPERLINK("http://trademark.i-assist.jp/data/china/image_1886th/76750490.pdf","76750490")</f>
        <v>76750490</v>
      </c>
      <c r="F598" s="7" t="s">
        <v>1635</v>
      </c>
      <c r="G598" s="7" t="s">
        <v>1636</v>
      </c>
      <c r="H598" s="7" t="s">
        <v>1637</v>
      </c>
      <c r="I598" s="9">
        <v>45324</v>
      </c>
    </row>
    <row r="599" spans="1:9" x14ac:dyDescent="0.15">
      <c r="A599" s="6">
        <v>598</v>
      </c>
      <c r="B599" s="7" t="s">
        <v>9</v>
      </c>
      <c r="C599" s="8">
        <v>1886</v>
      </c>
      <c r="D599" s="9">
        <v>45418</v>
      </c>
      <c r="E599" s="13" t="str">
        <f>+HYPERLINK("http://trademark.i-assist.jp/data/china/image_1886th/76751930.pdf","76751930")</f>
        <v>76751930</v>
      </c>
      <c r="F599" s="7" t="s">
        <v>33</v>
      </c>
      <c r="G599" s="7" t="s">
        <v>1638</v>
      </c>
      <c r="H599" s="7" t="s">
        <v>1639</v>
      </c>
      <c r="I599" s="9">
        <v>45324</v>
      </c>
    </row>
    <row r="600" spans="1:9" x14ac:dyDescent="0.15">
      <c r="A600" s="6">
        <v>599</v>
      </c>
      <c r="B600" s="7" t="s">
        <v>9</v>
      </c>
      <c r="C600" s="8">
        <v>1886</v>
      </c>
      <c r="D600" s="9">
        <v>45418</v>
      </c>
      <c r="E600" s="13" t="str">
        <f>+HYPERLINK("http://trademark.i-assist.jp/data/china/image_1886th/76752063.pdf","76752063")</f>
        <v>76752063</v>
      </c>
      <c r="F600" s="7" t="s">
        <v>1640</v>
      </c>
      <c r="G600" s="7" t="s">
        <v>1641</v>
      </c>
      <c r="H600" s="7" t="s">
        <v>1642</v>
      </c>
      <c r="I600" s="9">
        <v>45324</v>
      </c>
    </row>
    <row r="601" spans="1:9" x14ac:dyDescent="0.15">
      <c r="A601" s="6">
        <v>600</v>
      </c>
      <c r="B601" s="7" t="s">
        <v>9</v>
      </c>
      <c r="C601" s="8">
        <v>1886</v>
      </c>
      <c r="D601" s="9">
        <v>45418</v>
      </c>
      <c r="E601" s="13" t="str">
        <f>+HYPERLINK("http://trademark.i-assist.jp/data/china/image_1886th/76752086.pdf","76752086")</f>
        <v>76752086</v>
      </c>
      <c r="F601" s="7" t="s">
        <v>1643</v>
      </c>
      <c r="G601" s="7" t="s">
        <v>1644</v>
      </c>
      <c r="H601" s="7" t="s">
        <v>1645</v>
      </c>
      <c r="I601" s="9">
        <v>45324</v>
      </c>
    </row>
    <row r="602" spans="1:9" x14ac:dyDescent="0.15">
      <c r="A602" s="6">
        <v>601</v>
      </c>
      <c r="B602" s="7" t="s">
        <v>9</v>
      </c>
      <c r="C602" s="8">
        <v>1886</v>
      </c>
      <c r="D602" s="9">
        <v>45418</v>
      </c>
      <c r="E602" s="13" t="str">
        <f>+HYPERLINK("http://trademark.i-assist.jp/data/china/image_1886th/76752248.pdf","76752248")</f>
        <v>76752248</v>
      </c>
      <c r="F602" s="7" t="s">
        <v>1646</v>
      </c>
      <c r="G602" s="7" t="s">
        <v>1647</v>
      </c>
      <c r="H602" s="7" t="s">
        <v>1648</v>
      </c>
      <c r="I602" s="9">
        <v>45324</v>
      </c>
    </row>
    <row r="603" spans="1:9" x14ac:dyDescent="0.15">
      <c r="A603" s="6">
        <v>602</v>
      </c>
      <c r="B603" s="7" t="s">
        <v>9</v>
      </c>
      <c r="C603" s="8">
        <v>1886</v>
      </c>
      <c r="D603" s="9">
        <v>45418</v>
      </c>
      <c r="E603" s="13" t="str">
        <f>+HYPERLINK("http://trademark.i-assist.jp/data/china/image_1886th/76752380.pdf","76752380")</f>
        <v>76752380</v>
      </c>
      <c r="F603" s="7" t="s">
        <v>1649</v>
      </c>
      <c r="G603" s="7" t="s">
        <v>1650</v>
      </c>
      <c r="H603" s="7" t="s">
        <v>1651</v>
      </c>
      <c r="I603" s="9">
        <v>45324</v>
      </c>
    </row>
    <row r="604" spans="1:9" x14ac:dyDescent="0.15">
      <c r="A604" s="6">
        <v>603</v>
      </c>
      <c r="B604" s="7" t="s">
        <v>9</v>
      </c>
      <c r="C604" s="8">
        <v>1886</v>
      </c>
      <c r="D604" s="9">
        <v>45418</v>
      </c>
      <c r="E604" s="13" t="str">
        <f>+HYPERLINK("http://trademark.i-assist.jp/data/china/image_1886th/76752387.pdf","76752387")</f>
        <v>76752387</v>
      </c>
      <c r="F604" s="7" t="s">
        <v>1652</v>
      </c>
      <c r="G604" s="7" t="s">
        <v>1653</v>
      </c>
      <c r="H604" s="7" t="s">
        <v>1654</v>
      </c>
      <c r="I604" s="9">
        <v>45324</v>
      </c>
    </row>
    <row r="605" spans="1:9" x14ac:dyDescent="0.15">
      <c r="A605" s="6">
        <v>604</v>
      </c>
      <c r="B605" s="7" t="s">
        <v>9</v>
      </c>
      <c r="C605" s="8">
        <v>1886</v>
      </c>
      <c r="D605" s="9">
        <v>45418</v>
      </c>
      <c r="E605" s="13" t="str">
        <f>+HYPERLINK("http://trademark.i-assist.jp/data/china/image_1886th/76752555.pdf","76752555")</f>
        <v>76752555</v>
      </c>
      <c r="F605" s="7" t="s">
        <v>1655</v>
      </c>
      <c r="G605" s="7" t="s">
        <v>1656</v>
      </c>
      <c r="H605" s="7" t="s">
        <v>1657</v>
      </c>
      <c r="I605" s="9">
        <v>45324</v>
      </c>
    </row>
    <row r="606" spans="1:9" x14ac:dyDescent="0.15">
      <c r="A606" s="6">
        <v>605</v>
      </c>
      <c r="B606" s="7" t="s">
        <v>9</v>
      </c>
      <c r="C606" s="8">
        <v>1886</v>
      </c>
      <c r="D606" s="9">
        <v>45418</v>
      </c>
      <c r="E606" s="13" t="str">
        <f>+HYPERLINK("http://trademark.i-assist.jp/data/china/image_1886th/76752767.pdf","76752767")</f>
        <v>76752767</v>
      </c>
      <c r="F606" s="7" t="s">
        <v>1658</v>
      </c>
      <c r="G606" s="7" t="s">
        <v>989</v>
      </c>
      <c r="H606" s="7" t="s">
        <v>1593</v>
      </c>
      <c r="I606" s="9">
        <v>45324</v>
      </c>
    </row>
    <row r="607" spans="1:9" x14ac:dyDescent="0.15">
      <c r="A607" s="6">
        <v>606</v>
      </c>
      <c r="B607" s="7" t="s">
        <v>9</v>
      </c>
      <c r="C607" s="8">
        <v>1886</v>
      </c>
      <c r="D607" s="9">
        <v>45418</v>
      </c>
      <c r="E607" s="13" t="str">
        <f>+HYPERLINK("http://trademark.i-assist.jp/data/china/image_1886th/76752904.pdf","76752904")</f>
        <v>76752904</v>
      </c>
      <c r="F607" s="7" t="s">
        <v>1659</v>
      </c>
      <c r="G607" s="7" t="s">
        <v>1659</v>
      </c>
      <c r="H607" s="7" t="s">
        <v>1660</v>
      </c>
      <c r="I607" s="9">
        <v>45324</v>
      </c>
    </row>
    <row r="608" spans="1:9" x14ac:dyDescent="0.15">
      <c r="A608" s="6">
        <v>607</v>
      </c>
      <c r="B608" s="7" t="s">
        <v>9</v>
      </c>
      <c r="C608" s="8">
        <v>1886</v>
      </c>
      <c r="D608" s="9">
        <v>45418</v>
      </c>
      <c r="E608" s="13" t="str">
        <f>+HYPERLINK("http://trademark.i-assist.jp/data/china/image_1886th/76753025.pdf","76753025")</f>
        <v>76753025</v>
      </c>
      <c r="F608" s="7" t="s">
        <v>1661</v>
      </c>
      <c r="G608" s="7" t="s">
        <v>1662</v>
      </c>
      <c r="H608" s="7" t="s">
        <v>1663</v>
      </c>
      <c r="I608" s="9">
        <v>45324</v>
      </c>
    </row>
    <row r="609" spans="1:9" ht="27" x14ac:dyDescent="0.15">
      <c r="A609" s="6">
        <v>608</v>
      </c>
      <c r="B609" s="7" t="s">
        <v>9</v>
      </c>
      <c r="C609" s="8">
        <v>1886</v>
      </c>
      <c r="D609" s="9">
        <v>45418</v>
      </c>
      <c r="E609" s="13" t="str">
        <f>+HYPERLINK("http://trademark.i-assist.jp/data/china/image_1886th/76753333.pdf","76753333")</f>
        <v>76753333</v>
      </c>
      <c r="F609" s="7" t="s">
        <v>1664</v>
      </c>
      <c r="G609" s="7" t="s">
        <v>1665</v>
      </c>
      <c r="H609" s="7" t="s">
        <v>1666</v>
      </c>
      <c r="I609" s="9">
        <v>45324</v>
      </c>
    </row>
    <row r="610" spans="1:9" x14ac:dyDescent="0.15">
      <c r="A610" s="6">
        <v>609</v>
      </c>
      <c r="B610" s="7" t="s">
        <v>9</v>
      </c>
      <c r="C610" s="8">
        <v>1886</v>
      </c>
      <c r="D610" s="9">
        <v>45418</v>
      </c>
      <c r="E610" s="13" t="str">
        <f>+HYPERLINK("http://trademark.i-assist.jp/data/china/image_1886th/76753567.pdf","76753567")</f>
        <v>76753567</v>
      </c>
      <c r="F610" s="7" t="s">
        <v>1667</v>
      </c>
      <c r="G610" s="7" t="s">
        <v>1668</v>
      </c>
      <c r="H610" s="7" t="s">
        <v>1669</v>
      </c>
      <c r="I610" s="9">
        <v>45324</v>
      </c>
    </row>
    <row r="611" spans="1:9" x14ac:dyDescent="0.15">
      <c r="A611" s="6">
        <v>610</v>
      </c>
      <c r="B611" s="7" t="s">
        <v>9</v>
      </c>
      <c r="C611" s="8">
        <v>1886</v>
      </c>
      <c r="D611" s="9">
        <v>45418</v>
      </c>
      <c r="E611" s="13" t="str">
        <f>+HYPERLINK("http://trademark.i-assist.jp/data/china/image_1886th/76753574.pdf","76753574")</f>
        <v>76753574</v>
      </c>
      <c r="F611" s="7" t="s">
        <v>1670</v>
      </c>
      <c r="G611" s="7" t="s">
        <v>1671</v>
      </c>
      <c r="H611" s="7" t="s">
        <v>1672</v>
      </c>
      <c r="I611" s="9">
        <v>45324</v>
      </c>
    </row>
    <row r="612" spans="1:9" x14ac:dyDescent="0.15">
      <c r="A612" s="6">
        <v>611</v>
      </c>
      <c r="B612" s="7" t="s">
        <v>9</v>
      </c>
      <c r="C612" s="8">
        <v>1886</v>
      </c>
      <c r="D612" s="9">
        <v>45418</v>
      </c>
      <c r="E612" s="13" t="str">
        <f>+HYPERLINK("http://trademark.i-assist.jp/data/china/image_1886th/76754127.pdf","76754127")</f>
        <v>76754127</v>
      </c>
      <c r="F612" s="7" t="s">
        <v>1673</v>
      </c>
      <c r="G612" s="7" t="s">
        <v>1674</v>
      </c>
      <c r="H612" s="7" t="s">
        <v>1586</v>
      </c>
      <c r="I612" s="9">
        <v>45324</v>
      </c>
    </row>
    <row r="613" spans="1:9" x14ac:dyDescent="0.15">
      <c r="A613" s="6">
        <v>612</v>
      </c>
      <c r="B613" s="7" t="s">
        <v>9</v>
      </c>
      <c r="C613" s="8">
        <v>1886</v>
      </c>
      <c r="D613" s="9">
        <v>45418</v>
      </c>
      <c r="E613" s="13" t="str">
        <f>+HYPERLINK("http://trademark.i-assist.jp/data/china/image_1886th/76754492.pdf","76754492")</f>
        <v>76754492</v>
      </c>
      <c r="F613" s="7" t="s">
        <v>1675</v>
      </c>
      <c r="G613" s="7" t="s">
        <v>1676</v>
      </c>
      <c r="H613" s="7" t="s">
        <v>1677</v>
      </c>
      <c r="I613" s="9">
        <v>45324</v>
      </c>
    </row>
    <row r="614" spans="1:9" x14ac:dyDescent="0.15">
      <c r="A614" s="6">
        <v>613</v>
      </c>
      <c r="B614" s="7" t="s">
        <v>9</v>
      </c>
      <c r="C614" s="8">
        <v>1886</v>
      </c>
      <c r="D614" s="9">
        <v>45418</v>
      </c>
      <c r="E614" s="13" t="str">
        <f>+HYPERLINK("http://trademark.i-assist.jp/data/china/image_1886th/76754669.pdf","76754669")</f>
        <v>76754669</v>
      </c>
      <c r="F614" s="7" t="s">
        <v>1678</v>
      </c>
      <c r="G614" s="7" t="s">
        <v>1679</v>
      </c>
      <c r="H614" s="7" t="s">
        <v>1680</v>
      </c>
      <c r="I614" s="9">
        <v>45324</v>
      </c>
    </row>
    <row r="615" spans="1:9" x14ac:dyDescent="0.15">
      <c r="A615" s="6">
        <v>614</v>
      </c>
      <c r="B615" s="7" t="s">
        <v>9</v>
      </c>
      <c r="C615" s="8">
        <v>1886</v>
      </c>
      <c r="D615" s="9">
        <v>45418</v>
      </c>
      <c r="E615" s="13" t="str">
        <f>+HYPERLINK("http://trademark.i-assist.jp/data/china/image_1886th/76754876.pdf","76754876")</f>
        <v>76754876</v>
      </c>
      <c r="F615" s="7" t="s">
        <v>1681</v>
      </c>
      <c r="G615" s="7" t="s">
        <v>1585</v>
      </c>
      <c r="H615" s="7" t="s">
        <v>1682</v>
      </c>
      <c r="I615" s="9">
        <v>45324</v>
      </c>
    </row>
    <row r="616" spans="1:9" x14ac:dyDescent="0.15">
      <c r="A616" s="6">
        <v>615</v>
      </c>
      <c r="B616" s="7" t="s">
        <v>9</v>
      </c>
      <c r="C616" s="8">
        <v>1886</v>
      </c>
      <c r="D616" s="9">
        <v>45418</v>
      </c>
      <c r="E616" s="13" t="str">
        <f>+HYPERLINK("http://trademark.i-assist.jp/data/china/image_1886th/76755404.pdf","76755404")</f>
        <v>76755404</v>
      </c>
      <c r="F616" s="7" t="s">
        <v>1683</v>
      </c>
      <c r="G616" s="7" t="s">
        <v>1684</v>
      </c>
      <c r="H616" s="7" t="s">
        <v>1685</v>
      </c>
      <c r="I616" s="9">
        <v>45324</v>
      </c>
    </row>
    <row r="617" spans="1:9" x14ac:dyDescent="0.15">
      <c r="A617" s="6">
        <v>616</v>
      </c>
      <c r="B617" s="7" t="s">
        <v>9</v>
      </c>
      <c r="C617" s="8">
        <v>1886</v>
      </c>
      <c r="D617" s="9">
        <v>45418</v>
      </c>
      <c r="E617" s="13" t="str">
        <f>+HYPERLINK("http://trademark.i-assist.jp/data/china/image_1886th/76755759.pdf","76755759")</f>
        <v>76755759</v>
      </c>
      <c r="F617" s="7" t="s">
        <v>1686</v>
      </c>
      <c r="G617" s="7" t="s">
        <v>1687</v>
      </c>
      <c r="H617" s="7" t="s">
        <v>1688</v>
      </c>
      <c r="I617" s="9">
        <v>45324</v>
      </c>
    </row>
    <row r="618" spans="1:9" x14ac:dyDescent="0.15">
      <c r="A618" s="6">
        <v>617</v>
      </c>
      <c r="B618" s="7" t="s">
        <v>9</v>
      </c>
      <c r="C618" s="8">
        <v>1886</v>
      </c>
      <c r="D618" s="9">
        <v>45418</v>
      </c>
      <c r="E618" s="13" t="str">
        <f>+HYPERLINK("http://trademark.i-assist.jp/data/china/image_1886th/76756302.pdf","76756302")</f>
        <v>76756302</v>
      </c>
      <c r="F618" s="7" t="s">
        <v>1689</v>
      </c>
      <c r="G618" s="7" t="s">
        <v>1653</v>
      </c>
      <c r="H618" s="7" t="s">
        <v>1654</v>
      </c>
      <c r="I618" s="9">
        <v>45324</v>
      </c>
    </row>
    <row r="619" spans="1:9" x14ac:dyDescent="0.15">
      <c r="A619" s="6">
        <v>618</v>
      </c>
      <c r="B619" s="7" t="s">
        <v>9</v>
      </c>
      <c r="C619" s="8">
        <v>1886</v>
      </c>
      <c r="D619" s="9">
        <v>45418</v>
      </c>
      <c r="E619" s="13" t="str">
        <f>+HYPERLINK("http://trademark.i-assist.jp/data/china/image_1886th/76758481.pdf","76758481")</f>
        <v>76758481</v>
      </c>
      <c r="F619" s="7" t="s">
        <v>1690</v>
      </c>
      <c r="G619" s="7" t="s">
        <v>1691</v>
      </c>
      <c r="H619" s="7" t="s">
        <v>1692</v>
      </c>
      <c r="I619" s="9">
        <v>45324</v>
      </c>
    </row>
    <row r="620" spans="1:9" x14ac:dyDescent="0.15">
      <c r="A620" s="6">
        <v>619</v>
      </c>
      <c r="B620" s="7" t="s">
        <v>9</v>
      </c>
      <c r="C620" s="8">
        <v>1886</v>
      </c>
      <c r="D620" s="9">
        <v>45418</v>
      </c>
      <c r="E620" s="13" t="str">
        <f>+HYPERLINK("http://trademark.i-assist.jp/data/china/image_1886th/76758535.pdf","76758535")</f>
        <v>76758535</v>
      </c>
      <c r="F620" s="7" t="s">
        <v>1693</v>
      </c>
      <c r="G620" s="7" t="s">
        <v>1694</v>
      </c>
      <c r="H620" s="7" t="s">
        <v>1695</v>
      </c>
      <c r="I620" s="9">
        <v>45324</v>
      </c>
    </row>
    <row r="621" spans="1:9" x14ac:dyDescent="0.15">
      <c r="A621" s="6">
        <v>620</v>
      </c>
      <c r="B621" s="7" t="s">
        <v>9</v>
      </c>
      <c r="C621" s="8">
        <v>1886</v>
      </c>
      <c r="D621" s="9">
        <v>45418</v>
      </c>
      <c r="E621" s="13" t="str">
        <f>+HYPERLINK("http://trademark.i-assist.jp/data/china/image_1886th/76758787.pdf","76758787")</f>
        <v>76758787</v>
      </c>
      <c r="F621" s="7" t="s">
        <v>1696</v>
      </c>
      <c r="G621" s="7" t="s">
        <v>1697</v>
      </c>
      <c r="H621" s="7" t="s">
        <v>1698</v>
      </c>
      <c r="I621" s="9">
        <v>45324</v>
      </c>
    </row>
    <row r="622" spans="1:9" x14ac:dyDescent="0.15">
      <c r="A622" s="6">
        <v>621</v>
      </c>
      <c r="B622" s="7" t="s">
        <v>9</v>
      </c>
      <c r="C622" s="8">
        <v>1886</v>
      </c>
      <c r="D622" s="9">
        <v>45418</v>
      </c>
      <c r="E622" s="13" t="str">
        <f>+HYPERLINK("http://trademark.i-assist.jp/data/china/image_1886th/76759050.pdf","76759050")</f>
        <v>76759050</v>
      </c>
      <c r="F622" s="7" t="s">
        <v>1699</v>
      </c>
      <c r="G622" s="7" t="s">
        <v>1700</v>
      </c>
      <c r="H622" s="7" t="s">
        <v>1701</v>
      </c>
      <c r="I622" s="9">
        <v>45324</v>
      </c>
    </row>
    <row r="623" spans="1:9" x14ac:dyDescent="0.15">
      <c r="A623" s="6">
        <v>622</v>
      </c>
      <c r="B623" s="7" t="s">
        <v>9</v>
      </c>
      <c r="C623" s="8">
        <v>1886</v>
      </c>
      <c r="D623" s="9">
        <v>45418</v>
      </c>
      <c r="E623" s="13" t="str">
        <f>+HYPERLINK("http://trademark.i-assist.jp/data/china/image_1886th/76759798.pdf","76759798")</f>
        <v>76759798</v>
      </c>
      <c r="F623" s="7" t="s">
        <v>1702</v>
      </c>
      <c r="G623" s="7" t="s">
        <v>1703</v>
      </c>
      <c r="H623" s="7" t="s">
        <v>1704</v>
      </c>
      <c r="I623" s="9">
        <v>45324</v>
      </c>
    </row>
    <row r="624" spans="1:9" x14ac:dyDescent="0.15">
      <c r="A624" s="6">
        <v>623</v>
      </c>
      <c r="B624" s="7" t="s">
        <v>9</v>
      </c>
      <c r="C624" s="8">
        <v>1886</v>
      </c>
      <c r="D624" s="9">
        <v>45418</v>
      </c>
      <c r="E624" s="13" t="str">
        <f>+HYPERLINK("http://trademark.i-assist.jp/data/china/image_1886th/76759953.pdf","76759953")</f>
        <v>76759953</v>
      </c>
      <c r="F624" s="7" t="s">
        <v>1705</v>
      </c>
      <c r="G624" s="7" t="s">
        <v>1269</v>
      </c>
      <c r="H624" s="7" t="s">
        <v>1274</v>
      </c>
      <c r="I624" s="9">
        <v>45324</v>
      </c>
    </row>
    <row r="625" spans="1:9" x14ac:dyDescent="0.15">
      <c r="A625" s="6">
        <v>624</v>
      </c>
      <c r="B625" s="7" t="s">
        <v>9</v>
      </c>
      <c r="C625" s="8">
        <v>1886</v>
      </c>
      <c r="D625" s="9">
        <v>45418</v>
      </c>
      <c r="E625" s="13" t="str">
        <f>+HYPERLINK("http://trademark.i-assist.jp/data/china/image_1886th/76760362.pdf","76760362")</f>
        <v>76760362</v>
      </c>
      <c r="F625" s="7" t="s">
        <v>1706</v>
      </c>
      <c r="G625" s="7" t="s">
        <v>1707</v>
      </c>
      <c r="H625" s="7" t="s">
        <v>1708</v>
      </c>
      <c r="I625" s="9">
        <v>45324</v>
      </c>
    </row>
    <row r="626" spans="1:9" x14ac:dyDescent="0.15">
      <c r="A626" s="6">
        <v>625</v>
      </c>
      <c r="B626" s="7" t="s">
        <v>9</v>
      </c>
      <c r="C626" s="8">
        <v>1886</v>
      </c>
      <c r="D626" s="9">
        <v>45418</v>
      </c>
      <c r="E626" s="13" t="str">
        <f>+HYPERLINK("http://trademark.i-assist.jp/data/china/image_1886th/76760967.pdf","76760967")</f>
        <v>76760967</v>
      </c>
      <c r="F626" s="7" t="s">
        <v>1709</v>
      </c>
      <c r="G626" s="7" t="s">
        <v>1710</v>
      </c>
      <c r="H626" s="7" t="s">
        <v>1711</v>
      </c>
      <c r="I626" s="9">
        <v>45324</v>
      </c>
    </row>
    <row r="627" spans="1:9" x14ac:dyDescent="0.15">
      <c r="A627" s="6">
        <v>626</v>
      </c>
      <c r="B627" s="7" t="s">
        <v>9</v>
      </c>
      <c r="C627" s="8">
        <v>1886</v>
      </c>
      <c r="D627" s="9">
        <v>45418</v>
      </c>
      <c r="E627" s="13" t="str">
        <f>+HYPERLINK("http://trademark.i-assist.jp/data/china/image_1886th/76761840.pdf","76761840")</f>
        <v>76761840</v>
      </c>
      <c r="F627" s="7" t="s">
        <v>1712</v>
      </c>
      <c r="G627" s="7" t="s">
        <v>1713</v>
      </c>
      <c r="H627" s="7" t="s">
        <v>1714</v>
      </c>
      <c r="I627" s="9">
        <v>45324</v>
      </c>
    </row>
    <row r="628" spans="1:9" ht="27" x14ac:dyDescent="0.15">
      <c r="A628" s="6">
        <v>627</v>
      </c>
      <c r="B628" s="7" t="s">
        <v>9</v>
      </c>
      <c r="C628" s="8">
        <v>1886</v>
      </c>
      <c r="D628" s="9">
        <v>45418</v>
      </c>
      <c r="E628" s="13" t="str">
        <f>+HYPERLINK("http://trademark.i-assist.jp/data/china/image_1886th/76761843.pdf","76761843")</f>
        <v>76761843</v>
      </c>
      <c r="F628" s="7" t="s">
        <v>1715</v>
      </c>
      <c r="G628" s="7" t="s">
        <v>1716</v>
      </c>
      <c r="H628" s="7" t="s">
        <v>1717</v>
      </c>
      <c r="I628" s="9">
        <v>45324</v>
      </c>
    </row>
    <row r="629" spans="1:9" x14ac:dyDescent="0.15">
      <c r="A629" s="6">
        <v>628</v>
      </c>
      <c r="B629" s="7" t="s">
        <v>9</v>
      </c>
      <c r="C629" s="8">
        <v>1886</v>
      </c>
      <c r="D629" s="9">
        <v>45418</v>
      </c>
      <c r="E629" s="13" t="str">
        <f>+HYPERLINK("http://trademark.i-assist.jp/data/china/image_1886th/76761853.pdf","76761853")</f>
        <v>76761853</v>
      </c>
      <c r="F629" s="7" t="s">
        <v>1718</v>
      </c>
      <c r="G629" s="7" t="s">
        <v>1684</v>
      </c>
      <c r="H629" s="7" t="s">
        <v>586</v>
      </c>
      <c r="I629" s="9">
        <v>45324</v>
      </c>
    </row>
    <row r="630" spans="1:9" x14ac:dyDescent="0.15">
      <c r="A630" s="6">
        <v>629</v>
      </c>
      <c r="B630" s="7" t="s">
        <v>9</v>
      </c>
      <c r="C630" s="8">
        <v>1886</v>
      </c>
      <c r="D630" s="9">
        <v>45418</v>
      </c>
      <c r="E630" s="13" t="str">
        <f>+HYPERLINK("http://trademark.i-assist.jp/data/china/image_1886th/76762193.pdf","76762193")</f>
        <v>76762193</v>
      </c>
      <c r="F630" s="7" t="s">
        <v>1719</v>
      </c>
      <c r="G630" s="7" t="s">
        <v>1707</v>
      </c>
      <c r="H630" s="7" t="s">
        <v>1708</v>
      </c>
      <c r="I630" s="9">
        <v>45324</v>
      </c>
    </row>
    <row r="631" spans="1:9" x14ac:dyDescent="0.15">
      <c r="A631" s="6">
        <v>630</v>
      </c>
      <c r="B631" s="7" t="s">
        <v>9</v>
      </c>
      <c r="C631" s="8">
        <v>1886</v>
      </c>
      <c r="D631" s="9">
        <v>45418</v>
      </c>
      <c r="E631" s="13" t="str">
        <f>+HYPERLINK("http://trademark.i-assist.jp/data/china/image_1886th/76763131.pdf","76763131")</f>
        <v>76763131</v>
      </c>
      <c r="F631" s="7" t="s">
        <v>1720</v>
      </c>
      <c r="G631" s="7" t="s">
        <v>1721</v>
      </c>
      <c r="H631" s="7" t="s">
        <v>1722</v>
      </c>
      <c r="I631" s="9">
        <v>45325</v>
      </c>
    </row>
    <row r="632" spans="1:9" x14ac:dyDescent="0.15">
      <c r="A632" s="6">
        <v>631</v>
      </c>
      <c r="B632" s="7" t="s">
        <v>9</v>
      </c>
      <c r="C632" s="8">
        <v>1886</v>
      </c>
      <c r="D632" s="9">
        <v>45418</v>
      </c>
      <c r="E632" s="13" t="str">
        <f>+HYPERLINK("http://trademark.i-assist.jp/data/china/image_1886th/76763716.pdf","76763716")</f>
        <v>76763716</v>
      </c>
      <c r="F632" s="7" t="s">
        <v>1723</v>
      </c>
      <c r="G632" s="7" t="s">
        <v>1724</v>
      </c>
      <c r="H632" s="7" t="s">
        <v>1725</v>
      </c>
      <c r="I632" s="9">
        <v>45325</v>
      </c>
    </row>
    <row r="633" spans="1:9" x14ac:dyDescent="0.15">
      <c r="A633" s="6">
        <v>632</v>
      </c>
      <c r="B633" s="7" t="s">
        <v>9</v>
      </c>
      <c r="C633" s="8">
        <v>1886</v>
      </c>
      <c r="D633" s="9">
        <v>45418</v>
      </c>
      <c r="E633" s="13" t="str">
        <f>+HYPERLINK("http://trademark.i-assist.jp/data/china/image_1886th/76763897.pdf","76763897")</f>
        <v>76763897</v>
      </c>
      <c r="F633" s="7" t="s">
        <v>1726</v>
      </c>
      <c r="G633" s="7" t="s">
        <v>1727</v>
      </c>
      <c r="H633" s="7" t="s">
        <v>1728</v>
      </c>
      <c r="I633" s="9">
        <v>45325</v>
      </c>
    </row>
    <row r="634" spans="1:9" x14ac:dyDescent="0.15">
      <c r="A634" s="6">
        <v>633</v>
      </c>
      <c r="B634" s="7" t="s">
        <v>9</v>
      </c>
      <c r="C634" s="8">
        <v>1886</v>
      </c>
      <c r="D634" s="9">
        <v>45418</v>
      </c>
      <c r="E634" s="13" t="str">
        <f>+HYPERLINK("http://trademark.i-assist.jp/data/china/image_1886th/76764189.pdf","76764189")</f>
        <v>76764189</v>
      </c>
      <c r="F634" s="7" t="s">
        <v>1729</v>
      </c>
      <c r="G634" s="7" t="s">
        <v>1730</v>
      </c>
      <c r="H634" s="7" t="s">
        <v>1731</v>
      </c>
      <c r="I634" s="9">
        <v>45325</v>
      </c>
    </row>
    <row r="635" spans="1:9" ht="27" x14ac:dyDescent="0.15">
      <c r="A635" s="6">
        <v>634</v>
      </c>
      <c r="B635" s="7" t="s">
        <v>9</v>
      </c>
      <c r="C635" s="8">
        <v>1886</v>
      </c>
      <c r="D635" s="9">
        <v>45418</v>
      </c>
      <c r="E635" s="13" t="str">
        <f>+HYPERLINK("http://trademark.i-assist.jp/data/china/image_1886th/76764291.pdf","76764291")</f>
        <v>76764291</v>
      </c>
      <c r="F635" s="7" t="s">
        <v>1732</v>
      </c>
      <c r="G635" s="7" t="s">
        <v>1733</v>
      </c>
      <c r="H635" s="7" t="s">
        <v>1734</v>
      </c>
      <c r="I635" s="9">
        <v>45325</v>
      </c>
    </row>
    <row r="636" spans="1:9" x14ac:dyDescent="0.15">
      <c r="A636" s="6">
        <v>635</v>
      </c>
      <c r="B636" s="7" t="s">
        <v>9</v>
      </c>
      <c r="C636" s="8">
        <v>1886</v>
      </c>
      <c r="D636" s="9">
        <v>45418</v>
      </c>
      <c r="E636" s="13" t="str">
        <f>+HYPERLINK("http://trademark.i-assist.jp/data/china/image_1886th/76764668.pdf","76764668")</f>
        <v>76764668</v>
      </c>
      <c r="F636" s="7" t="s">
        <v>1735</v>
      </c>
      <c r="G636" s="7" t="s">
        <v>1736</v>
      </c>
      <c r="H636" s="7" t="s">
        <v>1737</v>
      </c>
      <c r="I636" s="9">
        <v>45325</v>
      </c>
    </row>
    <row r="637" spans="1:9" ht="27" x14ac:dyDescent="0.15">
      <c r="A637" s="6">
        <v>636</v>
      </c>
      <c r="B637" s="7" t="s">
        <v>9</v>
      </c>
      <c r="C637" s="8">
        <v>1886</v>
      </c>
      <c r="D637" s="9">
        <v>45418</v>
      </c>
      <c r="E637" s="13" t="str">
        <f>+HYPERLINK("http://trademark.i-assist.jp/data/china/image_1886th/76764814.pdf","76764814")</f>
        <v>76764814</v>
      </c>
      <c r="F637" s="7" t="s">
        <v>1738</v>
      </c>
      <c r="G637" s="7" t="s">
        <v>1739</v>
      </c>
      <c r="H637" s="7" t="s">
        <v>1740</v>
      </c>
      <c r="I637" s="9">
        <v>45325</v>
      </c>
    </row>
    <row r="638" spans="1:9" x14ac:dyDescent="0.15">
      <c r="A638" s="6">
        <v>637</v>
      </c>
      <c r="B638" s="7" t="s">
        <v>9</v>
      </c>
      <c r="C638" s="8">
        <v>1886</v>
      </c>
      <c r="D638" s="9">
        <v>45418</v>
      </c>
      <c r="E638" s="13" t="str">
        <f>+HYPERLINK("http://trademark.i-assist.jp/data/china/image_1886th/76765053.pdf","76765053")</f>
        <v>76765053</v>
      </c>
      <c r="F638" s="7" t="s">
        <v>33</v>
      </c>
      <c r="G638" s="7" t="s">
        <v>1741</v>
      </c>
      <c r="H638" s="7" t="s">
        <v>1742</v>
      </c>
      <c r="I638" s="9">
        <v>45325</v>
      </c>
    </row>
    <row r="639" spans="1:9" x14ac:dyDescent="0.15">
      <c r="A639" s="6">
        <v>638</v>
      </c>
      <c r="B639" s="7" t="s">
        <v>9</v>
      </c>
      <c r="C639" s="8">
        <v>1886</v>
      </c>
      <c r="D639" s="9">
        <v>45418</v>
      </c>
      <c r="E639" s="13" t="str">
        <f>+HYPERLINK("http://trademark.i-assist.jp/data/china/image_1886th/76765711.pdf","76765711")</f>
        <v>76765711</v>
      </c>
      <c r="F639" s="7" t="s">
        <v>1743</v>
      </c>
      <c r="G639" s="7" t="s">
        <v>1744</v>
      </c>
      <c r="H639" s="7" t="s">
        <v>1745</v>
      </c>
      <c r="I639" s="9">
        <v>45325</v>
      </c>
    </row>
    <row r="640" spans="1:9" x14ac:dyDescent="0.15">
      <c r="A640" s="6">
        <v>639</v>
      </c>
      <c r="B640" s="7" t="s">
        <v>9</v>
      </c>
      <c r="C640" s="8">
        <v>1886</v>
      </c>
      <c r="D640" s="9">
        <v>45418</v>
      </c>
      <c r="E640" s="13" t="str">
        <f>+HYPERLINK("http://trademark.i-assist.jp/data/china/image_1886th/76766080.pdf","76766080")</f>
        <v>76766080</v>
      </c>
      <c r="F640" s="7" t="s">
        <v>1746</v>
      </c>
      <c r="G640" s="7" t="s">
        <v>1747</v>
      </c>
      <c r="H640" s="7" t="s">
        <v>1748</v>
      </c>
      <c r="I640" s="9">
        <v>45325</v>
      </c>
    </row>
    <row r="641" spans="1:9" x14ac:dyDescent="0.15">
      <c r="A641" s="6">
        <v>640</v>
      </c>
      <c r="B641" s="7" t="s">
        <v>9</v>
      </c>
      <c r="C641" s="8">
        <v>1886</v>
      </c>
      <c r="D641" s="9">
        <v>45418</v>
      </c>
      <c r="E641" s="13" t="str">
        <f>+HYPERLINK("http://trademark.i-assist.jp/data/china/image_1886th/76766631.pdf","76766631")</f>
        <v>76766631</v>
      </c>
      <c r="F641" s="7" t="s">
        <v>1749</v>
      </c>
      <c r="G641" s="7" t="s">
        <v>1750</v>
      </c>
      <c r="H641" s="7" t="s">
        <v>1751</v>
      </c>
      <c r="I641" s="9">
        <v>45325</v>
      </c>
    </row>
    <row r="642" spans="1:9" x14ac:dyDescent="0.15">
      <c r="A642" s="6">
        <v>641</v>
      </c>
      <c r="B642" s="7" t="s">
        <v>9</v>
      </c>
      <c r="C642" s="8">
        <v>1886</v>
      </c>
      <c r="D642" s="9">
        <v>45418</v>
      </c>
      <c r="E642" s="13" t="str">
        <f>+HYPERLINK("http://trademark.i-assist.jp/data/china/image_1886th/76767133.pdf","76767133")</f>
        <v>76767133</v>
      </c>
      <c r="F642" s="7" t="s">
        <v>1752</v>
      </c>
      <c r="G642" s="7" t="s">
        <v>1753</v>
      </c>
      <c r="H642" s="7" t="s">
        <v>1754</v>
      </c>
      <c r="I642" s="9">
        <v>45325</v>
      </c>
    </row>
    <row r="643" spans="1:9" x14ac:dyDescent="0.15">
      <c r="A643" s="6">
        <v>642</v>
      </c>
      <c r="B643" s="7" t="s">
        <v>9</v>
      </c>
      <c r="C643" s="8">
        <v>1886</v>
      </c>
      <c r="D643" s="9">
        <v>45418</v>
      </c>
      <c r="E643" s="13" t="str">
        <f>+HYPERLINK("http://trademark.i-assist.jp/data/china/image_1886th/76767175.pdf","76767175")</f>
        <v>76767175</v>
      </c>
      <c r="F643" s="7" t="s">
        <v>1755</v>
      </c>
      <c r="G643" s="7" t="s">
        <v>1756</v>
      </c>
      <c r="H643" s="7" t="s">
        <v>1757</v>
      </c>
      <c r="I643" s="9">
        <v>45325</v>
      </c>
    </row>
    <row r="644" spans="1:9" x14ac:dyDescent="0.15">
      <c r="A644" s="6">
        <v>643</v>
      </c>
      <c r="B644" s="7" t="s">
        <v>9</v>
      </c>
      <c r="C644" s="8">
        <v>1886</v>
      </c>
      <c r="D644" s="9">
        <v>45418</v>
      </c>
      <c r="E644" s="13" t="str">
        <f>+HYPERLINK("http://trademark.i-assist.jp/data/china/image_1886th/76767329.pdf","76767329")</f>
        <v>76767329</v>
      </c>
      <c r="F644" s="7" t="s">
        <v>1758</v>
      </c>
      <c r="G644" s="7" t="s">
        <v>1759</v>
      </c>
      <c r="H644" s="7" t="s">
        <v>1748</v>
      </c>
      <c r="I644" s="9">
        <v>45325</v>
      </c>
    </row>
    <row r="645" spans="1:9" x14ac:dyDescent="0.15">
      <c r="A645" s="6">
        <v>644</v>
      </c>
      <c r="B645" s="7" t="s">
        <v>9</v>
      </c>
      <c r="C645" s="8">
        <v>1886</v>
      </c>
      <c r="D645" s="9">
        <v>45418</v>
      </c>
      <c r="E645" s="13" t="str">
        <f>+HYPERLINK("http://trademark.i-assist.jp/data/china/image_1886th/76768417.pdf","76768417")</f>
        <v>76768417</v>
      </c>
      <c r="F645" s="7" t="s">
        <v>1760</v>
      </c>
      <c r="G645" s="7" t="s">
        <v>1761</v>
      </c>
      <c r="H645" s="7" t="s">
        <v>1762</v>
      </c>
      <c r="I645" s="9">
        <v>45325</v>
      </c>
    </row>
    <row r="646" spans="1:9" x14ac:dyDescent="0.15">
      <c r="A646" s="6">
        <v>645</v>
      </c>
      <c r="B646" s="7" t="s">
        <v>9</v>
      </c>
      <c r="C646" s="8">
        <v>1886</v>
      </c>
      <c r="D646" s="9">
        <v>45418</v>
      </c>
      <c r="E646" s="13" t="str">
        <f>+HYPERLINK("http://trademark.i-assist.jp/data/china/image_1886th/76768525.pdf","76768525")</f>
        <v>76768525</v>
      </c>
      <c r="F646" s="7" t="s">
        <v>1763</v>
      </c>
      <c r="G646" s="7" t="s">
        <v>1764</v>
      </c>
      <c r="H646" s="7" t="s">
        <v>1765</v>
      </c>
      <c r="I646" s="9">
        <v>45325</v>
      </c>
    </row>
    <row r="647" spans="1:9" x14ac:dyDescent="0.15">
      <c r="A647" s="6">
        <v>646</v>
      </c>
      <c r="B647" s="7" t="s">
        <v>9</v>
      </c>
      <c r="C647" s="8">
        <v>1886</v>
      </c>
      <c r="D647" s="9">
        <v>45418</v>
      </c>
      <c r="E647" s="13" t="str">
        <f>+HYPERLINK("http://trademark.i-assist.jp/data/china/image_1886th/76769140.pdf","76769140")</f>
        <v>76769140</v>
      </c>
      <c r="F647" s="7" t="s">
        <v>1766</v>
      </c>
      <c r="G647" s="7" t="s">
        <v>1767</v>
      </c>
      <c r="H647" s="7" t="s">
        <v>1768</v>
      </c>
      <c r="I647" s="9">
        <v>45325</v>
      </c>
    </row>
    <row r="648" spans="1:9" ht="27" x14ac:dyDescent="0.15">
      <c r="A648" s="6">
        <v>647</v>
      </c>
      <c r="B648" s="7" t="s">
        <v>9</v>
      </c>
      <c r="C648" s="8">
        <v>1886</v>
      </c>
      <c r="D648" s="9">
        <v>45418</v>
      </c>
      <c r="E648" s="13" t="str">
        <f>+HYPERLINK("http://trademark.i-assist.jp/data/china/image_1886th/76769385.pdf","76769385")</f>
        <v>76769385</v>
      </c>
      <c r="F648" s="7" t="s">
        <v>1769</v>
      </c>
      <c r="G648" s="7" t="s">
        <v>1770</v>
      </c>
      <c r="H648" s="7" t="s">
        <v>1771</v>
      </c>
      <c r="I648" s="9">
        <v>45325</v>
      </c>
    </row>
    <row r="649" spans="1:9" x14ac:dyDescent="0.15">
      <c r="A649" s="6">
        <v>648</v>
      </c>
      <c r="B649" s="7" t="s">
        <v>9</v>
      </c>
      <c r="C649" s="8">
        <v>1886</v>
      </c>
      <c r="D649" s="9">
        <v>45418</v>
      </c>
      <c r="E649" s="13" t="str">
        <f>+HYPERLINK("http://trademark.i-assist.jp/data/china/image_1886th/76769828.pdf","76769828")</f>
        <v>76769828</v>
      </c>
      <c r="F649" s="7" t="s">
        <v>1772</v>
      </c>
      <c r="G649" s="7" t="s">
        <v>1773</v>
      </c>
      <c r="H649" s="7" t="s">
        <v>1774</v>
      </c>
      <c r="I649" s="9">
        <v>45326</v>
      </c>
    </row>
    <row r="650" spans="1:9" x14ac:dyDescent="0.15">
      <c r="A650" s="6">
        <v>649</v>
      </c>
      <c r="B650" s="7" t="s">
        <v>9</v>
      </c>
      <c r="C650" s="8">
        <v>1886</v>
      </c>
      <c r="D650" s="9">
        <v>45418</v>
      </c>
      <c r="E650" s="13" t="str">
        <f>+HYPERLINK("http://trademark.i-assist.jp/data/china/image_1886th/76770907.pdf","76770907")</f>
        <v>76770907</v>
      </c>
      <c r="F650" s="7" t="s">
        <v>1775</v>
      </c>
      <c r="G650" s="7" t="s">
        <v>1776</v>
      </c>
      <c r="H650" s="7" t="s">
        <v>1777</v>
      </c>
      <c r="I650" s="9">
        <v>45326</v>
      </c>
    </row>
    <row r="651" spans="1:9" x14ac:dyDescent="0.15">
      <c r="A651" s="6">
        <v>650</v>
      </c>
      <c r="B651" s="7" t="s">
        <v>9</v>
      </c>
      <c r="C651" s="8">
        <v>1886</v>
      </c>
      <c r="D651" s="9">
        <v>45418</v>
      </c>
      <c r="E651" s="13" t="str">
        <f>+HYPERLINK("http://trademark.i-assist.jp/data/china/image_1886th/76770932.pdf","76770932")</f>
        <v>76770932</v>
      </c>
      <c r="F651" s="7" t="s">
        <v>1778</v>
      </c>
      <c r="G651" s="7" t="s">
        <v>1779</v>
      </c>
      <c r="H651" s="7" t="s">
        <v>1780</v>
      </c>
      <c r="I651" s="9">
        <v>45326</v>
      </c>
    </row>
    <row r="652" spans="1:9" x14ac:dyDescent="0.15">
      <c r="A652" s="6">
        <v>651</v>
      </c>
      <c r="B652" s="7" t="s">
        <v>9</v>
      </c>
      <c r="C652" s="8">
        <v>1886</v>
      </c>
      <c r="D652" s="9">
        <v>45418</v>
      </c>
      <c r="E652" s="13" t="str">
        <f>+HYPERLINK("http://trademark.i-assist.jp/data/china/image_1886th/76771208.pdf","76771208")</f>
        <v>76771208</v>
      </c>
      <c r="F652" s="7" t="s">
        <v>1781</v>
      </c>
      <c r="G652" s="7" t="s">
        <v>1782</v>
      </c>
      <c r="H652" s="7" t="s">
        <v>1783</v>
      </c>
      <c r="I652" s="9">
        <v>45326</v>
      </c>
    </row>
    <row r="653" spans="1:9" x14ac:dyDescent="0.15">
      <c r="A653" s="6">
        <v>652</v>
      </c>
      <c r="B653" s="7" t="s">
        <v>9</v>
      </c>
      <c r="C653" s="8">
        <v>1886</v>
      </c>
      <c r="D653" s="9">
        <v>45418</v>
      </c>
      <c r="E653" s="13" t="str">
        <f>+HYPERLINK("http://trademark.i-assist.jp/data/china/image_1886th/76771248.pdf","76771248")</f>
        <v>76771248</v>
      </c>
      <c r="F653" s="7" t="s">
        <v>1784</v>
      </c>
      <c r="G653" s="7" t="s">
        <v>1785</v>
      </c>
      <c r="H653" s="7" t="s">
        <v>1786</v>
      </c>
      <c r="I653" s="9">
        <v>45326</v>
      </c>
    </row>
    <row r="654" spans="1:9" x14ac:dyDescent="0.15">
      <c r="A654" s="6">
        <v>653</v>
      </c>
      <c r="B654" s="7" t="s">
        <v>9</v>
      </c>
      <c r="C654" s="8">
        <v>1886</v>
      </c>
      <c r="D654" s="9">
        <v>45418</v>
      </c>
      <c r="E654" s="13" t="str">
        <f>+HYPERLINK("http://trademark.i-assist.jp/data/china/image_1886th/76771372.pdf","76771372")</f>
        <v>76771372</v>
      </c>
      <c r="F654" s="7" t="s">
        <v>1787</v>
      </c>
      <c r="G654" s="7" t="s">
        <v>1788</v>
      </c>
      <c r="H654" s="7" t="s">
        <v>1789</v>
      </c>
      <c r="I654" s="9">
        <v>45326</v>
      </c>
    </row>
    <row r="655" spans="1:9" x14ac:dyDescent="0.15">
      <c r="A655" s="6">
        <v>654</v>
      </c>
      <c r="B655" s="7" t="s">
        <v>9</v>
      </c>
      <c r="C655" s="8">
        <v>1886</v>
      </c>
      <c r="D655" s="9">
        <v>45418</v>
      </c>
      <c r="E655" s="13" t="str">
        <f>+HYPERLINK("http://trademark.i-assist.jp/data/china/image_1886th/76772168.pdf","76772168")</f>
        <v>76772168</v>
      </c>
      <c r="F655" s="7" t="s">
        <v>1790</v>
      </c>
      <c r="G655" s="7" t="s">
        <v>1791</v>
      </c>
      <c r="H655" s="7" t="s">
        <v>1792</v>
      </c>
      <c r="I655" s="9">
        <v>45326</v>
      </c>
    </row>
    <row r="656" spans="1:9" x14ac:dyDescent="0.15">
      <c r="A656" s="6">
        <v>655</v>
      </c>
      <c r="B656" s="7" t="s">
        <v>9</v>
      </c>
      <c r="C656" s="8">
        <v>1886</v>
      </c>
      <c r="D656" s="9">
        <v>45418</v>
      </c>
      <c r="E656" s="13" t="str">
        <f>+HYPERLINK("http://trademark.i-assist.jp/data/china/image_1886th/76773633.pdf","76773633")</f>
        <v>76773633</v>
      </c>
      <c r="F656" s="7" t="s">
        <v>1793</v>
      </c>
      <c r="G656" s="7" t="s">
        <v>1794</v>
      </c>
      <c r="H656" s="7" t="s">
        <v>1795</v>
      </c>
      <c r="I656" s="9">
        <v>45326</v>
      </c>
    </row>
    <row r="657" spans="1:9" ht="27" x14ac:dyDescent="0.15">
      <c r="A657" s="6">
        <v>656</v>
      </c>
      <c r="B657" s="7" t="s">
        <v>9</v>
      </c>
      <c r="C657" s="8">
        <v>1886</v>
      </c>
      <c r="D657" s="9">
        <v>45418</v>
      </c>
      <c r="E657" s="13" t="str">
        <f>+HYPERLINK("http://trademark.i-assist.jp/data/china/image_1886th/76773886.pdf","76773886")</f>
        <v>76773886</v>
      </c>
      <c r="F657" s="7" t="s">
        <v>1796</v>
      </c>
      <c r="G657" s="7" t="s">
        <v>1797</v>
      </c>
      <c r="H657" s="7" t="s">
        <v>1798</v>
      </c>
      <c r="I657" s="9">
        <v>45326</v>
      </c>
    </row>
    <row r="658" spans="1:9" x14ac:dyDescent="0.15">
      <c r="A658" s="6">
        <v>657</v>
      </c>
      <c r="B658" s="7" t="s">
        <v>9</v>
      </c>
      <c r="C658" s="8">
        <v>1886</v>
      </c>
      <c r="D658" s="9">
        <v>45418</v>
      </c>
      <c r="E658" s="13" t="str">
        <f>+HYPERLINK("http://trademark.i-assist.jp/data/china/image_1886th/76774008.pdf","76774008")</f>
        <v>76774008</v>
      </c>
      <c r="F658" s="7" t="s">
        <v>1799</v>
      </c>
      <c r="G658" s="7" t="s">
        <v>1800</v>
      </c>
      <c r="H658" s="7" t="s">
        <v>1801</v>
      </c>
      <c r="I658" s="9">
        <v>45326</v>
      </c>
    </row>
    <row r="659" spans="1:9" x14ac:dyDescent="0.15">
      <c r="A659" s="6">
        <v>658</v>
      </c>
      <c r="B659" s="7" t="s">
        <v>9</v>
      </c>
      <c r="C659" s="8">
        <v>1886</v>
      </c>
      <c r="D659" s="9">
        <v>45418</v>
      </c>
      <c r="E659" s="13" t="str">
        <f>+HYPERLINK("http://trademark.i-assist.jp/data/china/image_1886th/76774116.pdf","76774116")</f>
        <v>76774116</v>
      </c>
      <c r="F659" s="7" t="s">
        <v>1802</v>
      </c>
      <c r="G659" s="7" t="s">
        <v>1803</v>
      </c>
      <c r="H659" s="7" t="s">
        <v>1804</v>
      </c>
      <c r="I659" s="9">
        <v>45326</v>
      </c>
    </row>
    <row r="660" spans="1:9" x14ac:dyDescent="0.15">
      <c r="A660" s="6">
        <v>659</v>
      </c>
      <c r="B660" s="7" t="s">
        <v>9</v>
      </c>
      <c r="C660" s="8">
        <v>1886</v>
      </c>
      <c r="D660" s="9">
        <v>45418</v>
      </c>
      <c r="E660" s="13" t="str">
        <f>+HYPERLINK("http://trademark.i-assist.jp/data/china/image_1886th/76774142.pdf","76774142")</f>
        <v>76774142</v>
      </c>
      <c r="F660" s="7" t="s">
        <v>1805</v>
      </c>
      <c r="G660" s="7" t="s">
        <v>1806</v>
      </c>
      <c r="H660" s="7" t="s">
        <v>1807</v>
      </c>
      <c r="I660" s="9">
        <v>45326</v>
      </c>
    </row>
    <row r="661" spans="1:9" x14ac:dyDescent="0.15">
      <c r="A661" s="6">
        <v>660</v>
      </c>
      <c r="B661" s="7" t="s">
        <v>9</v>
      </c>
      <c r="C661" s="8">
        <v>1886</v>
      </c>
      <c r="D661" s="9">
        <v>45418</v>
      </c>
      <c r="E661" s="13" t="str">
        <f>+HYPERLINK("http://trademark.i-assist.jp/data/china/image_1886th/76774277.pdf","76774277")</f>
        <v>76774277</v>
      </c>
      <c r="F661" s="7" t="s">
        <v>1808</v>
      </c>
      <c r="G661" s="7" t="s">
        <v>1809</v>
      </c>
      <c r="H661" s="7" t="s">
        <v>1810</v>
      </c>
      <c r="I661" s="9">
        <v>45326</v>
      </c>
    </row>
    <row r="662" spans="1:9" x14ac:dyDescent="0.15">
      <c r="A662" s="6">
        <v>661</v>
      </c>
      <c r="B662" s="7" t="s">
        <v>9</v>
      </c>
      <c r="C662" s="8">
        <v>1886</v>
      </c>
      <c r="D662" s="9">
        <v>45418</v>
      </c>
      <c r="E662" s="13" t="str">
        <f>+HYPERLINK("http://trademark.i-assist.jp/data/china/image_1886th/76774398.pdf","76774398")</f>
        <v>76774398</v>
      </c>
      <c r="F662" s="7" t="s">
        <v>1811</v>
      </c>
      <c r="G662" s="7" t="s">
        <v>1812</v>
      </c>
      <c r="H662" s="7" t="s">
        <v>1813</v>
      </c>
      <c r="I662" s="9">
        <v>45326</v>
      </c>
    </row>
    <row r="663" spans="1:9" x14ac:dyDescent="0.15">
      <c r="A663" s="6">
        <v>662</v>
      </c>
      <c r="B663" s="7" t="s">
        <v>9</v>
      </c>
      <c r="C663" s="8">
        <v>1886</v>
      </c>
      <c r="D663" s="9">
        <v>45418</v>
      </c>
      <c r="E663" s="13" t="str">
        <f>+HYPERLINK("http://trademark.i-assist.jp/data/china/image_1886th/76774702.pdf","76774702")</f>
        <v>76774702</v>
      </c>
      <c r="F663" s="7" t="s">
        <v>1814</v>
      </c>
      <c r="G663" s="7" t="s">
        <v>1815</v>
      </c>
      <c r="H663" s="7" t="s">
        <v>1816</v>
      </c>
      <c r="I663" s="9">
        <v>45326</v>
      </c>
    </row>
    <row r="664" spans="1:9" x14ac:dyDescent="0.15">
      <c r="A664" s="6">
        <v>663</v>
      </c>
      <c r="B664" s="7" t="s">
        <v>9</v>
      </c>
      <c r="C664" s="8">
        <v>1886</v>
      </c>
      <c r="D664" s="9">
        <v>45418</v>
      </c>
      <c r="E664" s="13" t="str">
        <f>+HYPERLINK("http://trademark.i-assist.jp/data/china/image_1886th/76774809.pdf","76774809")</f>
        <v>76774809</v>
      </c>
      <c r="F664" s="7" t="s">
        <v>1817</v>
      </c>
      <c r="G664" s="7" t="s">
        <v>1818</v>
      </c>
      <c r="H664" s="7" t="s">
        <v>1819</v>
      </c>
      <c r="I664" s="9">
        <v>45326</v>
      </c>
    </row>
    <row r="665" spans="1:9" x14ac:dyDescent="0.15">
      <c r="A665" s="6">
        <v>664</v>
      </c>
      <c r="B665" s="7" t="s">
        <v>9</v>
      </c>
      <c r="C665" s="8">
        <v>1886</v>
      </c>
      <c r="D665" s="9">
        <v>45418</v>
      </c>
      <c r="E665" s="13" t="str">
        <f>+HYPERLINK("http://trademark.i-assist.jp/data/china/image_1886th/76774883.pdf","76774883")</f>
        <v>76774883</v>
      </c>
      <c r="F665" s="7" t="s">
        <v>1820</v>
      </c>
      <c r="G665" s="7" t="s">
        <v>1821</v>
      </c>
      <c r="H665" s="7" t="s">
        <v>1822</v>
      </c>
      <c r="I665" s="9">
        <v>45326</v>
      </c>
    </row>
    <row r="666" spans="1:9" x14ac:dyDescent="0.15">
      <c r="A666" s="6">
        <v>665</v>
      </c>
      <c r="B666" s="7" t="s">
        <v>9</v>
      </c>
      <c r="C666" s="8">
        <v>1886</v>
      </c>
      <c r="D666" s="9">
        <v>45418</v>
      </c>
      <c r="E666" s="13" t="str">
        <f>+HYPERLINK("http://trademark.i-assist.jp/data/china/image_1886th/76776235.pdf","76776235")</f>
        <v>76776235</v>
      </c>
      <c r="F666" s="7" t="s">
        <v>1823</v>
      </c>
      <c r="G666" s="7" t="s">
        <v>1824</v>
      </c>
      <c r="H666" s="7" t="s">
        <v>1825</v>
      </c>
      <c r="I666" s="9">
        <v>45326</v>
      </c>
    </row>
    <row r="667" spans="1:9" x14ac:dyDescent="0.15">
      <c r="A667" s="6">
        <v>666</v>
      </c>
      <c r="B667" s="7" t="s">
        <v>9</v>
      </c>
      <c r="C667" s="8">
        <v>1886</v>
      </c>
      <c r="D667" s="9">
        <v>45418</v>
      </c>
      <c r="E667" s="13" t="str">
        <f>+HYPERLINK("http://trademark.i-assist.jp/data/china/image_1886th/76776313.pdf","76776313")</f>
        <v>76776313</v>
      </c>
      <c r="F667" s="7" t="s">
        <v>1826</v>
      </c>
      <c r="G667" s="7" t="s">
        <v>1827</v>
      </c>
      <c r="H667" s="7" t="s">
        <v>1828</v>
      </c>
      <c r="I667" s="9">
        <v>45326</v>
      </c>
    </row>
    <row r="668" spans="1:9" ht="27" x14ac:dyDescent="0.15">
      <c r="A668" s="6">
        <v>667</v>
      </c>
      <c r="B668" s="7" t="s">
        <v>9</v>
      </c>
      <c r="C668" s="8">
        <v>1886</v>
      </c>
      <c r="D668" s="9">
        <v>45418</v>
      </c>
      <c r="E668" s="13" t="str">
        <f>+HYPERLINK("http://trademark.i-assist.jp/data/china/image_1886th/76776468.pdf","76776468")</f>
        <v>76776468</v>
      </c>
      <c r="F668" s="7" t="s">
        <v>1829</v>
      </c>
      <c r="G668" s="7" t="s">
        <v>1830</v>
      </c>
      <c r="H668" s="7" t="s">
        <v>1831</v>
      </c>
      <c r="I668" s="9">
        <v>45326</v>
      </c>
    </row>
    <row r="669" spans="1:9" x14ac:dyDescent="0.15">
      <c r="A669" s="6">
        <v>668</v>
      </c>
      <c r="B669" s="7" t="s">
        <v>9</v>
      </c>
      <c r="C669" s="8">
        <v>1886</v>
      </c>
      <c r="D669" s="9">
        <v>45418</v>
      </c>
      <c r="E669" s="13" t="str">
        <f>+HYPERLINK("http://trademark.i-assist.jp/data/china/image_1886th/76776508.pdf","76776508")</f>
        <v>76776508</v>
      </c>
      <c r="F669" s="7" t="s">
        <v>1832</v>
      </c>
      <c r="G669" s="7" t="s">
        <v>1833</v>
      </c>
      <c r="H669" s="7" t="s">
        <v>1834</v>
      </c>
      <c r="I669" s="9">
        <v>45326</v>
      </c>
    </row>
    <row r="670" spans="1:9" x14ac:dyDescent="0.15">
      <c r="A670" s="6">
        <v>669</v>
      </c>
      <c r="B670" s="7" t="s">
        <v>9</v>
      </c>
      <c r="C670" s="8">
        <v>1886</v>
      </c>
      <c r="D670" s="9">
        <v>45418</v>
      </c>
      <c r="E670" s="13" t="str">
        <f>+HYPERLINK("http://trademark.i-assist.jp/data/china/image_1886th/76776683.pdf","76776683")</f>
        <v>76776683</v>
      </c>
      <c r="F670" s="7" t="s">
        <v>1835</v>
      </c>
      <c r="G670" s="7" t="s">
        <v>1818</v>
      </c>
      <c r="H670" s="7" t="s">
        <v>1836</v>
      </c>
      <c r="I670" s="9">
        <v>45326</v>
      </c>
    </row>
    <row r="671" spans="1:9" x14ac:dyDescent="0.15">
      <c r="A671" s="6">
        <v>670</v>
      </c>
      <c r="B671" s="7" t="s">
        <v>9</v>
      </c>
      <c r="C671" s="8">
        <v>1886</v>
      </c>
      <c r="D671" s="9">
        <v>45418</v>
      </c>
      <c r="E671" s="13" t="str">
        <f>+HYPERLINK("http://trademark.i-assist.jp/data/china/image_1886th/76777235.pdf","76777235")</f>
        <v>76777235</v>
      </c>
      <c r="F671" s="7" t="s">
        <v>1837</v>
      </c>
      <c r="G671" s="7" t="s">
        <v>1818</v>
      </c>
      <c r="H671" s="7" t="s">
        <v>1838</v>
      </c>
      <c r="I671" s="9">
        <v>45326</v>
      </c>
    </row>
    <row r="672" spans="1:9" x14ac:dyDescent="0.15">
      <c r="A672" s="6">
        <v>671</v>
      </c>
      <c r="B672" s="7" t="s">
        <v>9</v>
      </c>
      <c r="C672" s="8">
        <v>1886</v>
      </c>
      <c r="D672" s="9">
        <v>45418</v>
      </c>
      <c r="E672" s="13" t="str">
        <f>+HYPERLINK("http://trademark.i-assist.jp/data/china/image_1886th/76777484.pdf","76777484")</f>
        <v>76777484</v>
      </c>
      <c r="F672" s="7" t="s">
        <v>1839</v>
      </c>
      <c r="G672" s="7" t="s">
        <v>1286</v>
      </c>
      <c r="H672" s="7" t="s">
        <v>1840</v>
      </c>
      <c r="I672" s="9">
        <v>45326</v>
      </c>
    </row>
    <row r="673" spans="1:9" x14ac:dyDescent="0.15">
      <c r="A673" s="6">
        <v>672</v>
      </c>
      <c r="B673" s="7" t="s">
        <v>9</v>
      </c>
      <c r="C673" s="8">
        <v>1886</v>
      </c>
      <c r="D673" s="9">
        <v>45418</v>
      </c>
      <c r="E673" s="13" t="str">
        <f>+HYPERLINK("http://trademark.i-assist.jp/data/china/image_1886th/76777598.pdf","76777598")</f>
        <v>76777598</v>
      </c>
      <c r="F673" s="7" t="s">
        <v>1841</v>
      </c>
      <c r="G673" s="7" t="s">
        <v>1842</v>
      </c>
      <c r="H673" s="7" t="s">
        <v>1843</v>
      </c>
      <c r="I673" s="9">
        <v>45326</v>
      </c>
    </row>
    <row r="674" spans="1:9" x14ac:dyDescent="0.15">
      <c r="A674" s="6">
        <v>673</v>
      </c>
      <c r="B674" s="7" t="s">
        <v>9</v>
      </c>
      <c r="C674" s="8">
        <v>1886</v>
      </c>
      <c r="D674" s="9">
        <v>45418</v>
      </c>
      <c r="E674" s="13" t="str">
        <f>+HYPERLINK("http://trademark.i-assist.jp/data/china/image_1886th/76777602.pdf","76777602")</f>
        <v>76777602</v>
      </c>
      <c r="F674" s="7" t="s">
        <v>1844</v>
      </c>
      <c r="G674" s="7" t="s">
        <v>1845</v>
      </c>
      <c r="H674" s="7" t="s">
        <v>1846</v>
      </c>
      <c r="I674" s="9">
        <v>45326</v>
      </c>
    </row>
    <row r="675" spans="1:9" ht="27" x14ac:dyDescent="0.15">
      <c r="A675" s="6">
        <v>674</v>
      </c>
      <c r="B675" s="7" t="s">
        <v>9</v>
      </c>
      <c r="C675" s="8">
        <v>1886</v>
      </c>
      <c r="D675" s="9">
        <v>45418</v>
      </c>
      <c r="E675" s="13" t="str">
        <f>+HYPERLINK("http://trademark.i-assist.jp/data/china/image_1886th/76777773.pdf","76777773")</f>
        <v>76777773</v>
      </c>
      <c r="F675" s="7" t="s">
        <v>1847</v>
      </c>
      <c r="G675" s="7" t="s">
        <v>1848</v>
      </c>
      <c r="H675" s="7" t="s">
        <v>1849</v>
      </c>
      <c r="I675" s="9">
        <v>45326</v>
      </c>
    </row>
    <row r="676" spans="1:9" x14ac:dyDescent="0.15">
      <c r="A676" s="6">
        <v>675</v>
      </c>
      <c r="B676" s="7" t="s">
        <v>9</v>
      </c>
      <c r="C676" s="8">
        <v>1886</v>
      </c>
      <c r="D676" s="9">
        <v>45418</v>
      </c>
      <c r="E676" s="13" t="str">
        <f>+HYPERLINK("http://trademark.i-assist.jp/data/china/image_1886th/76777789.pdf","76777789")</f>
        <v>76777789</v>
      </c>
      <c r="F676" s="7" t="s">
        <v>1850</v>
      </c>
      <c r="G676" s="7" t="s">
        <v>1851</v>
      </c>
      <c r="H676" s="7" t="s">
        <v>1852</v>
      </c>
      <c r="I676" s="9">
        <v>45326</v>
      </c>
    </row>
    <row r="677" spans="1:9" x14ac:dyDescent="0.15">
      <c r="A677" s="6">
        <v>676</v>
      </c>
      <c r="B677" s="7" t="s">
        <v>9</v>
      </c>
      <c r="C677" s="8">
        <v>1886</v>
      </c>
      <c r="D677" s="9">
        <v>45418</v>
      </c>
      <c r="E677" s="13" t="str">
        <f>+HYPERLINK("http://trademark.i-assist.jp/data/china/image_1886th/76778253.pdf","76778253")</f>
        <v>76778253</v>
      </c>
      <c r="F677" s="7" t="s">
        <v>1853</v>
      </c>
      <c r="G677" s="7" t="s">
        <v>1854</v>
      </c>
      <c r="H677" s="7" t="s">
        <v>1855</v>
      </c>
      <c r="I677" s="9">
        <v>45326</v>
      </c>
    </row>
    <row r="678" spans="1:9" x14ac:dyDescent="0.15">
      <c r="A678" s="6">
        <v>677</v>
      </c>
      <c r="B678" s="7" t="s">
        <v>9</v>
      </c>
      <c r="C678" s="8">
        <v>1886</v>
      </c>
      <c r="D678" s="9">
        <v>45418</v>
      </c>
      <c r="E678" s="13" t="str">
        <f>+HYPERLINK("http://trademark.i-assist.jp/data/china/image_1886th/76778379.pdf","76778379")</f>
        <v>76778379</v>
      </c>
      <c r="F678" s="7" t="s">
        <v>1856</v>
      </c>
      <c r="G678" s="7" t="s">
        <v>1857</v>
      </c>
      <c r="H678" s="7" t="s">
        <v>1858</v>
      </c>
      <c r="I678" s="9">
        <v>45326</v>
      </c>
    </row>
    <row r="679" spans="1:9" x14ac:dyDescent="0.15">
      <c r="A679" s="6">
        <v>678</v>
      </c>
      <c r="B679" s="7" t="s">
        <v>9</v>
      </c>
      <c r="C679" s="8">
        <v>1886</v>
      </c>
      <c r="D679" s="9">
        <v>45418</v>
      </c>
      <c r="E679" s="13" t="str">
        <f>+HYPERLINK("http://trademark.i-assist.jp/data/china/image_1886th/76778450.pdf","76778450")</f>
        <v>76778450</v>
      </c>
      <c r="F679" s="7" t="s">
        <v>1859</v>
      </c>
      <c r="G679" s="7" t="s">
        <v>1860</v>
      </c>
      <c r="H679" s="7" t="s">
        <v>1861</v>
      </c>
      <c r="I679" s="9">
        <v>45326</v>
      </c>
    </row>
    <row r="680" spans="1:9" x14ac:dyDescent="0.15">
      <c r="A680" s="6">
        <v>679</v>
      </c>
      <c r="B680" s="7" t="s">
        <v>9</v>
      </c>
      <c r="C680" s="8">
        <v>1886</v>
      </c>
      <c r="D680" s="9">
        <v>45418</v>
      </c>
      <c r="E680" s="13" t="str">
        <f>+HYPERLINK("http://trademark.i-assist.jp/data/china/image_1886th/76778570.pdf","76778570")</f>
        <v>76778570</v>
      </c>
      <c r="F680" s="7" t="s">
        <v>1862</v>
      </c>
      <c r="G680" s="7" t="s">
        <v>1818</v>
      </c>
      <c r="H680" s="7" t="s">
        <v>1863</v>
      </c>
      <c r="I680" s="9">
        <v>45326</v>
      </c>
    </row>
    <row r="681" spans="1:9" x14ac:dyDescent="0.15">
      <c r="A681" s="6">
        <v>680</v>
      </c>
      <c r="B681" s="7" t="s">
        <v>9</v>
      </c>
      <c r="C681" s="8">
        <v>1886</v>
      </c>
      <c r="D681" s="9">
        <v>45418</v>
      </c>
      <c r="E681" s="13" t="str">
        <f>+HYPERLINK("http://trademark.i-assist.jp/data/china/image_1886th/76779133.pdf","76779133")</f>
        <v>76779133</v>
      </c>
      <c r="F681" s="7" t="s">
        <v>1864</v>
      </c>
      <c r="G681" s="7" t="s">
        <v>1865</v>
      </c>
      <c r="H681" s="7" t="s">
        <v>1866</v>
      </c>
      <c r="I681" s="9">
        <v>45326</v>
      </c>
    </row>
    <row r="682" spans="1:9" x14ac:dyDescent="0.15">
      <c r="A682" s="6">
        <v>681</v>
      </c>
      <c r="B682" s="7" t="s">
        <v>9</v>
      </c>
      <c r="C682" s="8">
        <v>1886</v>
      </c>
      <c r="D682" s="9">
        <v>45418</v>
      </c>
      <c r="E682" s="13" t="str">
        <f>+HYPERLINK("http://trademark.i-assist.jp/data/china/image_1886th/76780024.pdf","76780024")</f>
        <v>76780024</v>
      </c>
      <c r="F682" s="7" t="s">
        <v>1867</v>
      </c>
      <c r="G682" s="7" t="s">
        <v>1868</v>
      </c>
      <c r="H682" s="7" t="s">
        <v>1869</v>
      </c>
      <c r="I682" s="9">
        <v>45326</v>
      </c>
    </row>
    <row r="683" spans="1:9" x14ac:dyDescent="0.15">
      <c r="A683" s="6">
        <v>682</v>
      </c>
      <c r="B683" s="7" t="s">
        <v>9</v>
      </c>
      <c r="C683" s="8">
        <v>1886</v>
      </c>
      <c r="D683" s="9">
        <v>45418</v>
      </c>
      <c r="E683" s="13" t="str">
        <f>+HYPERLINK("http://trademark.i-assist.jp/data/china/image_1886th/76780047.pdf","76780047")</f>
        <v>76780047</v>
      </c>
      <c r="F683" s="7" t="s">
        <v>1870</v>
      </c>
      <c r="G683" s="7" t="s">
        <v>1871</v>
      </c>
      <c r="H683" s="7" t="s">
        <v>1872</v>
      </c>
      <c r="I683" s="9">
        <v>45326</v>
      </c>
    </row>
    <row r="684" spans="1:9" ht="27" x14ac:dyDescent="0.15">
      <c r="A684" s="6">
        <v>683</v>
      </c>
      <c r="B684" s="7" t="s">
        <v>9</v>
      </c>
      <c r="C684" s="8">
        <v>1886</v>
      </c>
      <c r="D684" s="9">
        <v>45418</v>
      </c>
      <c r="E684" s="13" t="str">
        <f>+HYPERLINK("http://trademark.i-assist.jp/data/china/image_1886th/76780068.pdf","76780068")</f>
        <v>76780068</v>
      </c>
      <c r="F684" s="7" t="s">
        <v>1873</v>
      </c>
      <c r="G684" s="7" t="s">
        <v>1873</v>
      </c>
      <c r="H684" s="7" t="s">
        <v>1874</v>
      </c>
      <c r="I684" s="9">
        <v>45326</v>
      </c>
    </row>
    <row r="685" spans="1:9" ht="27" x14ac:dyDescent="0.15">
      <c r="A685" s="6">
        <v>684</v>
      </c>
      <c r="B685" s="7" t="s">
        <v>9</v>
      </c>
      <c r="C685" s="8">
        <v>1886</v>
      </c>
      <c r="D685" s="9">
        <v>45418</v>
      </c>
      <c r="E685" s="13" t="str">
        <f>+HYPERLINK("http://trademark.i-assist.jp/data/china/image_1886th/76780863.pdf","76780863")</f>
        <v>76780863</v>
      </c>
      <c r="F685" s="7" t="s">
        <v>1875</v>
      </c>
      <c r="G685" s="7" t="s">
        <v>1876</v>
      </c>
      <c r="H685" s="7" t="s">
        <v>1877</v>
      </c>
      <c r="I685" s="9">
        <v>45326</v>
      </c>
    </row>
    <row r="686" spans="1:9" x14ac:dyDescent="0.15">
      <c r="A686" s="6">
        <v>685</v>
      </c>
      <c r="B686" s="7" t="s">
        <v>9</v>
      </c>
      <c r="C686" s="8">
        <v>1886</v>
      </c>
      <c r="D686" s="9">
        <v>45418</v>
      </c>
      <c r="E686" s="13" t="str">
        <f>+HYPERLINK("http://trademark.i-assist.jp/data/china/image_1886th/76780973.pdf","76780973")</f>
        <v>76780973</v>
      </c>
      <c r="F686" s="7" t="s">
        <v>1878</v>
      </c>
      <c r="G686" s="7" t="s">
        <v>1879</v>
      </c>
      <c r="H686" s="7" t="s">
        <v>1880</v>
      </c>
      <c r="I686" s="9">
        <v>45326</v>
      </c>
    </row>
    <row r="687" spans="1:9" x14ac:dyDescent="0.15">
      <c r="A687" s="6">
        <v>686</v>
      </c>
      <c r="B687" s="7" t="s">
        <v>9</v>
      </c>
      <c r="C687" s="8">
        <v>1886</v>
      </c>
      <c r="D687" s="9">
        <v>45418</v>
      </c>
      <c r="E687" s="13" t="str">
        <f>+HYPERLINK("http://trademark.i-assist.jp/data/china/image_1886th/76781025.pdf","76781025")</f>
        <v>76781025</v>
      </c>
      <c r="F687" s="7" t="s">
        <v>1881</v>
      </c>
      <c r="G687" s="7" t="s">
        <v>1882</v>
      </c>
      <c r="H687" s="7" t="s">
        <v>1883</v>
      </c>
      <c r="I687" s="9">
        <v>45326</v>
      </c>
    </row>
    <row r="688" spans="1:9" ht="27" x14ac:dyDescent="0.15">
      <c r="A688" s="6">
        <v>687</v>
      </c>
      <c r="B688" s="7" t="s">
        <v>9</v>
      </c>
      <c r="C688" s="8">
        <v>1886</v>
      </c>
      <c r="D688" s="9">
        <v>45418</v>
      </c>
      <c r="E688" s="13" t="str">
        <f>+HYPERLINK("http://trademark.i-assist.jp/data/china/image_1886th/76781490.pdf","76781490")</f>
        <v>76781490</v>
      </c>
      <c r="F688" s="7" t="s">
        <v>33</v>
      </c>
      <c r="G688" s="7" t="s">
        <v>1884</v>
      </c>
      <c r="H688" s="7" t="s">
        <v>1885</v>
      </c>
      <c r="I688" s="9">
        <v>45326</v>
      </c>
    </row>
    <row r="689" spans="1:9" x14ac:dyDescent="0.15">
      <c r="A689" s="6">
        <v>688</v>
      </c>
      <c r="B689" s="7" t="s">
        <v>9</v>
      </c>
      <c r="C689" s="8">
        <v>1886</v>
      </c>
      <c r="D689" s="9">
        <v>45418</v>
      </c>
      <c r="E689" s="13" t="str">
        <f>+HYPERLINK("http://trademark.i-assist.jp/data/china/image_1886th/76781562.pdf","76781562")</f>
        <v>76781562</v>
      </c>
      <c r="F689" s="7" t="s">
        <v>1886</v>
      </c>
      <c r="G689" s="7" t="s">
        <v>1842</v>
      </c>
      <c r="H689" s="7" t="s">
        <v>1887</v>
      </c>
      <c r="I689" s="9">
        <v>45326</v>
      </c>
    </row>
    <row r="690" spans="1:9" x14ac:dyDescent="0.15">
      <c r="A690" s="6">
        <v>689</v>
      </c>
      <c r="B690" s="7" t="s">
        <v>9</v>
      </c>
      <c r="C690" s="8">
        <v>1886</v>
      </c>
      <c r="D690" s="9">
        <v>45418</v>
      </c>
      <c r="E690" s="13" t="str">
        <f>+HYPERLINK("http://trademark.i-assist.jp/data/china/image_1886th/76781916.pdf","76781916")</f>
        <v>76781916</v>
      </c>
      <c r="F690" s="7" t="s">
        <v>1888</v>
      </c>
      <c r="G690" s="7" t="s">
        <v>1865</v>
      </c>
      <c r="H690" s="7" t="s">
        <v>1889</v>
      </c>
      <c r="I690" s="9">
        <v>45326</v>
      </c>
    </row>
    <row r="691" spans="1:9" x14ac:dyDescent="0.15">
      <c r="A691" s="6">
        <v>690</v>
      </c>
      <c r="B691" s="7" t="s">
        <v>9</v>
      </c>
      <c r="C691" s="8">
        <v>1886</v>
      </c>
      <c r="D691" s="9">
        <v>45418</v>
      </c>
      <c r="E691" s="13" t="str">
        <f>+HYPERLINK("http://trademark.i-assist.jp/data/china/image_1886th/76783340.pdf","76783340")</f>
        <v>76783340</v>
      </c>
      <c r="F691" s="7" t="s">
        <v>1890</v>
      </c>
      <c r="G691" s="7" t="s">
        <v>1891</v>
      </c>
      <c r="H691" s="7" t="s">
        <v>1892</v>
      </c>
      <c r="I691" s="9">
        <v>45326</v>
      </c>
    </row>
    <row r="692" spans="1:9" x14ac:dyDescent="0.15">
      <c r="A692" s="6">
        <v>691</v>
      </c>
      <c r="B692" s="7" t="s">
        <v>9</v>
      </c>
      <c r="C692" s="8">
        <v>1886</v>
      </c>
      <c r="D692" s="9">
        <v>45418</v>
      </c>
      <c r="E692" s="13" t="str">
        <f>+HYPERLINK("http://trademark.i-assist.jp/data/china/image_1886th/76783382.pdf","76783382")</f>
        <v>76783382</v>
      </c>
      <c r="F692" s="7" t="s">
        <v>1893</v>
      </c>
      <c r="G692" s="7" t="s">
        <v>1894</v>
      </c>
      <c r="H692" s="7" t="s">
        <v>1895</v>
      </c>
      <c r="I692" s="9">
        <v>45326</v>
      </c>
    </row>
    <row r="693" spans="1:9" x14ac:dyDescent="0.15">
      <c r="A693" s="6">
        <v>692</v>
      </c>
      <c r="B693" s="7" t="s">
        <v>9</v>
      </c>
      <c r="C693" s="8">
        <v>1886</v>
      </c>
      <c r="D693" s="9">
        <v>45418</v>
      </c>
      <c r="E693" s="13" t="str">
        <f>+HYPERLINK("http://trademark.i-assist.jp/data/china/image_1886th/76783443.pdf","76783443")</f>
        <v>76783443</v>
      </c>
      <c r="F693" s="7" t="s">
        <v>1896</v>
      </c>
      <c r="G693" s="7" t="s">
        <v>1818</v>
      </c>
      <c r="H693" s="7" t="s">
        <v>1897</v>
      </c>
      <c r="I693" s="9">
        <v>45326</v>
      </c>
    </row>
    <row r="694" spans="1:9" x14ac:dyDescent="0.15">
      <c r="A694" s="6">
        <v>693</v>
      </c>
      <c r="B694" s="7" t="s">
        <v>9</v>
      </c>
      <c r="C694" s="8">
        <v>1886</v>
      </c>
      <c r="D694" s="9">
        <v>45418</v>
      </c>
      <c r="E694" s="13" t="str">
        <f>+HYPERLINK("http://trademark.i-assist.jp/data/china/image_1886th/76783632.pdf","76783632")</f>
        <v>76783632</v>
      </c>
      <c r="F694" s="7" t="s">
        <v>1898</v>
      </c>
      <c r="G694" s="7" t="s">
        <v>1899</v>
      </c>
      <c r="H694" s="7" t="s">
        <v>1900</v>
      </c>
      <c r="I694" s="9">
        <v>45326</v>
      </c>
    </row>
    <row r="695" spans="1:9" x14ac:dyDescent="0.15">
      <c r="A695" s="6">
        <v>694</v>
      </c>
      <c r="B695" s="7" t="s">
        <v>9</v>
      </c>
      <c r="C695" s="8">
        <v>1886</v>
      </c>
      <c r="D695" s="9">
        <v>45418</v>
      </c>
      <c r="E695" s="13" t="str">
        <f>+HYPERLINK("http://trademark.i-assist.jp/data/china/image_1886th/76783790.pdf","76783790")</f>
        <v>76783790</v>
      </c>
      <c r="F695" s="7" t="s">
        <v>1901</v>
      </c>
      <c r="G695" s="7" t="s">
        <v>1902</v>
      </c>
      <c r="H695" s="7" t="s">
        <v>1903</v>
      </c>
      <c r="I695" s="9">
        <v>45326</v>
      </c>
    </row>
    <row r="696" spans="1:9" x14ac:dyDescent="0.15">
      <c r="A696" s="6">
        <v>695</v>
      </c>
      <c r="B696" s="7" t="s">
        <v>9</v>
      </c>
      <c r="C696" s="8">
        <v>1886</v>
      </c>
      <c r="D696" s="9">
        <v>45418</v>
      </c>
      <c r="E696" s="13" t="str">
        <f>+HYPERLINK("http://trademark.i-assist.jp/data/china/image_1886th/76783993.pdf","76783993")</f>
        <v>76783993</v>
      </c>
      <c r="F696" s="7" t="s">
        <v>1904</v>
      </c>
      <c r="G696" s="7" t="s">
        <v>1818</v>
      </c>
      <c r="H696" s="7" t="s">
        <v>1905</v>
      </c>
      <c r="I696" s="9">
        <v>45326</v>
      </c>
    </row>
    <row r="697" spans="1:9" x14ac:dyDescent="0.15">
      <c r="A697" s="6">
        <v>696</v>
      </c>
      <c r="B697" s="7" t="s">
        <v>9</v>
      </c>
      <c r="C697" s="8">
        <v>1886</v>
      </c>
      <c r="D697" s="9">
        <v>45418</v>
      </c>
      <c r="E697" s="13" t="str">
        <f>+HYPERLINK("http://trademark.i-assist.jp/data/china/image_1886th/76784111.pdf","76784111")</f>
        <v>76784111</v>
      </c>
      <c r="F697" s="7" t="s">
        <v>1906</v>
      </c>
      <c r="G697" s="7" t="s">
        <v>1907</v>
      </c>
      <c r="H697" s="7" t="s">
        <v>1908</v>
      </c>
      <c r="I697" s="9">
        <v>45326</v>
      </c>
    </row>
    <row r="698" spans="1:9" x14ac:dyDescent="0.15">
      <c r="A698" s="6">
        <v>697</v>
      </c>
      <c r="B698" s="7" t="s">
        <v>9</v>
      </c>
      <c r="C698" s="8">
        <v>1886</v>
      </c>
      <c r="D698" s="9">
        <v>45418</v>
      </c>
      <c r="E698" s="13" t="str">
        <f>+HYPERLINK("http://trademark.i-assist.jp/data/china/image_1886th/76784666.pdf","76784666")</f>
        <v>76784666</v>
      </c>
      <c r="F698" s="7" t="s">
        <v>1909</v>
      </c>
      <c r="G698" s="7" t="s">
        <v>1910</v>
      </c>
      <c r="H698" s="7" t="s">
        <v>1911</v>
      </c>
      <c r="I698" s="9">
        <v>45326</v>
      </c>
    </row>
    <row r="699" spans="1:9" x14ac:dyDescent="0.15">
      <c r="A699" s="6">
        <v>698</v>
      </c>
      <c r="B699" s="7" t="s">
        <v>9</v>
      </c>
      <c r="C699" s="8">
        <v>1886</v>
      </c>
      <c r="D699" s="9">
        <v>45418</v>
      </c>
      <c r="E699" s="13" t="str">
        <f>+HYPERLINK("http://trademark.i-assist.jp/data/china/image_1886th/76784740.pdf","76784740")</f>
        <v>76784740</v>
      </c>
      <c r="F699" s="7" t="s">
        <v>1912</v>
      </c>
      <c r="G699" s="7" t="s">
        <v>1913</v>
      </c>
      <c r="H699" s="7" t="s">
        <v>1914</v>
      </c>
      <c r="I699" s="9">
        <v>45326</v>
      </c>
    </row>
    <row r="700" spans="1:9" x14ac:dyDescent="0.15">
      <c r="A700" s="6">
        <v>699</v>
      </c>
      <c r="B700" s="7" t="s">
        <v>9</v>
      </c>
      <c r="C700" s="8">
        <v>1886</v>
      </c>
      <c r="D700" s="9">
        <v>45418</v>
      </c>
      <c r="E700" s="13" t="str">
        <f>+HYPERLINK("http://trademark.i-assist.jp/data/china/image_1886th/76784849.pdf","76784849")</f>
        <v>76784849</v>
      </c>
      <c r="F700" s="7" t="s">
        <v>1915</v>
      </c>
      <c r="G700" s="7" t="s">
        <v>1916</v>
      </c>
      <c r="H700" s="7" t="s">
        <v>1917</v>
      </c>
      <c r="I700" s="9">
        <v>45326</v>
      </c>
    </row>
    <row r="701" spans="1:9" x14ac:dyDescent="0.15">
      <c r="A701" s="6">
        <v>700</v>
      </c>
      <c r="B701" s="7" t="s">
        <v>9</v>
      </c>
      <c r="C701" s="8">
        <v>1886</v>
      </c>
      <c r="D701" s="9">
        <v>45418</v>
      </c>
      <c r="E701" s="13" t="str">
        <f>+HYPERLINK("http://trademark.i-assist.jp/data/china/image_1886th/76785336.pdf","76785336")</f>
        <v>76785336</v>
      </c>
      <c r="F701" s="7" t="s">
        <v>1918</v>
      </c>
      <c r="G701" s="7" t="s">
        <v>1919</v>
      </c>
      <c r="H701" s="7" t="s">
        <v>1920</v>
      </c>
      <c r="I701" s="9">
        <v>45326</v>
      </c>
    </row>
    <row r="702" spans="1:9" x14ac:dyDescent="0.15">
      <c r="A702" s="6">
        <v>701</v>
      </c>
      <c r="B702" s="7" t="s">
        <v>9</v>
      </c>
      <c r="C702" s="8">
        <v>1886</v>
      </c>
      <c r="D702" s="9">
        <v>45418</v>
      </c>
      <c r="E702" s="13" t="str">
        <f>+HYPERLINK("http://trademark.i-assist.jp/data/china/image_1886th/76785480.pdf","76785480")</f>
        <v>76785480</v>
      </c>
      <c r="F702" s="7" t="s">
        <v>1921</v>
      </c>
      <c r="G702" s="7" t="s">
        <v>1922</v>
      </c>
      <c r="H702" s="7" t="s">
        <v>1923</v>
      </c>
      <c r="I702" s="9">
        <v>45326</v>
      </c>
    </row>
    <row r="703" spans="1:9" x14ac:dyDescent="0.15">
      <c r="A703" s="6">
        <v>702</v>
      </c>
      <c r="B703" s="7" t="s">
        <v>9</v>
      </c>
      <c r="C703" s="8">
        <v>1886</v>
      </c>
      <c r="D703" s="9">
        <v>45418</v>
      </c>
      <c r="E703" s="13" t="str">
        <f>+HYPERLINK("http://trademark.i-assist.jp/data/china/image_1886th/76785846.pdf","76785846")</f>
        <v>76785846</v>
      </c>
      <c r="F703" s="7" t="s">
        <v>1924</v>
      </c>
      <c r="G703" s="7" t="s">
        <v>1925</v>
      </c>
      <c r="H703" s="7" t="s">
        <v>1926</v>
      </c>
      <c r="I703" s="9">
        <v>45327</v>
      </c>
    </row>
    <row r="704" spans="1:9" x14ac:dyDescent="0.15">
      <c r="A704" s="6">
        <v>703</v>
      </c>
      <c r="B704" s="7" t="s">
        <v>9</v>
      </c>
      <c r="C704" s="8">
        <v>1886</v>
      </c>
      <c r="D704" s="9">
        <v>45418</v>
      </c>
      <c r="E704" s="13" t="str">
        <f>+HYPERLINK("http://trademark.i-assist.jp/data/china/image_1886th/76785902.pdf","76785902")</f>
        <v>76785902</v>
      </c>
      <c r="F704" s="7" t="s">
        <v>1927</v>
      </c>
      <c r="G704" s="7" t="s">
        <v>1928</v>
      </c>
      <c r="H704" s="7" t="s">
        <v>1929</v>
      </c>
      <c r="I704" s="9">
        <v>45327</v>
      </c>
    </row>
    <row r="705" spans="1:9" x14ac:dyDescent="0.15">
      <c r="A705" s="6">
        <v>704</v>
      </c>
      <c r="B705" s="7" t="s">
        <v>9</v>
      </c>
      <c r="C705" s="8">
        <v>1886</v>
      </c>
      <c r="D705" s="9">
        <v>45418</v>
      </c>
      <c r="E705" s="13" t="str">
        <f>+HYPERLINK("http://trademark.i-assist.jp/data/china/image_1886th/76786644.pdf","76786644")</f>
        <v>76786644</v>
      </c>
      <c r="F705" s="7" t="s">
        <v>1930</v>
      </c>
      <c r="G705" s="7" t="s">
        <v>1931</v>
      </c>
      <c r="H705" s="7" t="s">
        <v>1932</v>
      </c>
      <c r="I705" s="9">
        <v>45327</v>
      </c>
    </row>
    <row r="706" spans="1:9" ht="27" x14ac:dyDescent="0.15">
      <c r="A706" s="6">
        <v>705</v>
      </c>
      <c r="B706" s="7" t="s">
        <v>9</v>
      </c>
      <c r="C706" s="8">
        <v>1886</v>
      </c>
      <c r="D706" s="9">
        <v>45418</v>
      </c>
      <c r="E706" s="13" t="str">
        <f>+HYPERLINK("http://trademark.i-assist.jp/data/china/image_1886th/76786734.pdf","76786734")</f>
        <v>76786734</v>
      </c>
      <c r="F706" s="7" t="s">
        <v>1933</v>
      </c>
      <c r="G706" s="7" t="s">
        <v>1934</v>
      </c>
      <c r="H706" s="7" t="s">
        <v>1935</v>
      </c>
      <c r="I706" s="9">
        <v>45327</v>
      </c>
    </row>
    <row r="707" spans="1:9" x14ac:dyDescent="0.15">
      <c r="A707" s="6">
        <v>706</v>
      </c>
      <c r="B707" s="7" t="s">
        <v>9</v>
      </c>
      <c r="C707" s="8">
        <v>1886</v>
      </c>
      <c r="D707" s="9">
        <v>45418</v>
      </c>
      <c r="E707" s="13" t="str">
        <f>+HYPERLINK("http://trademark.i-assist.jp/data/china/image_1886th/76787194.pdf","76787194")</f>
        <v>76787194</v>
      </c>
      <c r="F707" s="7" t="s">
        <v>1936</v>
      </c>
      <c r="G707" s="7" t="s">
        <v>1937</v>
      </c>
      <c r="H707" s="7" t="s">
        <v>1938</v>
      </c>
      <c r="I707" s="9">
        <v>45327</v>
      </c>
    </row>
    <row r="708" spans="1:9" ht="27" x14ac:dyDescent="0.15">
      <c r="A708" s="6">
        <v>707</v>
      </c>
      <c r="B708" s="7" t="s">
        <v>9</v>
      </c>
      <c r="C708" s="8">
        <v>1886</v>
      </c>
      <c r="D708" s="9">
        <v>45418</v>
      </c>
      <c r="E708" s="13" t="str">
        <f>+HYPERLINK("http://trademark.i-assist.jp/data/china/image_1886th/76787203.pdf","76787203")</f>
        <v>76787203</v>
      </c>
      <c r="F708" s="7" t="s">
        <v>1939</v>
      </c>
      <c r="G708" s="7" t="s">
        <v>1940</v>
      </c>
      <c r="H708" s="7" t="s">
        <v>1941</v>
      </c>
      <c r="I708" s="9">
        <v>45327</v>
      </c>
    </row>
    <row r="709" spans="1:9" ht="27" x14ac:dyDescent="0.15">
      <c r="A709" s="6">
        <v>708</v>
      </c>
      <c r="B709" s="7" t="s">
        <v>9</v>
      </c>
      <c r="C709" s="8">
        <v>1886</v>
      </c>
      <c r="D709" s="9">
        <v>45418</v>
      </c>
      <c r="E709" s="13" t="str">
        <f>+HYPERLINK("http://trademark.i-assist.jp/data/china/image_1886th/76787597.pdf","76787597")</f>
        <v>76787597</v>
      </c>
      <c r="F709" s="7" t="s">
        <v>1942</v>
      </c>
      <c r="G709" s="7" t="s">
        <v>1943</v>
      </c>
      <c r="H709" s="7" t="s">
        <v>1944</v>
      </c>
      <c r="I709" s="9">
        <v>45327</v>
      </c>
    </row>
    <row r="710" spans="1:9" x14ac:dyDescent="0.15">
      <c r="A710" s="6">
        <v>709</v>
      </c>
      <c r="B710" s="7" t="s">
        <v>9</v>
      </c>
      <c r="C710" s="8">
        <v>1886</v>
      </c>
      <c r="D710" s="9">
        <v>45418</v>
      </c>
      <c r="E710" s="13" t="str">
        <f>+HYPERLINK("http://trademark.i-assist.jp/data/china/image_1886th/76788027.pdf","76788027")</f>
        <v>76788027</v>
      </c>
      <c r="F710" s="7" t="s">
        <v>1945</v>
      </c>
      <c r="G710" s="7" t="s">
        <v>1946</v>
      </c>
      <c r="H710" s="7" t="s">
        <v>1947</v>
      </c>
      <c r="I710" s="9">
        <v>45327</v>
      </c>
    </row>
    <row r="711" spans="1:9" x14ac:dyDescent="0.15">
      <c r="A711" s="6">
        <v>710</v>
      </c>
      <c r="B711" s="7" t="s">
        <v>9</v>
      </c>
      <c r="C711" s="8">
        <v>1886</v>
      </c>
      <c r="D711" s="9">
        <v>45418</v>
      </c>
      <c r="E711" s="13" t="str">
        <f>+HYPERLINK("http://trademark.i-assist.jp/data/china/image_1886th/76788307.pdf","76788307")</f>
        <v>76788307</v>
      </c>
      <c r="F711" s="7" t="s">
        <v>1948</v>
      </c>
      <c r="G711" s="7" t="s">
        <v>1949</v>
      </c>
      <c r="H711" s="7" t="s">
        <v>1950</v>
      </c>
      <c r="I711" s="9">
        <v>45327</v>
      </c>
    </row>
    <row r="712" spans="1:9" x14ac:dyDescent="0.15">
      <c r="A712" s="6">
        <v>711</v>
      </c>
      <c r="B712" s="7" t="s">
        <v>9</v>
      </c>
      <c r="C712" s="8">
        <v>1886</v>
      </c>
      <c r="D712" s="9">
        <v>45418</v>
      </c>
      <c r="E712" s="13" t="str">
        <f>+HYPERLINK("http://trademark.i-assist.jp/data/china/image_1886th/76788713.pdf","76788713")</f>
        <v>76788713</v>
      </c>
      <c r="F712" s="7" t="s">
        <v>1951</v>
      </c>
      <c r="G712" s="7" t="s">
        <v>1952</v>
      </c>
      <c r="H712" s="7" t="s">
        <v>1953</v>
      </c>
      <c r="I712" s="9">
        <v>45327</v>
      </c>
    </row>
    <row r="713" spans="1:9" ht="27" x14ac:dyDescent="0.15">
      <c r="A713" s="6">
        <v>712</v>
      </c>
      <c r="B713" s="7" t="s">
        <v>9</v>
      </c>
      <c r="C713" s="8">
        <v>1886</v>
      </c>
      <c r="D713" s="9">
        <v>45418</v>
      </c>
      <c r="E713" s="13" t="str">
        <f>+HYPERLINK("http://trademark.i-assist.jp/data/china/image_1886th/76788934.pdf","76788934")</f>
        <v>76788934</v>
      </c>
      <c r="F713" s="7" t="s">
        <v>1954</v>
      </c>
      <c r="G713" s="7" t="s">
        <v>1955</v>
      </c>
      <c r="H713" s="7" t="s">
        <v>1956</v>
      </c>
      <c r="I713" s="9">
        <v>45327</v>
      </c>
    </row>
    <row r="714" spans="1:9" x14ac:dyDescent="0.15">
      <c r="A714" s="6">
        <v>713</v>
      </c>
      <c r="B714" s="7" t="s">
        <v>9</v>
      </c>
      <c r="C714" s="8">
        <v>1886</v>
      </c>
      <c r="D714" s="9">
        <v>45418</v>
      </c>
      <c r="E714" s="13" t="str">
        <f>+HYPERLINK("http://trademark.i-assist.jp/data/china/image_1886th/76789063.pdf","76789063")</f>
        <v>76789063</v>
      </c>
      <c r="F714" s="7" t="s">
        <v>1957</v>
      </c>
      <c r="G714" s="7" t="s">
        <v>1958</v>
      </c>
      <c r="H714" s="7" t="s">
        <v>1959</v>
      </c>
      <c r="I714" s="9">
        <v>45327</v>
      </c>
    </row>
    <row r="715" spans="1:9" x14ac:dyDescent="0.15">
      <c r="A715" s="6">
        <v>714</v>
      </c>
      <c r="B715" s="7" t="s">
        <v>9</v>
      </c>
      <c r="C715" s="8">
        <v>1886</v>
      </c>
      <c r="D715" s="9">
        <v>45418</v>
      </c>
      <c r="E715" s="13" t="str">
        <f>+HYPERLINK("http://trademark.i-assist.jp/data/china/image_1886th/76789085.pdf","76789085")</f>
        <v>76789085</v>
      </c>
      <c r="F715" s="7" t="s">
        <v>1960</v>
      </c>
      <c r="G715" s="7" t="s">
        <v>1961</v>
      </c>
      <c r="H715" s="7" t="s">
        <v>1962</v>
      </c>
      <c r="I715" s="9">
        <v>45327</v>
      </c>
    </row>
    <row r="716" spans="1:9" x14ac:dyDescent="0.15">
      <c r="A716" s="6">
        <v>715</v>
      </c>
      <c r="B716" s="7" t="s">
        <v>9</v>
      </c>
      <c r="C716" s="8">
        <v>1886</v>
      </c>
      <c r="D716" s="9">
        <v>45418</v>
      </c>
      <c r="E716" s="13" t="str">
        <f>+HYPERLINK("http://trademark.i-assist.jp/data/china/image_1886th/76789103.pdf","76789103")</f>
        <v>76789103</v>
      </c>
      <c r="F716" s="7" t="s">
        <v>1963</v>
      </c>
      <c r="G716" s="7" t="s">
        <v>1964</v>
      </c>
      <c r="H716" s="7" t="s">
        <v>1965</v>
      </c>
      <c r="I716" s="9">
        <v>45327</v>
      </c>
    </row>
    <row r="717" spans="1:9" x14ac:dyDescent="0.15">
      <c r="A717" s="6">
        <v>716</v>
      </c>
      <c r="B717" s="7" t="s">
        <v>9</v>
      </c>
      <c r="C717" s="8">
        <v>1886</v>
      </c>
      <c r="D717" s="9">
        <v>45418</v>
      </c>
      <c r="E717" s="13" t="str">
        <f>+HYPERLINK("http://trademark.i-assist.jp/data/china/image_1886th/76790151.pdf","76790151")</f>
        <v>76790151</v>
      </c>
      <c r="F717" s="7" t="s">
        <v>1966</v>
      </c>
      <c r="G717" s="7" t="s">
        <v>1967</v>
      </c>
      <c r="H717" s="7" t="s">
        <v>1968</v>
      </c>
      <c r="I717" s="9">
        <v>45327</v>
      </c>
    </row>
    <row r="718" spans="1:9" ht="27" x14ac:dyDescent="0.15">
      <c r="A718" s="6">
        <v>717</v>
      </c>
      <c r="B718" s="7" t="s">
        <v>9</v>
      </c>
      <c r="C718" s="8">
        <v>1886</v>
      </c>
      <c r="D718" s="9">
        <v>45418</v>
      </c>
      <c r="E718" s="13" t="str">
        <f>+HYPERLINK("http://trademark.i-assist.jp/data/china/image_1886th/76790444.pdf","76790444")</f>
        <v>76790444</v>
      </c>
      <c r="F718" s="7" t="s">
        <v>1969</v>
      </c>
      <c r="G718" s="7" t="s">
        <v>1970</v>
      </c>
      <c r="H718" s="7" t="s">
        <v>1971</v>
      </c>
      <c r="I718" s="9">
        <v>45327</v>
      </c>
    </row>
    <row r="719" spans="1:9" x14ac:dyDescent="0.15">
      <c r="A719" s="6">
        <v>718</v>
      </c>
      <c r="B719" s="7" t="s">
        <v>9</v>
      </c>
      <c r="C719" s="8">
        <v>1886</v>
      </c>
      <c r="D719" s="9">
        <v>45418</v>
      </c>
      <c r="E719" s="13" t="str">
        <f>+HYPERLINK("http://trademark.i-assist.jp/data/china/image_1886th/76790656.pdf","76790656")</f>
        <v>76790656</v>
      </c>
      <c r="F719" s="7" t="s">
        <v>1972</v>
      </c>
      <c r="G719" s="7" t="s">
        <v>1973</v>
      </c>
      <c r="H719" s="7" t="s">
        <v>1974</v>
      </c>
      <c r="I719" s="9">
        <v>45327</v>
      </c>
    </row>
    <row r="720" spans="1:9" x14ac:dyDescent="0.15">
      <c r="A720" s="6">
        <v>719</v>
      </c>
      <c r="B720" s="7" t="s">
        <v>9</v>
      </c>
      <c r="C720" s="8">
        <v>1886</v>
      </c>
      <c r="D720" s="9">
        <v>45418</v>
      </c>
      <c r="E720" s="13" t="str">
        <f>+HYPERLINK("http://trademark.i-assist.jp/data/china/image_1886th/76790903.pdf","76790903")</f>
        <v>76790903</v>
      </c>
      <c r="F720" s="7" t="s">
        <v>1975</v>
      </c>
      <c r="G720" s="7" t="s">
        <v>1946</v>
      </c>
      <c r="H720" s="7" t="s">
        <v>1976</v>
      </c>
      <c r="I720" s="9">
        <v>45327</v>
      </c>
    </row>
    <row r="721" spans="1:9" x14ac:dyDescent="0.15">
      <c r="A721" s="6">
        <v>720</v>
      </c>
      <c r="B721" s="7" t="s">
        <v>9</v>
      </c>
      <c r="C721" s="8">
        <v>1886</v>
      </c>
      <c r="D721" s="9">
        <v>45418</v>
      </c>
      <c r="E721" s="13" t="str">
        <f>+HYPERLINK("http://trademark.i-assist.jp/data/china/image_1886th/76791811.pdf","76791811")</f>
        <v>76791811</v>
      </c>
      <c r="F721" s="7" t="s">
        <v>1977</v>
      </c>
      <c r="G721" s="7" t="s">
        <v>1978</v>
      </c>
      <c r="H721" s="7" t="s">
        <v>1979</v>
      </c>
      <c r="I721" s="9">
        <v>45327</v>
      </c>
    </row>
    <row r="722" spans="1:9" x14ac:dyDescent="0.15">
      <c r="A722" s="6">
        <v>721</v>
      </c>
      <c r="B722" s="7" t="s">
        <v>9</v>
      </c>
      <c r="C722" s="8">
        <v>1886</v>
      </c>
      <c r="D722" s="9">
        <v>45418</v>
      </c>
      <c r="E722" s="13" t="str">
        <f>+HYPERLINK("http://trademark.i-assist.jp/data/china/image_1886th/76792207.pdf","76792207")</f>
        <v>76792207</v>
      </c>
      <c r="F722" s="7" t="s">
        <v>1980</v>
      </c>
      <c r="G722" s="7" t="s">
        <v>1981</v>
      </c>
      <c r="H722" s="7" t="s">
        <v>1982</v>
      </c>
      <c r="I722" s="9">
        <v>45327</v>
      </c>
    </row>
    <row r="723" spans="1:9" ht="27" x14ac:dyDescent="0.15">
      <c r="A723" s="6">
        <v>722</v>
      </c>
      <c r="B723" s="7" t="s">
        <v>9</v>
      </c>
      <c r="C723" s="8">
        <v>1886</v>
      </c>
      <c r="D723" s="9">
        <v>45418</v>
      </c>
      <c r="E723" s="13" t="str">
        <f>+HYPERLINK("http://trademark.i-assist.jp/data/china/image_1886th/76792685.pdf","76792685")</f>
        <v>76792685</v>
      </c>
      <c r="F723" s="7" t="s">
        <v>1983</v>
      </c>
      <c r="G723" s="7" t="s">
        <v>1984</v>
      </c>
      <c r="H723" s="7" t="s">
        <v>1985</v>
      </c>
      <c r="I723" s="9">
        <v>45327</v>
      </c>
    </row>
    <row r="724" spans="1:9" x14ac:dyDescent="0.15">
      <c r="A724" s="6">
        <v>723</v>
      </c>
      <c r="B724" s="7" t="s">
        <v>9</v>
      </c>
      <c r="C724" s="8">
        <v>1886</v>
      </c>
      <c r="D724" s="9">
        <v>45418</v>
      </c>
      <c r="E724" s="13" t="str">
        <f>+HYPERLINK("http://trademark.i-assist.jp/data/china/image_1886th/76793642.pdf","76793642")</f>
        <v>76793642</v>
      </c>
      <c r="F724" s="7" t="s">
        <v>1986</v>
      </c>
      <c r="G724" s="7" t="s">
        <v>1987</v>
      </c>
      <c r="H724" s="7" t="s">
        <v>1988</v>
      </c>
      <c r="I724" s="9">
        <v>45327</v>
      </c>
    </row>
    <row r="725" spans="1:9" x14ac:dyDescent="0.15">
      <c r="A725" s="6">
        <v>724</v>
      </c>
      <c r="B725" s="7" t="s">
        <v>9</v>
      </c>
      <c r="C725" s="8">
        <v>1886</v>
      </c>
      <c r="D725" s="9">
        <v>45418</v>
      </c>
      <c r="E725" s="13" t="str">
        <f>+HYPERLINK("http://trademark.i-assist.jp/data/china/image_1886th/76794026.pdf","76794026")</f>
        <v>76794026</v>
      </c>
      <c r="F725" s="7" t="s">
        <v>1989</v>
      </c>
      <c r="G725" s="7" t="s">
        <v>1990</v>
      </c>
      <c r="H725" s="7" t="s">
        <v>1991</v>
      </c>
      <c r="I725" s="9">
        <v>45327</v>
      </c>
    </row>
    <row r="726" spans="1:9" ht="27" x14ac:dyDescent="0.15">
      <c r="A726" s="6">
        <v>725</v>
      </c>
      <c r="B726" s="7" t="s">
        <v>9</v>
      </c>
      <c r="C726" s="8">
        <v>1886</v>
      </c>
      <c r="D726" s="9">
        <v>45418</v>
      </c>
      <c r="E726" s="13" t="str">
        <f>+HYPERLINK("http://trademark.i-assist.jp/data/china/image_1886th/76794207.pdf","76794207")</f>
        <v>76794207</v>
      </c>
      <c r="F726" s="7" t="s">
        <v>1992</v>
      </c>
      <c r="G726" s="7" t="s">
        <v>1993</v>
      </c>
      <c r="H726" s="7" t="s">
        <v>1994</v>
      </c>
      <c r="I726" s="9">
        <v>45327</v>
      </c>
    </row>
    <row r="727" spans="1:9" x14ac:dyDescent="0.15">
      <c r="A727" s="6">
        <v>726</v>
      </c>
      <c r="B727" s="7" t="s">
        <v>9</v>
      </c>
      <c r="C727" s="8">
        <v>1886</v>
      </c>
      <c r="D727" s="9">
        <v>45418</v>
      </c>
      <c r="E727" s="13" t="str">
        <f>+HYPERLINK("http://trademark.i-assist.jp/data/china/image_1886th/76794242.pdf","76794242")</f>
        <v>76794242</v>
      </c>
      <c r="F727" s="7" t="s">
        <v>1995</v>
      </c>
      <c r="G727" s="7" t="s">
        <v>1996</v>
      </c>
      <c r="H727" s="7" t="s">
        <v>1997</v>
      </c>
      <c r="I727" s="9">
        <v>45327</v>
      </c>
    </row>
    <row r="728" spans="1:9" ht="27" x14ac:dyDescent="0.15">
      <c r="A728" s="6">
        <v>727</v>
      </c>
      <c r="B728" s="7" t="s">
        <v>9</v>
      </c>
      <c r="C728" s="8">
        <v>1886</v>
      </c>
      <c r="D728" s="9">
        <v>45418</v>
      </c>
      <c r="E728" s="13" t="str">
        <f>+HYPERLINK("http://trademark.i-assist.jp/data/china/image_1886th/76794305.pdf","76794305")</f>
        <v>76794305</v>
      </c>
      <c r="F728" s="7" t="s">
        <v>1998</v>
      </c>
      <c r="G728" s="7" t="s">
        <v>1999</v>
      </c>
      <c r="H728" s="7" t="s">
        <v>2000</v>
      </c>
      <c r="I728" s="9">
        <v>45327</v>
      </c>
    </row>
    <row r="729" spans="1:9" x14ac:dyDescent="0.15">
      <c r="A729" s="6">
        <v>728</v>
      </c>
      <c r="B729" s="7" t="s">
        <v>9</v>
      </c>
      <c r="C729" s="8">
        <v>1886</v>
      </c>
      <c r="D729" s="9">
        <v>45418</v>
      </c>
      <c r="E729" s="13" t="str">
        <f>+HYPERLINK("http://trademark.i-assist.jp/data/china/image_1886th/76794618.pdf","76794618")</f>
        <v>76794618</v>
      </c>
      <c r="F729" s="7" t="s">
        <v>2001</v>
      </c>
      <c r="G729" s="7" t="s">
        <v>2002</v>
      </c>
      <c r="H729" s="7" t="s">
        <v>2003</v>
      </c>
      <c r="I729" s="9">
        <v>45327</v>
      </c>
    </row>
    <row r="730" spans="1:9" x14ac:dyDescent="0.15">
      <c r="A730" s="6">
        <v>729</v>
      </c>
      <c r="B730" s="7" t="s">
        <v>9</v>
      </c>
      <c r="C730" s="8">
        <v>1886</v>
      </c>
      <c r="D730" s="9">
        <v>45418</v>
      </c>
      <c r="E730" s="13" t="str">
        <f>+HYPERLINK("http://trademark.i-assist.jp/data/china/image_1886th/76794986.pdf","76794986")</f>
        <v>76794986</v>
      </c>
      <c r="F730" s="7" t="s">
        <v>2004</v>
      </c>
      <c r="G730" s="7" t="s">
        <v>2005</v>
      </c>
      <c r="H730" s="7" t="s">
        <v>2006</v>
      </c>
      <c r="I730" s="9">
        <v>45327</v>
      </c>
    </row>
    <row r="731" spans="1:9" x14ac:dyDescent="0.15">
      <c r="A731" s="6">
        <v>730</v>
      </c>
      <c r="B731" s="7" t="s">
        <v>9</v>
      </c>
      <c r="C731" s="8">
        <v>1886</v>
      </c>
      <c r="D731" s="9">
        <v>45418</v>
      </c>
      <c r="E731" s="13" t="str">
        <f>+HYPERLINK("http://trademark.i-assist.jp/data/china/image_1886th/76795300.pdf","76795300")</f>
        <v>76795300</v>
      </c>
      <c r="F731" s="7" t="s">
        <v>2007</v>
      </c>
      <c r="G731" s="7" t="s">
        <v>2008</v>
      </c>
      <c r="H731" s="7" t="s">
        <v>2009</v>
      </c>
      <c r="I731" s="9">
        <v>45327</v>
      </c>
    </row>
    <row r="732" spans="1:9" x14ac:dyDescent="0.15">
      <c r="A732" s="6">
        <v>731</v>
      </c>
      <c r="B732" s="7" t="s">
        <v>9</v>
      </c>
      <c r="C732" s="8">
        <v>1886</v>
      </c>
      <c r="D732" s="9">
        <v>45418</v>
      </c>
      <c r="E732" s="13" t="str">
        <f>+HYPERLINK("http://trademark.i-assist.jp/data/china/image_1886th/76795305.pdf","76795305")</f>
        <v>76795305</v>
      </c>
      <c r="F732" s="7" t="s">
        <v>2010</v>
      </c>
      <c r="G732" s="7" t="s">
        <v>2008</v>
      </c>
      <c r="H732" s="7" t="s">
        <v>2011</v>
      </c>
      <c r="I732" s="9">
        <v>45327</v>
      </c>
    </row>
    <row r="733" spans="1:9" x14ac:dyDescent="0.15">
      <c r="A733" s="6">
        <v>732</v>
      </c>
      <c r="B733" s="7" t="s">
        <v>9</v>
      </c>
      <c r="C733" s="8">
        <v>1886</v>
      </c>
      <c r="D733" s="9">
        <v>45418</v>
      </c>
      <c r="E733" s="13" t="str">
        <f>+HYPERLINK("http://trademark.i-assist.jp/data/china/image_1886th/76795311.pdf","76795311")</f>
        <v>76795311</v>
      </c>
      <c r="F733" s="7" t="s">
        <v>2012</v>
      </c>
      <c r="G733" s="7" t="s">
        <v>2008</v>
      </c>
      <c r="H733" s="7" t="s">
        <v>2013</v>
      </c>
      <c r="I733" s="9">
        <v>45327</v>
      </c>
    </row>
    <row r="734" spans="1:9" ht="27" x14ac:dyDescent="0.15">
      <c r="A734" s="6">
        <v>733</v>
      </c>
      <c r="B734" s="7" t="s">
        <v>9</v>
      </c>
      <c r="C734" s="8">
        <v>1886</v>
      </c>
      <c r="D734" s="9">
        <v>45418</v>
      </c>
      <c r="E734" s="13" t="str">
        <f>+HYPERLINK("http://trademark.i-assist.jp/data/china/image_1886th/76795313.pdf","76795313")</f>
        <v>76795313</v>
      </c>
      <c r="F734" s="7" t="s">
        <v>2014</v>
      </c>
      <c r="G734" s="7" t="s">
        <v>2015</v>
      </c>
      <c r="H734" s="7" t="s">
        <v>2016</v>
      </c>
      <c r="I734" s="9">
        <v>45327</v>
      </c>
    </row>
    <row r="735" spans="1:9" x14ac:dyDescent="0.15">
      <c r="A735" s="6">
        <v>734</v>
      </c>
      <c r="B735" s="7" t="s">
        <v>9</v>
      </c>
      <c r="C735" s="8">
        <v>1886</v>
      </c>
      <c r="D735" s="9">
        <v>45418</v>
      </c>
      <c r="E735" s="13" t="str">
        <f>+HYPERLINK("http://trademark.i-assist.jp/data/china/image_1886th/76795894.pdf","76795894")</f>
        <v>76795894</v>
      </c>
      <c r="F735" s="7" t="s">
        <v>2017</v>
      </c>
      <c r="G735" s="7" t="s">
        <v>1973</v>
      </c>
      <c r="H735" s="7" t="s">
        <v>2018</v>
      </c>
      <c r="I735" s="9">
        <v>45327</v>
      </c>
    </row>
    <row r="736" spans="1:9" x14ac:dyDescent="0.15">
      <c r="A736" s="6">
        <v>735</v>
      </c>
      <c r="B736" s="7" t="s">
        <v>9</v>
      </c>
      <c r="C736" s="8">
        <v>1886</v>
      </c>
      <c r="D736" s="9">
        <v>45418</v>
      </c>
      <c r="E736" s="13" t="str">
        <f>+HYPERLINK("http://trademark.i-assist.jp/data/china/image_1886th/76796506.pdf","76796506")</f>
        <v>76796506</v>
      </c>
      <c r="F736" s="7" t="s">
        <v>2019</v>
      </c>
      <c r="G736" s="7" t="s">
        <v>2020</v>
      </c>
      <c r="H736" s="7" t="s">
        <v>2021</v>
      </c>
      <c r="I736" s="9">
        <v>45327</v>
      </c>
    </row>
    <row r="737" spans="1:9" x14ac:dyDescent="0.15">
      <c r="A737" s="6">
        <v>736</v>
      </c>
      <c r="B737" s="7" t="s">
        <v>9</v>
      </c>
      <c r="C737" s="8">
        <v>1886</v>
      </c>
      <c r="D737" s="9">
        <v>45418</v>
      </c>
      <c r="E737" s="13" t="str">
        <f>+HYPERLINK("http://trademark.i-assist.jp/data/china/image_1886th/76796994.pdf","76796994")</f>
        <v>76796994</v>
      </c>
      <c r="F737" s="7" t="s">
        <v>2022</v>
      </c>
      <c r="G737" s="7" t="s">
        <v>2023</v>
      </c>
      <c r="H737" s="7" t="s">
        <v>2024</v>
      </c>
      <c r="I737" s="9">
        <v>45327</v>
      </c>
    </row>
    <row r="738" spans="1:9" x14ac:dyDescent="0.15">
      <c r="A738" s="6">
        <v>737</v>
      </c>
      <c r="B738" s="7" t="s">
        <v>9</v>
      </c>
      <c r="C738" s="8">
        <v>1886</v>
      </c>
      <c r="D738" s="9">
        <v>45418</v>
      </c>
      <c r="E738" s="13" t="str">
        <f>+HYPERLINK("http://trademark.i-assist.jp/data/china/image_1886th/76797537.pdf","76797537")</f>
        <v>76797537</v>
      </c>
      <c r="F738" s="7" t="s">
        <v>33</v>
      </c>
      <c r="G738" s="7" t="s">
        <v>2025</v>
      </c>
      <c r="H738" s="7" t="s">
        <v>2026</v>
      </c>
      <c r="I738" s="9">
        <v>45327</v>
      </c>
    </row>
    <row r="739" spans="1:9" x14ac:dyDescent="0.15">
      <c r="A739" s="6">
        <v>738</v>
      </c>
      <c r="B739" s="7" t="s">
        <v>9</v>
      </c>
      <c r="C739" s="8">
        <v>1886</v>
      </c>
      <c r="D739" s="9">
        <v>45418</v>
      </c>
      <c r="E739" s="13" t="str">
        <f>+HYPERLINK("http://trademark.i-assist.jp/data/china/image_1886th/76797624.pdf","76797624")</f>
        <v>76797624</v>
      </c>
      <c r="F739" s="7" t="s">
        <v>2027</v>
      </c>
      <c r="G739" s="7" t="s">
        <v>2028</v>
      </c>
      <c r="H739" s="7" t="s">
        <v>2029</v>
      </c>
      <c r="I739" s="9">
        <v>45327</v>
      </c>
    </row>
    <row r="740" spans="1:9" x14ac:dyDescent="0.15">
      <c r="A740" s="6">
        <v>739</v>
      </c>
      <c r="B740" s="7" t="s">
        <v>9</v>
      </c>
      <c r="C740" s="8">
        <v>1886</v>
      </c>
      <c r="D740" s="9">
        <v>45418</v>
      </c>
      <c r="E740" s="13" t="str">
        <f>+HYPERLINK("http://trademark.i-assist.jp/data/china/image_1886th/76797667.pdf","76797667")</f>
        <v>76797667</v>
      </c>
      <c r="F740" s="7" t="s">
        <v>2030</v>
      </c>
      <c r="G740" s="7" t="s">
        <v>2031</v>
      </c>
      <c r="H740" s="7" t="s">
        <v>2032</v>
      </c>
      <c r="I740" s="9">
        <v>45327</v>
      </c>
    </row>
    <row r="741" spans="1:9" x14ac:dyDescent="0.15">
      <c r="A741" s="6">
        <v>740</v>
      </c>
      <c r="B741" s="7" t="s">
        <v>9</v>
      </c>
      <c r="C741" s="8">
        <v>1886</v>
      </c>
      <c r="D741" s="9">
        <v>45418</v>
      </c>
      <c r="E741" s="13" t="str">
        <f>+HYPERLINK("http://trademark.i-assist.jp/data/china/image_1886th/76797852.pdf","76797852")</f>
        <v>76797852</v>
      </c>
      <c r="F741" s="7" t="s">
        <v>2033</v>
      </c>
      <c r="G741" s="7" t="s">
        <v>2034</v>
      </c>
      <c r="H741" s="7" t="s">
        <v>2035</v>
      </c>
      <c r="I741" s="9">
        <v>45327</v>
      </c>
    </row>
    <row r="742" spans="1:9" x14ac:dyDescent="0.15">
      <c r="A742" s="6">
        <v>741</v>
      </c>
      <c r="B742" s="7" t="s">
        <v>9</v>
      </c>
      <c r="C742" s="8">
        <v>1886</v>
      </c>
      <c r="D742" s="9">
        <v>45418</v>
      </c>
      <c r="E742" s="13" t="str">
        <f>+HYPERLINK("http://trademark.i-assist.jp/data/china/image_1886th/76798132.pdf","76798132")</f>
        <v>76798132</v>
      </c>
      <c r="F742" s="7" t="s">
        <v>2036</v>
      </c>
      <c r="G742" s="7" t="s">
        <v>2037</v>
      </c>
      <c r="H742" s="7" t="s">
        <v>2038</v>
      </c>
      <c r="I742" s="9">
        <v>45327</v>
      </c>
    </row>
    <row r="743" spans="1:9" x14ac:dyDescent="0.15">
      <c r="A743" s="6">
        <v>742</v>
      </c>
      <c r="B743" s="7" t="s">
        <v>9</v>
      </c>
      <c r="C743" s="8">
        <v>1886</v>
      </c>
      <c r="D743" s="9">
        <v>45418</v>
      </c>
      <c r="E743" s="13" t="str">
        <f>+HYPERLINK("http://trademark.i-assist.jp/data/china/image_1886th/76798180.pdf","76798180")</f>
        <v>76798180</v>
      </c>
      <c r="F743" s="7" t="s">
        <v>2039</v>
      </c>
      <c r="G743" s="7" t="s">
        <v>2040</v>
      </c>
      <c r="H743" s="7" t="s">
        <v>2041</v>
      </c>
      <c r="I743" s="9">
        <v>45327</v>
      </c>
    </row>
    <row r="744" spans="1:9" x14ac:dyDescent="0.15">
      <c r="A744" s="6">
        <v>743</v>
      </c>
      <c r="B744" s="7" t="s">
        <v>9</v>
      </c>
      <c r="C744" s="8">
        <v>1886</v>
      </c>
      <c r="D744" s="9">
        <v>45418</v>
      </c>
      <c r="E744" s="13" t="str">
        <f>+HYPERLINK("http://trademark.i-assist.jp/data/china/image_1886th/76798439.pdf","76798439")</f>
        <v>76798439</v>
      </c>
      <c r="F744" s="7" t="s">
        <v>2042</v>
      </c>
      <c r="G744" s="7" t="s">
        <v>2043</v>
      </c>
      <c r="H744" s="7" t="s">
        <v>2044</v>
      </c>
      <c r="I744" s="9">
        <v>45327</v>
      </c>
    </row>
    <row r="745" spans="1:9" x14ac:dyDescent="0.15">
      <c r="A745" s="6">
        <v>744</v>
      </c>
      <c r="B745" s="7" t="s">
        <v>9</v>
      </c>
      <c r="C745" s="8">
        <v>1886</v>
      </c>
      <c r="D745" s="9">
        <v>45418</v>
      </c>
      <c r="E745" s="13" t="str">
        <f>+HYPERLINK("http://trademark.i-assist.jp/data/china/image_1886th/76799919.pdf","76799919")</f>
        <v>76799919</v>
      </c>
      <c r="F745" s="7" t="s">
        <v>33</v>
      </c>
      <c r="G745" s="7" t="s">
        <v>2045</v>
      </c>
      <c r="H745" s="7" t="s">
        <v>2046</v>
      </c>
      <c r="I745" s="9">
        <v>45328</v>
      </c>
    </row>
    <row r="746" spans="1:9" x14ac:dyDescent="0.15">
      <c r="A746" s="6">
        <v>745</v>
      </c>
      <c r="B746" s="7" t="s">
        <v>9</v>
      </c>
      <c r="C746" s="8">
        <v>1886</v>
      </c>
      <c r="D746" s="9">
        <v>45418</v>
      </c>
      <c r="E746" s="13" t="str">
        <f>+HYPERLINK("http://trademark.i-assist.jp/data/china/image_1886th/76800035.pdf","76800035")</f>
        <v>76800035</v>
      </c>
      <c r="F746" s="7" t="s">
        <v>2047</v>
      </c>
      <c r="G746" s="7" t="s">
        <v>2048</v>
      </c>
      <c r="H746" s="7" t="s">
        <v>2049</v>
      </c>
      <c r="I746" s="9">
        <v>45328</v>
      </c>
    </row>
    <row r="747" spans="1:9" x14ac:dyDescent="0.15">
      <c r="A747" s="6">
        <v>746</v>
      </c>
      <c r="B747" s="7" t="s">
        <v>9</v>
      </c>
      <c r="C747" s="8">
        <v>1886</v>
      </c>
      <c r="D747" s="9">
        <v>45418</v>
      </c>
      <c r="E747" s="13" t="str">
        <f>+HYPERLINK("http://trademark.i-assist.jp/data/china/image_1886th/76800066.pdf","76800066")</f>
        <v>76800066</v>
      </c>
      <c r="F747" s="7" t="s">
        <v>2050</v>
      </c>
      <c r="G747" s="7" t="s">
        <v>2051</v>
      </c>
      <c r="H747" s="7" t="s">
        <v>397</v>
      </c>
      <c r="I747" s="9">
        <v>45328</v>
      </c>
    </row>
    <row r="748" spans="1:9" x14ac:dyDescent="0.15">
      <c r="A748" s="6">
        <v>747</v>
      </c>
      <c r="B748" s="7" t="s">
        <v>9</v>
      </c>
      <c r="C748" s="8">
        <v>1886</v>
      </c>
      <c r="D748" s="9">
        <v>45418</v>
      </c>
      <c r="E748" s="13" t="str">
        <f>+HYPERLINK("http://trademark.i-assist.jp/data/china/image_1886th/76800814.pdf","76800814")</f>
        <v>76800814</v>
      </c>
      <c r="F748" s="7" t="s">
        <v>2052</v>
      </c>
      <c r="G748" s="7" t="s">
        <v>2053</v>
      </c>
      <c r="H748" s="7" t="s">
        <v>2054</v>
      </c>
      <c r="I748" s="9">
        <v>45328</v>
      </c>
    </row>
    <row r="749" spans="1:9" x14ac:dyDescent="0.15">
      <c r="A749" s="6">
        <v>748</v>
      </c>
      <c r="B749" s="7" t="s">
        <v>9</v>
      </c>
      <c r="C749" s="8">
        <v>1886</v>
      </c>
      <c r="D749" s="9">
        <v>45418</v>
      </c>
      <c r="E749" s="13" t="str">
        <f>+HYPERLINK("http://trademark.i-assist.jp/data/china/image_1886th/76800828.pdf","76800828")</f>
        <v>76800828</v>
      </c>
      <c r="F749" s="7" t="s">
        <v>2055</v>
      </c>
      <c r="G749" s="7" t="s">
        <v>2056</v>
      </c>
      <c r="H749" s="7" t="s">
        <v>2057</v>
      </c>
      <c r="I749" s="9">
        <v>45328</v>
      </c>
    </row>
    <row r="750" spans="1:9" ht="27" x14ac:dyDescent="0.15">
      <c r="A750" s="6">
        <v>749</v>
      </c>
      <c r="B750" s="7" t="s">
        <v>9</v>
      </c>
      <c r="C750" s="8">
        <v>1886</v>
      </c>
      <c r="D750" s="9">
        <v>45418</v>
      </c>
      <c r="E750" s="13" t="str">
        <f>+HYPERLINK("http://trademark.i-assist.jp/data/china/image_1886th/76801191.pdf","76801191")</f>
        <v>76801191</v>
      </c>
      <c r="F750" s="7" t="s">
        <v>2058</v>
      </c>
      <c r="G750" s="7" t="s">
        <v>2059</v>
      </c>
      <c r="H750" s="7" t="s">
        <v>2060</v>
      </c>
      <c r="I750" s="9">
        <v>45328</v>
      </c>
    </row>
    <row r="751" spans="1:9" ht="27" x14ac:dyDescent="0.15">
      <c r="A751" s="6">
        <v>750</v>
      </c>
      <c r="B751" s="7" t="s">
        <v>9</v>
      </c>
      <c r="C751" s="8">
        <v>1886</v>
      </c>
      <c r="D751" s="9">
        <v>45418</v>
      </c>
      <c r="E751" s="13" t="str">
        <f>+HYPERLINK("http://trademark.i-assist.jp/data/china/image_1886th/76801225.pdf","76801225")</f>
        <v>76801225</v>
      </c>
      <c r="F751" s="7" t="s">
        <v>2061</v>
      </c>
      <c r="G751" s="7" t="s">
        <v>2062</v>
      </c>
      <c r="H751" s="7" t="s">
        <v>2063</v>
      </c>
      <c r="I751" s="9">
        <v>45328</v>
      </c>
    </row>
    <row r="752" spans="1:9" ht="27" x14ac:dyDescent="0.15">
      <c r="A752" s="6">
        <v>751</v>
      </c>
      <c r="B752" s="7" t="s">
        <v>9</v>
      </c>
      <c r="C752" s="8">
        <v>1886</v>
      </c>
      <c r="D752" s="9">
        <v>45418</v>
      </c>
      <c r="E752" s="13" t="str">
        <f>+HYPERLINK("http://trademark.i-assist.jp/data/china/image_1886th/76801501.pdf","76801501")</f>
        <v>76801501</v>
      </c>
      <c r="F752" s="7" t="s">
        <v>2064</v>
      </c>
      <c r="G752" s="7" t="s">
        <v>2065</v>
      </c>
      <c r="H752" s="7" t="s">
        <v>2066</v>
      </c>
      <c r="I752" s="9">
        <v>45328</v>
      </c>
    </row>
    <row r="753" spans="1:9" x14ac:dyDescent="0.15">
      <c r="A753" s="6">
        <v>752</v>
      </c>
      <c r="B753" s="7" t="s">
        <v>9</v>
      </c>
      <c r="C753" s="8">
        <v>1886</v>
      </c>
      <c r="D753" s="9">
        <v>45418</v>
      </c>
      <c r="E753" s="13" t="str">
        <f>+HYPERLINK("http://trademark.i-assist.jp/data/china/image_1886th/76801552.pdf","76801552")</f>
        <v>76801552</v>
      </c>
      <c r="F753" s="7" t="s">
        <v>2067</v>
      </c>
      <c r="G753" s="7" t="s">
        <v>2068</v>
      </c>
      <c r="H753" s="7" t="s">
        <v>2069</v>
      </c>
      <c r="I753" s="9">
        <v>45328</v>
      </c>
    </row>
    <row r="754" spans="1:9" x14ac:dyDescent="0.15">
      <c r="A754" s="6">
        <v>753</v>
      </c>
      <c r="B754" s="7" t="s">
        <v>9</v>
      </c>
      <c r="C754" s="8">
        <v>1886</v>
      </c>
      <c r="D754" s="9">
        <v>45418</v>
      </c>
      <c r="E754" s="13" t="str">
        <f>+HYPERLINK("http://trademark.i-assist.jp/data/china/image_1886th/76801636.pdf","76801636")</f>
        <v>76801636</v>
      </c>
      <c r="F754" s="7" t="s">
        <v>2070</v>
      </c>
      <c r="G754" s="7" t="s">
        <v>2048</v>
      </c>
      <c r="H754" s="7" t="s">
        <v>2071</v>
      </c>
      <c r="I754" s="9">
        <v>45328</v>
      </c>
    </row>
    <row r="755" spans="1:9" x14ac:dyDescent="0.15">
      <c r="A755" s="6">
        <v>754</v>
      </c>
      <c r="B755" s="7" t="s">
        <v>9</v>
      </c>
      <c r="C755" s="8">
        <v>1886</v>
      </c>
      <c r="D755" s="9">
        <v>45418</v>
      </c>
      <c r="E755" s="13" t="str">
        <f>+HYPERLINK("http://trademark.i-assist.jp/data/china/image_1886th/76801648.pdf","76801648")</f>
        <v>76801648</v>
      </c>
      <c r="F755" s="7" t="s">
        <v>2072</v>
      </c>
      <c r="G755" s="7" t="s">
        <v>2048</v>
      </c>
      <c r="H755" s="7" t="s">
        <v>2073</v>
      </c>
      <c r="I755" s="9">
        <v>45328</v>
      </c>
    </row>
    <row r="756" spans="1:9" x14ac:dyDescent="0.15">
      <c r="A756" s="6">
        <v>755</v>
      </c>
      <c r="B756" s="7" t="s">
        <v>9</v>
      </c>
      <c r="C756" s="8">
        <v>1886</v>
      </c>
      <c r="D756" s="9">
        <v>45418</v>
      </c>
      <c r="E756" s="13" t="str">
        <f>+HYPERLINK("http://trademark.i-assist.jp/data/china/image_1886th/76801673.pdf","76801673")</f>
        <v>76801673</v>
      </c>
      <c r="F756" s="7" t="s">
        <v>2074</v>
      </c>
      <c r="G756" s="7" t="s">
        <v>2075</v>
      </c>
      <c r="H756" s="7" t="s">
        <v>2076</v>
      </c>
      <c r="I756" s="9">
        <v>45328</v>
      </c>
    </row>
    <row r="757" spans="1:9" x14ac:dyDescent="0.15">
      <c r="A757" s="6">
        <v>756</v>
      </c>
      <c r="B757" s="7" t="s">
        <v>9</v>
      </c>
      <c r="C757" s="8">
        <v>1886</v>
      </c>
      <c r="D757" s="9">
        <v>45418</v>
      </c>
      <c r="E757" s="13" t="str">
        <f>+HYPERLINK("http://trademark.i-assist.jp/data/china/image_1886th/76802451.pdf","76802451")</f>
        <v>76802451</v>
      </c>
      <c r="F757" s="7" t="s">
        <v>2077</v>
      </c>
      <c r="G757" s="7" t="s">
        <v>2053</v>
      </c>
      <c r="H757" s="7" t="s">
        <v>2078</v>
      </c>
      <c r="I757" s="9">
        <v>45328</v>
      </c>
    </row>
    <row r="758" spans="1:9" x14ac:dyDescent="0.15">
      <c r="A758" s="6">
        <v>757</v>
      </c>
      <c r="B758" s="7" t="s">
        <v>9</v>
      </c>
      <c r="C758" s="8">
        <v>1886</v>
      </c>
      <c r="D758" s="9">
        <v>45418</v>
      </c>
      <c r="E758" s="13" t="str">
        <f>+HYPERLINK("http://trademark.i-assist.jp/data/china/image_1886th/76802824.pdf","76802824")</f>
        <v>76802824</v>
      </c>
      <c r="F758" s="7" t="s">
        <v>2079</v>
      </c>
      <c r="G758" s="7" t="s">
        <v>2080</v>
      </c>
      <c r="H758" s="7" t="s">
        <v>2081</v>
      </c>
      <c r="I758" s="9">
        <v>45328</v>
      </c>
    </row>
    <row r="759" spans="1:9" x14ac:dyDescent="0.15">
      <c r="A759" s="6">
        <v>758</v>
      </c>
      <c r="B759" s="7" t="s">
        <v>9</v>
      </c>
      <c r="C759" s="8">
        <v>1886</v>
      </c>
      <c r="D759" s="9">
        <v>45418</v>
      </c>
      <c r="E759" s="13" t="str">
        <f>+HYPERLINK("http://trademark.i-assist.jp/data/china/image_1886th/76802912.pdf","76802912")</f>
        <v>76802912</v>
      </c>
      <c r="F759" s="7" t="s">
        <v>2082</v>
      </c>
      <c r="G759" s="7" t="s">
        <v>2048</v>
      </c>
      <c r="H759" s="7" t="s">
        <v>2083</v>
      </c>
      <c r="I759" s="9">
        <v>45328</v>
      </c>
    </row>
    <row r="760" spans="1:9" x14ac:dyDescent="0.15">
      <c r="A760" s="6">
        <v>759</v>
      </c>
      <c r="B760" s="7" t="s">
        <v>9</v>
      </c>
      <c r="C760" s="8">
        <v>1886</v>
      </c>
      <c r="D760" s="9">
        <v>45418</v>
      </c>
      <c r="E760" s="13" t="str">
        <f>+HYPERLINK("http://trademark.i-assist.jp/data/china/image_1886th/76803200.pdf","76803200")</f>
        <v>76803200</v>
      </c>
      <c r="F760" s="7" t="s">
        <v>2084</v>
      </c>
      <c r="G760" s="7" t="s">
        <v>2085</v>
      </c>
      <c r="H760" s="7" t="s">
        <v>2086</v>
      </c>
      <c r="I760" s="9">
        <v>45328</v>
      </c>
    </row>
    <row r="761" spans="1:9" x14ac:dyDescent="0.15">
      <c r="A761" s="6">
        <v>760</v>
      </c>
      <c r="B761" s="7" t="s">
        <v>9</v>
      </c>
      <c r="C761" s="8">
        <v>1886</v>
      </c>
      <c r="D761" s="9">
        <v>45418</v>
      </c>
      <c r="E761" s="13" t="str">
        <f>+HYPERLINK("http://trademark.i-assist.jp/data/china/image_1886th/76803296.pdf","76803296")</f>
        <v>76803296</v>
      </c>
      <c r="F761" s="7" t="s">
        <v>2087</v>
      </c>
      <c r="G761" s="7" t="s">
        <v>2085</v>
      </c>
      <c r="H761" s="7" t="s">
        <v>2088</v>
      </c>
      <c r="I761" s="9">
        <v>45328</v>
      </c>
    </row>
    <row r="762" spans="1:9" x14ac:dyDescent="0.15">
      <c r="A762" s="6">
        <v>761</v>
      </c>
      <c r="B762" s="7" t="s">
        <v>9</v>
      </c>
      <c r="C762" s="8">
        <v>1886</v>
      </c>
      <c r="D762" s="9">
        <v>45418</v>
      </c>
      <c r="E762" s="13" t="str">
        <f>+HYPERLINK("http://trademark.i-assist.jp/data/china/image_1886th/76803388.pdf","76803388")</f>
        <v>76803388</v>
      </c>
      <c r="F762" s="7" t="s">
        <v>2089</v>
      </c>
      <c r="G762" s="7" t="s">
        <v>2048</v>
      </c>
      <c r="H762" s="7" t="s">
        <v>2090</v>
      </c>
      <c r="I762" s="9">
        <v>45328</v>
      </c>
    </row>
    <row r="763" spans="1:9" x14ac:dyDescent="0.15">
      <c r="A763" s="6">
        <v>762</v>
      </c>
      <c r="B763" s="7" t="s">
        <v>9</v>
      </c>
      <c r="C763" s="8">
        <v>1886</v>
      </c>
      <c r="D763" s="9">
        <v>45418</v>
      </c>
      <c r="E763" s="13" t="str">
        <f>+HYPERLINK("http://trademark.i-assist.jp/data/china/image_1886th/76804052.pdf","76804052")</f>
        <v>76804052</v>
      </c>
      <c r="F763" s="7" t="s">
        <v>33</v>
      </c>
      <c r="G763" s="7" t="s">
        <v>2091</v>
      </c>
      <c r="H763" s="7" t="s">
        <v>2092</v>
      </c>
      <c r="I763" s="9">
        <v>45328</v>
      </c>
    </row>
    <row r="764" spans="1:9" x14ac:dyDescent="0.15">
      <c r="A764" s="6">
        <v>763</v>
      </c>
      <c r="B764" s="7" t="s">
        <v>9</v>
      </c>
      <c r="C764" s="8">
        <v>1886</v>
      </c>
      <c r="D764" s="9">
        <v>45418</v>
      </c>
      <c r="E764" s="13" t="str">
        <f>+HYPERLINK("http://trademark.i-assist.jp/data/china/image_1886th/76804497.pdf","76804497")</f>
        <v>76804497</v>
      </c>
      <c r="F764" s="7" t="s">
        <v>2093</v>
      </c>
      <c r="G764" s="7" t="s">
        <v>2068</v>
      </c>
      <c r="H764" s="7" t="s">
        <v>2094</v>
      </c>
      <c r="I764" s="9">
        <v>45328</v>
      </c>
    </row>
    <row r="765" spans="1:9" x14ac:dyDescent="0.15">
      <c r="A765" s="6">
        <v>764</v>
      </c>
      <c r="B765" s="7" t="s">
        <v>9</v>
      </c>
      <c r="C765" s="8">
        <v>1886</v>
      </c>
      <c r="D765" s="9">
        <v>45418</v>
      </c>
      <c r="E765" s="13" t="str">
        <f>+HYPERLINK("http://trademark.i-assist.jp/data/china/image_1886th/76804684.pdf","76804684")</f>
        <v>76804684</v>
      </c>
      <c r="F765" s="7" t="s">
        <v>33</v>
      </c>
      <c r="G765" s="7" t="s">
        <v>2095</v>
      </c>
      <c r="H765" s="7" t="s">
        <v>2096</v>
      </c>
      <c r="I765" s="9">
        <v>45328</v>
      </c>
    </row>
    <row r="766" spans="1:9" x14ac:dyDescent="0.15">
      <c r="A766" s="6">
        <v>765</v>
      </c>
      <c r="B766" s="7" t="s">
        <v>9</v>
      </c>
      <c r="C766" s="8">
        <v>1886</v>
      </c>
      <c r="D766" s="9">
        <v>45418</v>
      </c>
      <c r="E766" s="13" t="str">
        <f>+HYPERLINK("http://trademark.i-assist.jp/data/china/image_1886th/76804763.pdf","76804763")</f>
        <v>76804763</v>
      </c>
      <c r="F766" s="7" t="s">
        <v>2097</v>
      </c>
      <c r="G766" s="7" t="s">
        <v>2098</v>
      </c>
      <c r="H766" s="7" t="s">
        <v>2099</v>
      </c>
      <c r="I766" s="9">
        <v>45328</v>
      </c>
    </row>
    <row r="767" spans="1:9" x14ac:dyDescent="0.15">
      <c r="A767" s="6">
        <v>766</v>
      </c>
      <c r="B767" s="7" t="s">
        <v>9</v>
      </c>
      <c r="C767" s="8">
        <v>1886</v>
      </c>
      <c r="D767" s="9">
        <v>45418</v>
      </c>
      <c r="E767" s="13" t="str">
        <f>+HYPERLINK("http://trademark.i-assist.jp/data/china/image_1886th/76804952.pdf","76804952")</f>
        <v>76804952</v>
      </c>
      <c r="F767" s="7" t="s">
        <v>2100</v>
      </c>
      <c r="G767" s="7" t="s">
        <v>2053</v>
      </c>
      <c r="H767" s="7" t="s">
        <v>2101</v>
      </c>
      <c r="I767" s="9">
        <v>45328</v>
      </c>
    </row>
    <row r="768" spans="1:9" x14ac:dyDescent="0.15">
      <c r="A768" s="6">
        <v>767</v>
      </c>
      <c r="B768" s="7" t="s">
        <v>9</v>
      </c>
      <c r="C768" s="8">
        <v>1886</v>
      </c>
      <c r="D768" s="9">
        <v>45418</v>
      </c>
      <c r="E768" s="13" t="str">
        <f>+HYPERLINK("http://trademark.i-assist.jp/data/china/image_1886th/76805113.pdf","76805113")</f>
        <v>76805113</v>
      </c>
      <c r="F768" s="7" t="s">
        <v>2102</v>
      </c>
      <c r="G768" s="7" t="s">
        <v>2103</v>
      </c>
      <c r="H768" s="7" t="s">
        <v>2104</v>
      </c>
      <c r="I768" s="9">
        <v>45328</v>
      </c>
    </row>
    <row r="769" spans="1:9" x14ac:dyDescent="0.15">
      <c r="A769" s="6">
        <v>768</v>
      </c>
      <c r="B769" s="7" t="s">
        <v>9</v>
      </c>
      <c r="C769" s="8">
        <v>1886</v>
      </c>
      <c r="D769" s="9">
        <v>45418</v>
      </c>
      <c r="E769" s="13" t="str">
        <f>+HYPERLINK("http://trademark.i-assist.jp/data/china/image_1886th/76805116.pdf","76805116")</f>
        <v>76805116</v>
      </c>
      <c r="F769" s="7" t="s">
        <v>2105</v>
      </c>
      <c r="G769" s="7" t="s">
        <v>2103</v>
      </c>
      <c r="H769" s="7" t="s">
        <v>2106</v>
      </c>
      <c r="I769" s="9">
        <v>45328</v>
      </c>
    </row>
    <row r="770" spans="1:9" x14ac:dyDescent="0.15">
      <c r="A770" s="6">
        <v>769</v>
      </c>
      <c r="B770" s="7" t="s">
        <v>9</v>
      </c>
      <c r="C770" s="8">
        <v>1886</v>
      </c>
      <c r="D770" s="9">
        <v>45418</v>
      </c>
      <c r="E770" s="13" t="str">
        <f>+HYPERLINK("http://trademark.i-assist.jp/data/china/image_1886th/76805135.pdf","76805135")</f>
        <v>76805135</v>
      </c>
      <c r="F770" s="7" t="s">
        <v>2107</v>
      </c>
      <c r="G770" s="7" t="s">
        <v>830</v>
      </c>
      <c r="H770" s="7" t="s">
        <v>2108</v>
      </c>
      <c r="I770" s="9">
        <v>45328</v>
      </c>
    </row>
    <row r="771" spans="1:9" x14ac:dyDescent="0.15">
      <c r="A771" s="6">
        <v>770</v>
      </c>
      <c r="B771" s="7" t="s">
        <v>9</v>
      </c>
      <c r="C771" s="8">
        <v>1886</v>
      </c>
      <c r="D771" s="9">
        <v>45418</v>
      </c>
      <c r="E771" s="13" t="str">
        <f>+HYPERLINK("http://trademark.i-assist.jp/data/china/image_1886th/76805186.pdf","76805186")</f>
        <v>76805186</v>
      </c>
      <c r="F771" s="7" t="s">
        <v>2109</v>
      </c>
      <c r="G771" s="7" t="s">
        <v>2048</v>
      </c>
      <c r="H771" s="7" t="s">
        <v>2110</v>
      </c>
      <c r="I771" s="9">
        <v>45328</v>
      </c>
    </row>
    <row r="772" spans="1:9" x14ac:dyDescent="0.15">
      <c r="A772" s="6">
        <v>771</v>
      </c>
      <c r="B772" s="7" t="s">
        <v>9</v>
      </c>
      <c r="C772" s="8">
        <v>1886</v>
      </c>
      <c r="D772" s="9">
        <v>45418</v>
      </c>
      <c r="E772" s="13" t="str">
        <f>+HYPERLINK("http://trademark.i-assist.jp/data/china/image_1886th/76805192.pdf","76805192")</f>
        <v>76805192</v>
      </c>
      <c r="F772" s="7" t="s">
        <v>33</v>
      </c>
      <c r="G772" s="7" t="s">
        <v>2111</v>
      </c>
      <c r="H772" s="7" t="s">
        <v>2112</v>
      </c>
      <c r="I772" s="9">
        <v>45328</v>
      </c>
    </row>
    <row r="773" spans="1:9" x14ac:dyDescent="0.15">
      <c r="A773" s="6">
        <v>772</v>
      </c>
      <c r="B773" s="7" t="s">
        <v>9</v>
      </c>
      <c r="C773" s="8">
        <v>1886</v>
      </c>
      <c r="D773" s="9">
        <v>45418</v>
      </c>
      <c r="E773" s="13" t="str">
        <f>+HYPERLINK("http://trademark.i-assist.jp/data/china/image_1886th/76805254.pdf","76805254")</f>
        <v>76805254</v>
      </c>
      <c r="F773" s="7" t="s">
        <v>2113</v>
      </c>
      <c r="G773" s="7" t="s">
        <v>2085</v>
      </c>
      <c r="H773" s="7" t="s">
        <v>2114</v>
      </c>
      <c r="I773" s="9">
        <v>45328</v>
      </c>
    </row>
    <row r="774" spans="1:9" x14ac:dyDescent="0.15">
      <c r="A774" s="6">
        <v>773</v>
      </c>
      <c r="B774" s="7" t="s">
        <v>9</v>
      </c>
      <c r="C774" s="8">
        <v>1886</v>
      </c>
      <c r="D774" s="9">
        <v>45418</v>
      </c>
      <c r="E774" s="13" t="str">
        <f>+HYPERLINK("http://trademark.i-assist.jp/data/china/image_1886th/76805270.pdf","76805270")</f>
        <v>76805270</v>
      </c>
      <c r="F774" s="7" t="s">
        <v>2115</v>
      </c>
      <c r="G774" s="7" t="s">
        <v>2116</v>
      </c>
      <c r="H774" s="7" t="s">
        <v>2117</v>
      </c>
      <c r="I774" s="9">
        <v>45328</v>
      </c>
    </row>
    <row r="775" spans="1:9" x14ac:dyDescent="0.15">
      <c r="A775" s="6">
        <v>774</v>
      </c>
      <c r="B775" s="7" t="s">
        <v>9</v>
      </c>
      <c r="C775" s="8">
        <v>1886</v>
      </c>
      <c r="D775" s="9">
        <v>45418</v>
      </c>
      <c r="E775" s="13" t="str">
        <f>+HYPERLINK("http://trademark.i-assist.jp/data/china/image_1886th/76805363.pdf","76805363")</f>
        <v>76805363</v>
      </c>
      <c r="F775" s="7" t="s">
        <v>2118</v>
      </c>
      <c r="G775" s="7" t="s">
        <v>2119</v>
      </c>
      <c r="H775" s="7" t="s">
        <v>2120</v>
      </c>
      <c r="I775" s="9">
        <v>45328</v>
      </c>
    </row>
    <row r="776" spans="1:9" x14ac:dyDescent="0.15">
      <c r="A776" s="6">
        <v>775</v>
      </c>
      <c r="B776" s="7" t="s">
        <v>9</v>
      </c>
      <c r="C776" s="8">
        <v>1886</v>
      </c>
      <c r="D776" s="9">
        <v>45418</v>
      </c>
      <c r="E776" s="13" t="str">
        <f>+HYPERLINK("http://trademark.i-assist.jp/data/china/image_1886th/76805801.pdf","76805801")</f>
        <v>76805801</v>
      </c>
      <c r="F776" s="7" t="s">
        <v>2121</v>
      </c>
      <c r="G776" s="7" t="s">
        <v>2048</v>
      </c>
      <c r="H776" s="7" t="s">
        <v>2122</v>
      </c>
      <c r="I776" s="9">
        <v>45328</v>
      </c>
    </row>
    <row r="777" spans="1:9" x14ac:dyDescent="0.15">
      <c r="A777" s="6">
        <v>776</v>
      </c>
      <c r="B777" s="7" t="s">
        <v>9</v>
      </c>
      <c r="C777" s="8">
        <v>1886</v>
      </c>
      <c r="D777" s="9">
        <v>45418</v>
      </c>
      <c r="E777" s="13" t="str">
        <f>+HYPERLINK("http://trademark.i-assist.jp/data/china/image_1886th/76805826.pdf","76805826")</f>
        <v>76805826</v>
      </c>
      <c r="F777" s="7" t="s">
        <v>2123</v>
      </c>
      <c r="G777" s="7" t="s">
        <v>2124</v>
      </c>
      <c r="H777" s="7" t="s">
        <v>2125</v>
      </c>
      <c r="I777" s="9">
        <v>45328</v>
      </c>
    </row>
    <row r="778" spans="1:9" x14ac:dyDescent="0.15">
      <c r="A778" s="6">
        <v>777</v>
      </c>
      <c r="B778" s="7" t="s">
        <v>9</v>
      </c>
      <c r="C778" s="8">
        <v>1886</v>
      </c>
      <c r="D778" s="9">
        <v>45418</v>
      </c>
      <c r="E778" s="13" t="str">
        <f>+HYPERLINK("http://trademark.i-assist.jp/data/china/image_1886th/76805828.pdf","76805828")</f>
        <v>76805828</v>
      </c>
      <c r="F778" s="7" t="s">
        <v>2126</v>
      </c>
      <c r="G778" s="7" t="s">
        <v>2127</v>
      </c>
      <c r="H778" s="7" t="s">
        <v>2128</v>
      </c>
      <c r="I778" s="9">
        <v>45328</v>
      </c>
    </row>
    <row r="779" spans="1:9" x14ac:dyDescent="0.15">
      <c r="A779" s="6">
        <v>778</v>
      </c>
      <c r="B779" s="7" t="s">
        <v>9</v>
      </c>
      <c r="C779" s="8">
        <v>1886</v>
      </c>
      <c r="D779" s="9">
        <v>45418</v>
      </c>
      <c r="E779" s="13" t="str">
        <f>+HYPERLINK("http://trademark.i-assist.jp/data/china/image_1886th/76805977.pdf","76805977")</f>
        <v>76805977</v>
      </c>
      <c r="F779" s="7" t="s">
        <v>2129</v>
      </c>
      <c r="G779" s="7" t="s">
        <v>2130</v>
      </c>
      <c r="H779" s="7" t="s">
        <v>2131</v>
      </c>
      <c r="I779" s="9">
        <v>45328</v>
      </c>
    </row>
    <row r="780" spans="1:9" x14ac:dyDescent="0.15">
      <c r="A780" s="6">
        <v>779</v>
      </c>
      <c r="B780" s="7" t="s">
        <v>9</v>
      </c>
      <c r="C780" s="8">
        <v>1886</v>
      </c>
      <c r="D780" s="9">
        <v>45418</v>
      </c>
      <c r="E780" s="13" t="str">
        <f>+HYPERLINK("http://trademark.i-assist.jp/data/china/image_1886th/76806512.pdf","76806512")</f>
        <v>76806512</v>
      </c>
      <c r="F780" s="7" t="s">
        <v>2132</v>
      </c>
      <c r="G780" s="7" t="s">
        <v>2133</v>
      </c>
      <c r="H780" s="7" t="s">
        <v>2134</v>
      </c>
      <c r="I780" s="9">
        <v>45328</v>
      </c>
    </row>
    <row r="781" spans="1:9" x14ac:dyDescent="0.15">
      <c r="A781" s="6">
        <v>780</v>
      </c>
      <c r="B781" s="7" t="s">
        <v>9</v>
      </c>
      <c r="C781" s="8">
        <v>1886</v>
      </c>
      <c r="D781" s="9">
        <v>45418</v>
      </c>
      <c r="E781" s="13" t="str">
        <f>+HYPERLINK("http://trademark.i-assist.jp/data/china/image_1886th/76806592.pdf","76806592")</f>
        <v>76806592</v>
      </c>
      <c r="F781" s="7" t="s">
        <v>2135</v>
      </c>
      <c r="G781" s="7" t="s">
        <v>2048</v>
      </c>
      <c r="H781" s="7" t="s">
        <v>2136</v>
      </c>
      <c r="I781" s="9">
        <v>45328</v>
      </c>
    </row>
    <row r="782" spans="1:9" ht="27" x14ac:dyDescent="0.15">
      <c r="A782" s="6">
        <v>781</v>
      </c>
      <c r="B782" s="7" t="s">
        <v>9</v>
      </c>
      <c r="C782" s="8">
        <v>1886</v>
      </c>
      <c r="D782" s="9">
        <v>45418</v>
      </c>
      <c r="E782" s="13" t="str">
        <f>+HYPERLINK("http://trademark.i-assist.jp/data/china/image_1886th/76807280.pdf","76807280")</f>
        <v>76807280</v>
      </c>
      <c r="F782" s="7" t="s">
        <v>2137</v>
      </c>
      <c r="G782" s="7" t="s">
        <v>2138</v>
      </c>
      <c r="H782" s="7" t="s">
        <v>2139</v>
      </c>
      <c r="I782" s="9">
        <v>45328</v>
      </c>
    </row>
    <row r="783" spans="1:9" x14ac:dyDescent="0.15">
      <c r="A783" s="6">
        <v>782</v>
      </c>
      <c r="B783" s="7" t="s">
        <v>9</v>
      </c>
      <c r="C783" s="8">
        <v>1886</v>
      </c>
      <c r="D783" s="9">
        <v>45418</v>
      </c>
      <c r="E783" s="13" t="str">
        <f>+HYPERLINK("http://trademark.i-assist.jp/data/china/image_1886th/76807441.pdf","76807441")</f>
        <v>76807441</v>
      </c>
      <c r="F783" s="7" t="s">
        <v>2140</v>
      </c>
      <c r="G783" s="7" t="s">
        <v>2141</v>
      </c>
      <c r="H783" s="7" t="s">
        <v>2142</v>
      </c>
      <c r="I783" s="9">
        <v>45328</v>
      </c>
    </row>
    <row r="784" spans="1:9" x14ac:dyDescent="0.15">
      <c r="A784" s="6">
        <v>783</v>
      </c>
      <c r="B784" s="7" t="s">
        <v>9</v>
      </c>
      <c r="C784" s="8">
        <v>1886</v>
      </c>
      <c r="D784" s="9">
        <v>45418</v>
      </c>
      <c r="E784" s="13" t="str">
        <f>+HYPERLINK("http://trademark.i-assist.jp/data/china/image_1886th/76807509.pdf","76807509")</f>
        <v>76807509</v>
      </c>
      <c r="F784" s="7" t="s">
        <v>2143</v>
      </c>
      <c r="G784" s="7" t="s">
        <v>2053</v>
      </c>
      <c r="H784" s="7" t="s">
        <v>2144</v>
      </c>
      <c r="I784" s="9">
        <v>45328</v>
      </c>
    </row>
    <row r="785" spans="1:9" x14ac:dyDescent="0.15">
      <c r="A785" s="6">
        <v>784</v>
      </c>
      <c r="B785" s="7" t="s">
        <v>9</v>
      </c>
      <c r="C785" s="8">
        <v>1886</v>
      </c>
      <c r="D785" s="9">
        <v>45418</v>
      </c>
      <c r="E785" s="13" t="str">
        <f>+HYPERLINK("http://trademark.i-assist.jp/data/china/image_1886th/76807564.pdf","76807564")</f>
        <v>76807564</v>
      </c>
      <c r="F785" s="7" t="s">
        <v>2145</v>
      </c>
      <c r="G785" s="7" t="s">
        <v>2146</v>
      </c>
      <c r="H785" s="7" t="s">
        <v>2147</v>
      </c>
      <c r="I785" s="9">
        <v>45328</v>
      </c>
    </row>
    <row r="786" spans="1:9" x14ac:dyDescent="0.15">
      <c r="A786" s="6">
        <v>785</v>
      </c>
      <c r="B786" s="7" t="s">
        <v>9</v>
      </c>
      <c r="C786" s="8">
        <v>1886</v>
      </c>
      <c r="D786" s="9">
        <v>45418</v>
      </c>
      <c r="E786" s="13" t="str">
        <f>+HYPERLINK("http://trademark.i-assist.jp/data/china/image_1886th/76807731.pdf","76807731")</f>
        <v>76807731</v>
      </c>
      <c r="F786" s="7" t="s">
        <v>2148</v>
      </c>
      <c r="G786" s="7" t="s">
        <v>2149</v>
      </c>
      <c r="H786" s="7" t="s">
        <v>2150</v>
      </c>
      <c r="I786" s="9">
        <v>45328</v>
      </c>
    </row>
    <row r="787" spans="1:9" x14ac:dyDescent="0.15">
      <c r="A787" s="6">
        <v>786</v>
      </c>
      <c r="B787" s="7" t="s">
        <v>9</v>
      </c>
      <c r="C787" s="8">
        <v>1886</v>
      </c>
      <c r="D787" s="9">
        <v>45418</v>
      </c>
      <c r="E787" s="13" t="str">
        <f>+HYPERLINK("http://trademark.i-assist.jp/data/china/image_1886th/76807989.pdf","76807989")</f>
        <v>76807989</v>
      </c>
      <c r="F787" s="7" t="s">
        <v>2151</v>
      </c>
      <c r="G787" s="7" t="s">
        <v>2048</v>
      </c>
      <c r="H787" s="7" t="s">
        <v>2152</v>
      </c>
      <c r="I787" s="9">
        <v>45328</v>
      </c>
    </row>
    <row r="788" spans="1:9" x14ac:dyDescent="0.15">
      <c r="A788" s="6">
        <v>787</v>
      </c>
      <c r="B788" s="7" t="s">
        <v>9</v>
      </c>
      <c r="C788" s="8">
        <v>1886</v>
      </c>
      <c r="D788" s="9">
        <v>45418</v>
      </c>
      <c r="E788" s="13" t="str">
        <f>+HYPERLINK("http://trademark.i-assist.jp/data/china/image_1886th/76808085.pdf","76808085")</f>
        <v>76808085</v>
      </c>
      <c r="F788" s="7" t="s">
        <v>2153</v>
      </c>
      <c r="G788" s="7" t="s">
        <v>2048</v>
      </c>
      <c r="H788" s="7" t="s">
        <v>2154</v>
      </c>
      <c r="I788" s="9">
        <v>45328</v>
      </c>
    </row>
    <row r="789" spans="1:9" x14ac:dyDescent="0.15">
      <c r="A789" s="6">
        <v>788</v>
      </c>
      <c r="B789" s="7" t="s">
        <v>9</v>
      </c>
      <c r="C789" s="8">
        <v>1886</v>
      </c>
      <c r="D789" s="9">
        <v>45418</v>
      </c>
      <c r="E789" s="13" t="str">
        <f>+HYPERLINK("http://trademark.i-assist.jp/data/china/image_1886th/76808160.pdf","76808160")</f>
        <v>76808160</v>
      </c>
      <c r="F789" s="7" t="s">
        <v>2155</v>
      </c>
      <c r="G789" s="7" t="s">
        <v>2048</v>
      </c>
      <c r="H789" s="7" t="s">
        <v>2156</v>
      </c>
      <c r="I789" s="9">
        <v>45328</v>
      </c>
    </row>
    <row r="790" spans="1:9" x14ac:dyDescent="0.15">
      <c r="A790" s="6">
        <v>789</v>
      </c>
      <c r="B790" s="7" t="s">
        <v>9</v>
      </c>
      <c r="C790" s="8">
        <v>1886</v>
      </c>
      <c r="D790" s="9">
        <v>45418</v>
      </c>
      <c r="E790" s="13" t="str">
        <f>+HYPERLINK("http://trademark.i-assist.jp/data/china/image_1886th/76808186.pdf","76808186")</f>
        <v>76808186</v>
      </c>
      <c r="F790" s="7" t="s">
        <v>2157</v>
      </c>
      <c r="G790" s="7" t="s">
        <v>2158</v>
      </c>
      <c r="H790" s="7" t="s">
        <v>2159</v>
      </c>
      <c r="I790" s="9">
        <v>45328</v>
      </c>
    </row>
    <row r="791" spans="1:9" x14ac:dyDescent="0.15">
      <c r="A791" s="6">
        <v>790</v>
      </c>
      <c r="B791" s="7" t="s">
        <v>9</v>
      </c>
      <c r="C791" s="8">
        <v>1886</v>
      </c>
      <c r="D791" s="9">
        <v>45418</v>
      </c>
      <c r="E791" s="13" t="str">
        <f>+HYPERLINK("http://trademark.i-assist.jp/data/china/image_1886th/76808279.pdf","76808279")</f>
        <v>76808279</v>
      </c>
      <c r="F791" s="7" t="s">
        <v>2160</v>
      </c>
      <c r="G791" s="7" t="s">
        <v>2048</v>
      </c>
      <c r="H791" s="7" t="s">
        <v>2161</v>
      </c>
      <c r="I791" s="9">
        <v>45328</v>
      </c>
    </row>
    <row r="792" spans="1:9" ht="27" x14ac:dyDescent="0.15">
      <c r="A792" s="6">
        <v>791</v>
      </c>
      <c r="B792" s="7" t="s">
        <v>9</v>
      </c>
      <c r="C792" s="8">
        <v>1886</v>
      </c>
      <c r="D792" s="9">
        <v>45418</v>
      </c>
      <c r="E792" s="13" t="str">
        <f>+HYPERLINK("http://trademark.i-assist.jp/data/china/image_1886th/76808496.pdf","76808496")</f>
        <v>76808496</v>
      </c>
      <c r="F792" s="7" t="s">
        <v>2162</v>
      </c>
      <c r="G792" s="7" t="s">
        <v>2163</v>
      </c>
      <c r="H792" s="7" t="s">
        <v>2164</v>
      </c>
      <c r="I792" s="9">
        <v>45328</v>
      </c>
    </row>
    <row r="793" spans="1:9" x14ac:dyDescent="0.15">
      <c r="A793" s="6">
        <v>792</v>
      </c>
      <c r="B793" s="7" t="s">
        <v>9</v>
      </c>
      <c r="C793" s="8">
        <v>1886</v>
      </c>
      <c r="D793" s="9">
        <v>45418</v>
      </c>
      <c r="E793" s="13" t="str">
        <f>+HYPERLINK("http://trademark.i-assist.jp/data/china/image_1886th/76808532.pdf","76808532")</f>
        <v>76808532</v>
      </c>
      <c r="F793" s="7" t="s">
        <v>2165</v>
      </c>
      <c r="G793" s="7" t="s">
        <v>1845</v>
      </c>
      <c r="H793" s="7" t="s">
        <v>2166</v>
      </c>
      <c r="I793" s="9">
        <v>45328</v>
      </c>
    </row>
    <row r="794" spans="1:9" x14ac:dyDescent="0.15">
      <c r="A794" s="6">
        <v>793</v>
      </c>
      <c r="B794" s="7" t="s">
        <v>9</v>
      </c>
      <c r="C794" s="8">
        <v>1886</v>
      </c>
      <c r="D794" s="9">
        <v>45418</v>
      </c>
      <c r="E794" s="13" t="str">
        <f>+HYPERLINK("http://trademark.i-assist.jp/data/china/image_1886th/76808922.pdf","76808922")</f>
        <v>76808922</v>
      </c>
      <c r="F794" s="7" t="s">
        <v>2167</v>
      </c>
      <c r="G794" s="7" t="s">
        <v>2168</v>
      </c>
      <c r="H794" s="7" t="s">
        <v>2169</v>
      </c>
      <c r="I794" s="9">
        <v>45328</v>
      </c>
    </row>
    <row r="795" spans="1:9" ht="27" x14ac:dyDescent="0.15">
      <c r="A795" s="6">
        <v>794</v>
      </c>
      <c r="B795" s="7" t="s">
        <v>9</v>
      </c>
      <c r="C795" s="8">
        <v>1886</v>
      </c>
      <c r="D795" s="9">
        <v>45418</v>
      </c>
      <c r="E795" s="13" t="str">
        <f>+HYPERLINK("http://trademark.i-assist.jp/data/china/image_1886th/76809052.pdf","76809052")</f>
        <v>76809052</v>
      </c>
      <c r="F795" s="7" t="s">
        <v>2170</v>
      </c>
      <c r="G795" s="7" t="s">
        <v>2171</v>
      </c>
      <c r="H795" s="7" t="s">
        <v>2172</v>
      </c>
      <c r="I795" s="9">
        <v>45328</v>
      </c>
    </row>
    <row r="796" spans="1:9" x14ac:dyDescent="0.15">
      <c r="A796" s="6">
        <v>795</v>
      </c>
      <c r="B796" s="7" t="s">
        <v>9</v>
      </c>
      <c r="C796" s="8">
        <v>1886</v>
      </c>
      <c r="D796" s="9">
        <v>45418</v>
      </c>
      <c r="E796" s="13" t="str">
        <f>+HYPERLINK("http://trademark.i-assist.jp/data/china/image_1886th/76810097.pdf","76810097")</f>
        <v>76810097</v>
      </c>
      <c r="F796" s="7" t="s">
        <v>2173</v>
      </c>
      <c r="G796" s="7" t="s">
        <v>2048</v>
      </c>
      <c r="H796" s="7" t="s">
        <v>2174</v>
      </c>
      <c r="I796" s="9">
        <v>45328</v>
      </c>
    </row>
    <row r="797" spans="1:9" x14ac:dyDescent="0.15">
      <c r="A797" s="6">
        <v>796</v>
      </c>
      <c r="B797" s="7" t="s">
        <v>9</v>
      </c>
      <c r="C797" s="8">
        <v>1886</v>
      </c>
      <c r="D797" s="9">
        <v>45418</v>
      </c>
      <c r="E797" s="13" t="str">
        <f>+HYPERLINK("http://trademark.i-assist.jp/data/china/image_1886th/76810099.pdf","76810099")</f>
        <v>76810099</v>
      </c>
      <c r="F797" s="7" t="s">
        <v>2175</v>
      </c>
      <c r="G797" s="7" t="s">
        <v>2048</v>
      </c>
      <c r="H797" s="7" t="s">
        <v>2176</v>
      </c>
      <c r="I797" s="9">
        <v>45328</v>
      </c>
    </row>
    <row r="798" spans="1:9" x14ac:dyDescent="0.15">
      <c r="A798" s="6">
        <v>797</v>
      </c>
      <c r="B798" s="7" t="s">
        <v>9</v>
      </c>
      <c r="C798" s="8">
        <v>1886</v>
      </c>
      <c r="D798" s="9">
        <v>45418</v>
      </c>
      <c r="E798" s="13" t="str">
        <f>+HYPERLINK("http://trademark.i-assist.jp/data/china/image_1886th/76810187.pdf","76810187")</f>
        <v>76810187</v>
      </c>
      <c r="F798" s="7" t="s">
        <v>2177</v>
      </c>
      <c r="G798" s="7" t="s">
        <v>2178</v>
      </c>
      <c r="H798" s="7" t="s">
        <v>2179</v>
      </c>
      <c r="I798" s="9">
        <v>45328</v>
      </c>
    </row>
    <row r="799" spans="1:9" ht="27" x14ac:dyDescent="0.15">
      <c r="A799" s="6">
        <v>798</v>
      </c>
      <c r="B799" s="7" t="s">
        <v>9</v>
      </c>
      <c r="C799" s="8">
        <v>1886</v>
      </c>
      <c r="D799" s="9">
        <v>45418</v>
      </c>
      <c r="E799" s="13" t="str">
        <f>+HYPERLINK("http://trademark.i-assist.jp/data/china/image_1886th/76810404.pdf","76810404")</f>
        <v>76810404</v>
      </c>
      <c r="F799" s="7" t="s">
        <v>2180</v>
      </c>
      <c r="G799" s="7" t="s">
        <v>2181</v>
      </c>
      <c r="H799" s="7" t="s">
        <v>2182</v>
      </c>
      <c r="I799" s="9">
        <v>45328</v>
      </c>
    </row>
    <row r="800" spans="1:9" x14ac:dyDescent="0.15">
      <c r="A800" s="6">
        <v>799</v>
      </c>
      <c r="B800" s="7" t="s">
        <v>9</v>
      </c>
      <c r="C800" s="8">
        <v>1886</v>
      </c>
      <c r="D800" s="9">
        <v>45418</v>
      </c>
      <c r="E800" s="13" t="str">
        <f>+HYPERLINK("http://trademark.i-assist.jp/data/china/image_1886th/76810473.pdf","76810473")</f>
        <v>76810473</v>
      </c>
      <c r="F800" s="7" t="s">
        <v>2183</v>
      </c>
      <c r="G800" s="7" t="s">
        <v>2048</v>
      </c>
      <c r="H800" s="7" t="s">
        <v>2184</v>
      </c>
      <c r="I800" s="9">
        <v>45328</v>
      </c>
    </row>
    <row r="801" spans="1:9" x14ac:dyDescent="0.15">
      <c r="A801" s="6">
        <v>800</v>
      </c>
      <c r="B801" s="7" t="s">
        <v>9</v>
      </c>
      <c r="C801" s="8">
        <v>1886</v>
      </c>
      <c r="D801" s="9">
        <v>45418</v>
      </c>
      <c r="E801" s="13" t="str">
        <f>+HYPERLINK("http://trademark.i-assist.jp/data/china/image_1886th/76810476.pdf","76810476")</f>
        <v>76810476</v>
      </c>
      <c r="F801" s="7" t="s">
        <v>2185</v>
      </c>
      <c r="G801" s="7" t="s">
        <v>2048</v>
      </c>
      <c r="H801" s="7" t="s">
        <v>2186</v>
      </c>
      <c r="I801" s="9">
        <v>45328</v>
      </c>
    </row>
    <row r="802" spans="1:9" x14ac:dyDescent="0.15">
      <c r="A802" s="6">
        <v>801</v>
      </c>
      <c r="B802" s="7" t="s">
        <v>9</v>
      </c>
      <c r="C802" s="8">
        <v>1886</v>
      </c>
      <c r="D802" s="9">
        <v>45418</v>
      </c>
      <c r="E802" s="13" t="str">
        <f>+HYPERLINK("http://trademark.i-assist.jp/data/china/image_1886th/76811100.pdf","76811100")</f>
        <v>76811100</v>
      </c>
      <c r="F802" s="7" t="s">
        <v>2187</v>
      </c>
      <c r="G802" s="7" t="s">
        <v>2188</v>
      </c>
      <c r="H802" s="7" t="s">
        <v>2189</v>
      </c>
      <c r="I802" s="9">
        <v>45328</v>
      </c>
    </row>
    <row r="803" spans="1:9" x14ac:dyDescent="0.15">
      <c r="A803" s="6">
        <v>802</v>
      </c>
      <c r="B803" s="7" t="s">
        <v>9</v>
      </c>
      <c r="C803" s="8">
        <v>1886</v>
      </c>
      <c r="D803" s="9">
        <v>45418</v>
      </c>
      <c r="E803" s="13" t="str">
        <f>+HYPERLINK("http://trademark.i-assist.jp/data/china/image_1886th/76811498.pdf","76811498")</f>
        <v>76811498</v>
      </c>
      <c r="F803" s="7" t="s">
        <v>2190</v>
      </c>
      <c r="G803" s="7" t="s">
        <v>2048</v>
      </c>
      <c r="H803" s="7" t="s">
        <v>2191</v>
      </c>
      <c r="I803" s="9">
        <v>45328</v>
      </c>
    </row>
    <row r="804" spans="1:9" x14ac:dyDescent="0.15">
      <c r="A804" s="6">
        <v>803</v>
      </c>
      <c r="B804" s="7" t="s">
        <v>9</v>
      </c>
      <c r="C804" s="8">
        <v>1886</v>
      </c>
      <c r="D804" s="9">
        <v>45418</v>
      </c>
      <c r="E804" s="13" t="str">
        <f>+HYPERLINK("http://trademark.i-assist.jp/data/china/image_1886th/76811500.pdf","76811500")</f>
        <v>76811500</v>
      </c>
      <c r="F804" s="7" t="s">
        <v>2192</v>
      </c>
      <c r="G804" s="7" t="s">
        <v>830</v>
      </c>
      <c r="H804" s="7" t="s">
        <v>2193</v>
      </c>
      <c r="I804" s="9">
        <v>45328</v>
      </c>
    </row>
    <row r="805" spans="1:9" x14ac:dyDescent="0.15">
      <c r="A805" s="6">
        <v>804</v>
      </c>
      <c r="B805" s="7" t="s">
        <v>9</v>
      </c>
      <c r="C805" s="8">
        <v>1886</v>
      </c>
      <c r="D805" s="9">
        <v>45418</v>
      </c>
      <c r="E805" s="13" t="str">
        <f>+HYPERLINK("http://trademark.i-assist.jp/data/china/image_1886th/76811630.pdf","76811630")</f>
        <v>76811630</v>
      </c>
      <c r="F805" s="7" t="s">
        <v>2194</v>
      </c>
      <c r="G805" s="7" t="s">
        <v>2195</v>
      </c>
      <c r="H805" s="7" t="s">
        <v>2196</v>
      </c>
      <c r="I805" s="9">
        <v>45328</v>
      </c>
    </row>
    <row r="806" spans="1:9" x14ac:dyDescent="0.15">
      <c r="A806" s="6">
        <v>805</v>
      </c>
      <c r="B806" s="7" t="s">
        <v>9</v>
      </c>
      <c r="C806" s="8">
        <v>1886</v>
      </c>
      <c r="D806" s="9">
        <v>45418</v>
      </c>
      <c r="E806" s="13" t="str">
        <f>+HYPERLINK("http://trademark.i-assist.jp/data/china/image_1886th/76811824.pdf","76811824")</f>
        <v>76811824</v>
      </c>
      <c r="F806" s="7" t="s">
        <v>2197</v>
      </c>
      <c r="G806" s="7" t="s">
        <v>2198</v>
      </c>
      <c r="H806" s="7" t="s">
        <v>2199</v>
      </c>
      <c r="I806" s="9">
        <v>45328</v>
      </c>
    </row>
    <row r="807" spans="1:9" x14ac:dyDescent="0.15">
      <c r="A807" s="6">
        <v>806</v>
      </c>
      <c r="B807" s="7" t="s">
        <v>9</v>
      </c>
      <c r="C807" s="8">
        <v>1886</v>
      </c>
      <c r="D807" s="9">
        <v>45418</v>
      </c>
      <c r="E807" s="13" t="str">
        <f>+HYPERLINK("http://trademark.i-assist.jp/data/china/image_1886th/76812022.pdf","76812022")</f>
        <v>76812022</v>
      </c>
      <c r="F807" s="7" t="s">
        <v>2200</v>
      </c>
      <c r="G807" s="7" t="s">
        <v>2048</v>
      </c>
      <c r="H807" s="7" t="s">
        <v>2201</v>
      </c>
      <c r="I807" s="9">
        <v>45328</v>
      </c>
    </row>
    <row r="808" spans="1:9" x14ac:dyDescent="0.15">
      <c r="A808" s="6">
        <v>807</v>
      </c>
      <c r="B808" s="7" t="s">
        <v>9</v>
      </c>
      <c r="C808" s="8">
        <v>1886</v>
      </c>
      <c r="D808" s="9">
        <v>45418</v>
      </c>
      <c r="E808" s="13" t="str">
        <f>+HYPERLINK("http://trademark.i-assist.jp/data/china/image_1886th/76812205.pdf","76812205")</f>
        <v>76812205</v>
      </c>
      <c r="F808" s="7" t="s">
        <v>2202</v>
      </c>
      <c r="G808" s="7" t="s">
        <v>2048</v>
      </c>
      <c r="H808" s="7" t="s">
        <v>2203</v>
      </c>
      <c r="I808" s="9">
        <v>45328</v>
      </c>
    </row>
    <row r="809" spans="1:9" x14ac:dyDescent="0.15">
      <c r="A809" s="6">
        <v>808</v>
      </c>
      <c r="B809" s="7" t="s">
        <v>9</v>
      </c>
      <c r="C809" s="8">
        <v>1886</v>
      </c>
      <c r="D809" s="9">
        <v>45418</v>
      </c>
      <c r="E809" s="13" t="str">
        <f>+HYPERLINK("http://trademark.i-assist.jp/data/china/image_1886th/76812240.pdf","76812240")</f>
        <v>76812240</v>
      </c>
      <c r="F809" s="7" t="s">
        <v>2204</v>
      </c>
      <c r="G809" s="7" t="s">
        <v>2068</v>
      </c>
      <c r="H809" s="7" t="s">
        <v>2205</v>
      </c>
      <c r="I809" s="9">
        <v>45328</v>
      </c>
    </row>
    <row r="810" spans="1:9" x14ac:dyDescent="0.15">
      <c r="A810" s="6">
        <v>809</v>
      </c>
      <c r="B810" s="7" t="s">
        <v>9</v>
      </c>
      <c r="C810" s="8">
        <v>1886</v>
      </c>
      <c r="D810" s="9">
        <v>45418</v>
      </c>
      <c r="E810" s="13" t="str">
        <f>+HYPERLINK("http://trademark.i-assist.jp/data/china/image_1886th/76812326.pdf","76812326")</f>
        <v>76812326</v>
      </c>
      <c r="F810" s="7" t="s">
        <v>2206</v>
      </c>
      <c r="G810" s="7" t="s">
        <v>2048</v>
      </c>
      <c r="H810" s="7" t="s">
        <v>2207</v>
      </c>
      <c r="I810" s="9">
        <v>45328</v>
      </c>
    </row>
    <row r="811" spans="1:9" x14ac:dyDescent="0.15">
      <c r="A811" s="6">
        <v>810</v>
      </c>
      <c r="B811" s="7" t="s">
        <v>9</v>
      </c>
      <c r="C811" s="8">
        <v>1886</v>
      </c>
      <c r="D811" s="9">
        <v>45418</v>
      </c>
      <c r="E811" s="13" t="str">
        <f>+HYPERLINK("http://trademark.i-assist.jp/data/china/image_1886th/76812987.pdf","76812987")</f>
        <v>76812987</v>
      </c>
      <c r="F811" s="7" t="s">
        <v>2208</v>
      </c>
      <c r="G811" s="7" t="s">
        <v>2209</v>
      </c>
      <c r="H811" s="7" t="s">
        <v>2210</v>
      </c>
      <c r="I811" s="9">
        <v>45328</v>
      </c>
    </row>
    <row r="812" spans="1:9" x14ac:dyDescent="0.15">
      <c r="A812" s="6">
        <v>811</v>
      </c>
      <c r="B812" s="7" t="s">
        <v>9</v>
      </c>
      <c r="C812" s="8">
        <v>1886</v>
      </c>
      <c r="D812" s="9">
        <v>45418</v>
      </c>
      <c r="E812" s="13" t="str">
        <f>+HYPERLINK("http://trademark.i-assist.jp/data/china/image_1886th/76813024.pdf","76813024")</f>
        <v>76813024</v>
      </c>
      <c r="F812" s="7" t="s">
        <v>2211</v>
      </c>
      <c r="G812" s="7" t="s">
        <v>2212</v>
      </c>
      <c r="H812" s="7" t="s">
        <v>2213</v>
      </c>
      <c r="I812" s="9">
        <v>45328</v>
      </c>
    </row>
    <row r="813" spans="1:9" x14ac:dyDescent="0.15">
      <c r="A813" s="6">
        <v>812</v>
      </c>
      <c r="B813" s="7" t="s">
        <v>9</v>
      </c>
      <c r="C813" s="8">
        <v>1886</v>
      </c>
      <c r="D813" s="9">
        <v>45418</v>
      </c>
      <c r="E813" s="13" t="str">
        <f>+HYPERLINK("http://trademark.i-assist.jp/data/china/image_1886th/76813154.pdf","76813154")</f>
        <v>76813154</v>
      </c>
      <c r="F813" s="7" t="s">
        <v>2214</v>
      </c>
      <c r="G813" s="7" t="s">
        <v>2215</v>
      </c>
      <c r="H813" s="7" t="s">
        <v>2216</v>
      </c>
      <c r="I813" s="9">
        <v>45329</v>
      </c>
    </row>
    <row r="814" spans="1:9" x14ac:dyDescent="0.15">
      <c r="A814" s="6">
        <v>813</v>
      </c>
      <c r="B814" s="7" t="s">
        <v>9</v>
      </c>
      <c r="C814" s="8">
        <v>1886</v>
      </c>
      <c r="D814" s="9">
        <v>45418</v>
      </c>
      <c r="E814" s="13" t="str">
        <f>+HYPERLINK("http://trademark.i-assist.jp/data/china/image_1886th/76813324.pdf","76813324")</f>
        <v>76813324</v>
      </c>
      <c r="F814" s="7" t="s">
        <v>2217</v>
      </c>
      <c r="G814" s="7" t="s">
        <v>2218</v>
      </c>
      <c r="H814" s="7" t="s">
        <v>2219</v>
      </c>
      <c r="I814" s="9">
        <v>45329</v>
      </c>
    </row>
    <row r="815" spans="1:9" x14ac:dyDescent="0.15">
      <c r="A815" s="6">
        <v>814</v>
      </c>
      <c r="B815" s="7" t="s">
        <v>9</v>
      </c>
      <c r="C815" s="8">
        <v>1886</v>
      </c>
      <c r="D815" s="9">
        <v>45418</v>
      </c>
      <c r="E815" s="13" t="str">
        <f>+HYPERLINK("http://trademark.i-assist.jp/data/china/image_1886th/76813801.pdf","76813801")</f>
        <v>76813801</v>
      </c>
      <c r="F815" s="7" t="s">
        <v>2220</v>
      </c>
      <c r="G815" s="7" t="s">
        <v>2221</v>
      </c>
      <c r="H815" s="7" t="s">
        <v>2222</v>
      </c>
      <c r="I815" s="9">
        <v>45329</v>
      </c>
    </row>
    <row r="816" spans="1:9" x14ac:dyDescent="0.15">
      <c r="A816" s="6">
        <v>815</v>
      </c>
      <c r="B816" s="7" t="s">
        <v>9</v>
      </c>
      <c r="C816" s="8">
        <v>1886</v>
      </c>
      <c r="D816" s="9">
        <v>45418</v>
      </c>
      <c r="E816" s="13" t="str">
        <f>+HYPERLINK("http://trademark.i-assist.jp/data/china/image_1886th/76813992.pdf","76813992")</f>
        <v>76813992</v>
      </c>
      <c r="F816" s="7" t="s">
        <v>2223</v>
      </c>
      <c r="G816" s="7" t="s">
        <v>2224</v>
      </c>
      <c r="H816" s="7" t="s">
        <v>2225</v>
      </c>
      <c r="I816" s="9">
        <v>45329</v>
      </c>
    </row>
    <row r="817" spans="1:9" x14ac:dyDescent="0.15">
      <c r="A817" s="6">
        <v>816</v>
      </c>
      <c r="B817" s="7" t="s">
        <v>9</v>
      </c>
      <c r="C817" s="8">
        <v>1886</v>
      </c>
      <c r="D817" s="9">
        <v>45418</v>
      </c>
      <c r="E817" s="13" t="str">
        <f>+HYPERLINK("http://trademark.i-assist.jp/data/china/image_1886th/76814174.pdf","76814174")</f>
        <v>76814174</v>
      </c>
      <c r="F817" s="7" t="s">
        <v>2226</v>
      </c>
      <c r="G817" s="7" t="s">
        <v>2227</v>
      </c>
      <c r="H817" s="7" t="s">
        <v>2228</v>
      </c>
      <c r="I817" s="9">
        <v>45329</v>
      </c>
    </row>
    <row r="818" spans="1:9" x14ac:dyDescent="0.15">
      <c r="A818" s="6">
        <v>817</v>
      </c>
      <c r="B818" s="7" t="s">
        <v>9</v>
      </c>
      <c r="C818" s="8">
        <v>1886</v>
      </c>
      <c r="D818" s="9">
        <v>45418</v>
      </c>
      <c r="E818" s="13" t="str">
        <f>+HYPERLINK("http://trademark.i-assist.jp/data/china/image_1886th/76814180.pdf","76814180")</f>
        <v>76814180</v>
      </c>
      <c r="F818" s="7" t="s">
        <v>2229</v>
      </c>
      <c r="G818" s="7" t="s">
        <v>2230</v>
      </c>
      <c r="H818" s="7" t="s">
        <v>2231</v>
      </c>
      <c r="I818" s="9">
        <v>45329</v>
      </c>
    </row>
    <row r="819" spans="1:9" x14ac:dyDescent="0.15">
      <c r="A819" s="6">
        <v>818</v>
      </c>
      <c r="B819" s="7" t="s">
        <v>9</v>
      </c>
      <c r="C819" s="8">
        <v>1886</v>
      </c>
      <c r="D819" s="9">
        <v>45418</v>
      </c>
      <c r="E819" s="13" t="str">
        <f>+HYPERLINK("http://trademark.i-assist.jp/data/china/image_1886th/76814219.pdf","76814219")</f>
        <v>76814219</v>
      </c>
      <c r="F819" s="7" t="s">
        <v>2232</v>
      </c>
      <c r="G819" s="7" t="s">
        <v>2233</v>
      </c>
      <c r="H819" s="7" t="s">
        <v>2234</v>
      </c>
      <c r="I819" s="9">
        <v>45329</v>
      </c>
    </row>
    <row r="820" spans="1:9" x14ac:dyDescent="0.15">
      <c r="A820" s="6">
        <v>819</v>
      </c>
      <c r="B820" s="7" t="s">
        <v>9</v>
      </c>
      <c r="C820" s="8">
        <v>1886</v>
      </c>
      <c r="D820" s="9">
        <v>45418</v>
      </c>
      <c r="E820" s="13" t="str">
        <f>+HYPERLINK("http://trademark.i-assist.jp/data/china/image_1886th/76814352.pdf","76814352")</f>
        <v>76814352</v>
      </c>
      <c r="F820" s="7" t="s">
        <v>2235</v>
      </c>
      <c r="G820" s="7" t="s">
        <v>2236</v>
      </c>
      <c r="H820" s="7" t="s">
        <v>2237</v>
      </c>
      <c r="I820" s="9">
        <v>45329</v>
      </c>
    </row>
    <row r="821" spans="1:9" x14ac:dyDescent="0.15">
      <c r="A821" s="6">
        <v>820</v>
      </c>
      <c r="B821" s="7" t="s">
        <v>9</v>
      </c>
      <c r="C821" s="8">
        <v>1886</v>
      </c>
      <c r="D821" s="9">
        <v>45418</v>
      </c>
      <c r="E821" s="13" t="str">
        <f>+HYPERLINK("http://trademark.i-assist.jp/data/china/image_1886th/76814550.pdf","76814550")</f>
        <v>76814550</v>
      </c>
      <c r="F821" s="7" t="s">
        <v>2238</v>
      </c>
      <c r="G821" s="7" t="s">
        <v>2239</v>
      </c>
      <c r="H821" s="7" t="s">
        <v>2240</v>
      </c>
      <c r="I821" s="9">
        <v>45329</v>
      </c>
    </row>
    <row r="822" spans="1:9" x14ac:dyDescent="0.15">
      <c r="A822" s="6">
        <v>821</v>
      </c>
      <c r="B822" s="7" t="s">
        <v>9</v>
      </c>
      <c r="C822" s="8">
        <v>1886</v>
      </c>
      <c r="D822" s="9">
        <v>45418</v>
      </c>
      <c r="E822" s="13" t="str">
        <f>+HYPERLINK("http://trademark.i-assist.jp/data/china/image_1886th/76815140.pdf","76815140")</f>
        <v>76815140</v>
      </c>
      <c r="F822" s="7" t="s">
        <v>2241</v>
      </c>
      <c r="G822" s="7" t="s">
        <v>2242</v>
      </c>
      <c r="H822" s="7" t="s">
        <v>2243</v>
      </c>
      <c r="I822" s="9">
        <v>45329</v>
      </c>
    </row>
    <row r="823" spans="1:9" x14ac:dyDescent="0.15">
      <c r="A823" s="6">
        <v>822</v>
      </c>
      <c r="B823" s="7" t="s">
        <v>9</v>
      </c>
      <c r="C823" s="8">
        <v>1886</v>
      </c>
      <c r="D823" s="9">
        <v>45418</v>
      </c>
      <c r="E823" s="13" t="str">
        <f>+HYPERLINK("http://trademark.i-assist.jp/data/china/image_1886th/76815323.pdf","76815323")</f>
        <v>76815323</v>
      </c>
      <c r="F823" s="7" t="s">
        <v>33</v>
      </c>
      <c r="G823" s="7" t="s">
        <v>2244</v>
      </c>
      <c r="H823" s="7" t="s">
        <v>2245</v>
      </c>
      <c r="I823" s="9">
        <v>45329</v>
      </c>
    </row>
    <row r="824" spans="1:9" x14ac:dyDescent="0.15">
      <c r="A824" s="6">
        <v>823</v>
      </c>
      <c r="B824" s="7" t="s">
        <v>9</v>
      </c>
      <c r="C824" s="8">
        <v>1886</v>
      </c>
      <c r="D824" s="9">
        <v>45418</v>
      </c>
      <c r="E824" s="13" t="str">
        <f>+HYPERLINK("http://trademark.i-assist.jp/data/china/image_1886th/76815491.pdf","76815491")</f>
        <v>76815491</v>
      </c>
      <c r="F824" s="7" t="s">
        <v>2246</v>
      </c>
      <c r="G824" s="7" t="s">
        <v>2247</v>
      </c>
      <c r="H824" s="7" t="s">
        <v>2248</v>
      </c>
      <c r="I824" s="9">
        <v>45329</v>
      </c>
    </row>
    <row r="825" spans="1:9" x14ac:dyDescent="0.15">
      <c r="A825" s="6">
        <v>824</v>
      </c>
      <c r="B825" s="7" t="s">
        <v>9</v>
      </c>
      <c r="C825" s="8">
        <v>1886</v>
      </c>
      <c r="D825" s="9">
        <v>45418</v>
      </c>
      <c r="E825" s="13" t="str">
        <f>+HYPERLINK("http://trademark.i-assist.jp/data/china/image_1886th/76815732.pdf","76815732")</f>
        <v>76815732</v>
      </c>
      <c r="F825" s="7" t="s">
        <v>2249</v>
      </c>
      <c r="G825" s="7" t="s">
        <v>2227</v>
      </c>
      <c r="H825" s="7" t="s">
        <v>2250</v>
      </c>
      <c r="I825" s="9">
        <v>45329</v>
      </c>
    </row>
    <row r="826" spans="1:9" ht="27" x14ac:dyDescent="0.15">
      <c r="A826" s="6">
        <v>825</v>
      </c>
      <c r="B826" s="7" t="s">
        <v>9</v>
      </c>
      <c r="C826" s="8">
        <v>1886</v>
      </c>
      <c r="D826" s="9">
        <v>45418</v>
      </c>
      <c r="E826" s="13" t="str">
        <f>+HYPERLINK("http://trademark.i-assist.jp/data/china/image_1886th/76816083.pdf","76816083")</f>
        <v>76816083</v>
      </c>
      <c r="F826" s="7" t="s">
        <v>2251</v>
      </c>
      <c r="G826" s="7" t="s">
        <v>2252</v>
      </c>
      <c r="H826" s="7" t="s">
        <v>2253</v>
      </c>
      <c r="I826" s="9">
        <v>45329</v>
      </c>
    </row>
    <row r="827" spans="1:9" x14ac:dyDescent="0.15">
      <c r="A827" s="6">
        <v>826</v>
      </c>
      <c r="B827" s="7" t="s">
        <v>9</v>
      </c>
      <c r="C827" s="8">
        <v>1886</v>
      </c>
      <c r="D827" s="9">
        <v>45418</v>
      </c>
      <c r="E827" s="13" t="str">
        <f>+HYPERLINK("http://trademark.i-assist.jp/data/china/image_1886th/76816115.pdf","76816115")</f>
        <v>76816115</v>
      </c>
      <c r="F827" s="7" t="s">
        <v>2254</v>
      </c>
      <c r="G827" s="7" t="s">
        <v>2255</v>
      </c>
      <c r="H827" s="7" t="s">
        <v>2256</v>
      </c>
      <c r="I827" s="9">
        <v>45329</v>
      </c>
    </row>
    <row r="828" spans="1:9" ht="27" x14ac:dyDescent="0.15">
      <c r="A828" s="6">
        <v>827</v>
      </c>
      <c r="B828" s="7" t="s">
        <v>9</v>
      </c>
      <c r="C828" s="8">
        <v>1886</v>
      </c>
      <c r="D828" s="9">
        <v>45418</v>
      </c>
      <c r="E828" s="13" t="str">
        <f>+HYPERLINK("http://trademark.i-assist.jp/data/china/image_1886th/76816124.pdf","76816124")</f>
        <v>76816124</v>
      </c>
      <c r="F828" s="7" t="s">
        <v>2257</v>
      </c>
      <c r="G828" s="7" t="s">
        <v>2258</v>
      </c>
      <c r="H828" s="7" t="s">
        <v>2259</v>
      </c>
      <c r="I828" s="9">
        <v>45329</v>
      </c>
    </row>
    <row r="829" spans="1:9" x14ac:dyDescent="0.15">
      <c r="A829" s="6">
        <v>828</v>
      </c>
      <c r="B829" s="7" t="s">
        <v>9</v>
      </c>
      <c r="C829" s="8">
        <v>1886</v>
      </c>
      <c r="D829" s="9">
        <v>45418</v>
      </c>
      <c r="E829" s="13" t="str">
        <f>+HYPERLINK("http://trademark.i-assist.jp/data/china/image_1886th/76816768.pdf","76816768")</f>
        <v>76816768</v>
      </c>
      <c r="F829" s="7" t="s">
        <v>2260</v>
      </c>
      <c r="G829" s="7" t="s">
        <v>2261</v>
      </c>
      <c r="H829" s="7" t="s">
        <v>2262</v>
      </c>
      <c r="I829" s="9">
        <v>45329</v>
      </c>
    </row>
    <row r="830" spans="1:9" x14ac:dyDescent="0.15">
      <c r="A830" s="6">
        <v>829</v>
      </c>
      <c r="B830" s="7" t="s">
        <v>9</v>
      </c>
      <c r="C830" s="8">
        <v>1886</v>
      </c>
      <c r="D830" s="9">
        <v>45418</v>
      </c>
      <c r="E830" s="13" t="str">
        <f>+HYPERLINK("http://trademark.i-assist.jp/data/china/image_1886th/76816853.pdf","76816853")</f>
        <v>76816853</v>
      </c>
      <c r="F830" s="7" t="s">
        <v>2263</v>
      </c>
      <c r="G830" s="7" t="s">
        <v>2264</v>
      </c>
      <c r="H830" s="7" t="s">
        <v>2265</v>
      </c>
      <c r="I830" s="9">
        <v>45329</v>
      </c>
    </row>
    <row r="831" spans="1:9" x14ac:dyDescent="0.15">
      <c r="A831" s="6">
        <v>830</v>
      </c>
      <c r="B831" s="7" t="s">
        <v>9</v>
      </c>
      <c r="C831" s="8">
        <v>1886</v>
      </c>
      <c r="D831" s="9">
        <v>45418</v>
      </c>
      <c r="E831" s="13" t="str">
        <f>+HYPERLINK("http://trademark.i-assist.jp/data/china/image_1886th/76816973.pdf","76816973")</f>
        <v>76816973</v>
      </c>
      <c r="F831" s="7" t="s">
        <v>2266</v>
      </c>
      <c r="G831" s="7" t="s">
        <v>2267</v>
      </c>
      <c r="H831" s="7" t="s">
        <v>2268</v>
      </c>
      <c r="I831" s="9">
        <v>45329</v>
      </c>
    </row>
    <row r="832" spans="1:9" ht="27" x14ac:dyDescent="0.15">
      <c r="A832" s="6">
        <v>831</v>
      </c>
      <c r="B832" s="7" t="s">
        <v>9</v>
      </c>
      <c r="C832" s="8">
        <v>1886</v>
      </c>
      <c r="D832" s="9">
        <v>45418</v>
      </c>
      <c r="E832" s="13" t="str">
        <f>+HYPERLINK("http://trademark.i-assist.jp/data/china/image_1886th/76817102.pdf","76817102")</f>
        <v>76817102</v>
      </c>
      <c r="F832" s="7" t="s">
        <v>2269</v>
      </c>
      <c r="G832" s="7" t="s">
        <v>251</v>
      </c>
      <c r="H832" s="7" t="s">
        <v>2270</v>
      </c>
      <c r="I832" s="9">
        <v>45331</v>
      </c>
    </row>
    <row r="833" spans="1:9" x14ac:dyDescent="0.15">
      <c r="A833" s="6">
        <v>832</v>
      </c>
      <c r="B833" s="7" t="s">
        <v>9</v>
      </c>
      <c r="C833" s="8">
        <v>1886</v>
      </c>
      <c r="D833" s="9">
        <v>45418</v>
      </c>
      <c r="E833" s="13" t="str">
        <f>+HYPERLINK("http://trademark.i-assist.jp/data/china/image_1886th/76817217.pdf","76817217")</f>
        <v>76817217</v>
      </c>
      <c r="F833" s="7" t="s">
        <v>2271</v>
      </c>
      <c r="G833" s="7" t="s">
        <v>2261</v>
      </c>
      <c r="H833" s="7" t="s">
        <v>2272</v>
      </c>
      <c r="I833" s="9">
        <v>45329</v>
      </c>
    </row>
    <row r="834" spans="1:9" x14ac:dyDescent="0.15">
      <c r="A834" s="6">
        <v>833</v>
      </c>
      <c r="B834" s="7" t="s">
        <v>9</v>
      </c>
      <c r="C834" s="8">
        <v>1886</v>
      </c>
      <c r="D834" s="9">
        <v>45418</v>
      </c>
      <c r="E834" s="13" t="str">
        <f>+HYPERLINK("http://trademark.i-assist.jp/data/china/image_1886th/76817457.pdf","76817457")</f>
        <v>76817457</v>
      </c>
      <c r="F834" s="7" t="s">
        <v>2273</v>
      </c>
      <c r="G834" s="7" t="s">
        <v>2274</v>
      </c>
      <c r="H834" s="7" t="s">
        <v>2275</v>
      </c>
      <c r="I834" s="9">
        <v>45329</v>
      </c>
    </row>
    <row r="835" spans="1:9" x14ac:dyDescent="0.15">
      <c r="A835" s="6">
        <v>834</v>
      </c>
      <c r="B835" s="7" t="s">
        <v>9</v>
      </c>
      <c r="C835" s="8">
        <v>1886</v>
      </c>
      <c r="D835" s="9">
        <v>45418</v>
      </c>
      <c r="E835" s="13" t="str">
        <f>+HYPERLINK("http://trademark.i-assist.jp/data/china/image_1886th/76818113.pdf","76818113")</f>
        <v>76818113</v>
      </c>
      <c r="F835" s="7" t="s">
        <v>33</v>
      </c>
      <c r="G835" s="7" t="s">
        <v>2276</v>
      </c>
      <c r="H835" s="7" t="s">
        <v>2277</v>
      </c>
      <c r="I835" s="9">
        <v>45329</v>
      </c>
    </row>
    <row r="836" spans="1:9" x14ac:dyDescent="0.15">
      <c r="A836" s="6">
        <v>835</v>
      </c>
      <c r="B836" s="7" t="s">
        <v>9</v>
      </c>
      <c r="C836" s="8">
        <v>1886</v>
      </c>
      <c r="D836" s="9">
        <v>45418</v>
      </c>
      <c r="E836" s="13" t="str">
        <f>+HYPERLINK("http://trademark.i-assist.jp/data/china/image_1886th/76818122.pdf","76818122")</f>
        <v>76818122</v>
      </c>
      <c r="F836" s="7" t="s">
        <v>2278</v>
      </c>
      <c r="G836" s="7" t="s">
        <v>251</v>
      </c>
      <c r="H836" s="7" t="s">
        <v>2279</v>
      </c>
      <c r="I836" s="9">
        <v>45329</v>
      </c>
    </row>
    <row r="837" spans="1:9" x14ac:dyDescent="0.15">
      <c r="A837" s="6">
        <v>836</v>
      </c>
      <c r="B837" s="7" t="s">
        <v>9</v>
      </c>
      <c r="C837" s="8">
        <v>1886</v>
      </c>
      <c r="D837" s="9">
        <v>45418</v>
      </c>
      <c r="E837" s="13" t="str">
        <f>+HYPERLINK("http://trademark.i-assist.jp/data/china/image_1886th/76818212.pdf","76818212")</f>
        <v>76818212</v>
      </c>
      <c r="F837" s="7" t="s">
        <v>2280</v>
      </c>
      <c r="G837" s="7" t="s">
        <v>2281</v>
      </c>
      <c r="H837" s="7" t="s">
        <v>2282</v>
      </c>
      <c r="I837" s="9">
        <v>45329</v>
      </c>
    </row>
    <row r="838" spans="1:9" x14ac:dyDescent="0.15">
      <c r="A838" s="6">
        <v>837</v>
      </c>
      <c r="B838" s="7" t="s">
        <v>9</v>
      </c>
      <c r="C838" s="8">
        <v>1886</v>
      </c>
      <c r="D838" s="9">
        <v>45418</v>
      </c>
      <c r="E838" s="13" t="str">
        <f>+HYPERLINK("http://trademark.i-assist.jp/data/china/image_1886th/76818687.pdf","76818687")</f>
        <v>76818687</v>
      </c>
      <c r="F838" s="7" t="s">
        <v>2283</v>
      </c>
      <c r="G838" s="7" t="s">
        <v>1925</v>
      </c>
      <c r="H838" s="7" t="s">
        <v>2284</v>
      </c>
      <c r="I838" s="9">
        <v>45329</v>
      </c>
    </row>
    <row r="839" spans="1:9" x14ac:dyDescent="0.15">
      <c r="A839" s="6">
        <v>838</v>
      </c>
      <c r="B839" s="7" t="s">
        <v>9</v>
      </c>
      <c r="C839" s="8">
        <v>1886</v>
      </c>
      <c r="D839" s="9">
        <v>45418</v>
      </c>
      <c r="E839" s="13" t="str">
        <f>+HYPERLINK("http://trademark.i-assist.jp/data/china/image_1886th/76818943.pdf","76818943")</f>
        <v>76818943</v>
      </c>
      <c r="F839" s="7" t="s">
        <v>2285</v>
      </c>
      <c r="G839" s="7" t="s">
        <v>2286</v>
      </c>
      <c r="H839" s="7" t="s">
        <v>2287</v>
      </c>
      <c r="I839" s="9">
        <v>45329</v>
      </c>
    </row>
    <row r="840" spans="1:9" x14ac:dyDescent="0.15">
      <c r="A840" s="6">
        <v>839</v>
      </c>
      <c r="B840" s="7" t="s">
        <v>9</v>
      </c>
      <c r="C840" s="8">
        <v>1886</v>
      </c>
      <c r="D840" s="9">
        <v>45418</v>
      </c>
      <c r="E840" s="13" t="str">
        <f>+HYPERLINK("http://trademark.i-assist.jp/data/china/image_1886th/76819383.pdf","76819383")</f>
        <v>76819383</v>
      </c>
      <c r="F840" s="7" t="s">
        <v>2288</v>
      </c>
      <c r="G840" s="7" t="s">
        <v>2261</v>
      </c>
      <c r="H840" s="7" t="s">
        <v>2289</v>
      </c>
      <c r="I840" s="9">
        <v>45329</v>
      </c>
    </row>
    <row r="841" spans="1:9" ht="27" x14ac:dyDescent="0.15">
      <c r="A841" s="6">
        <v>840</v>
      </c>
      <c r="B841" s="7" t="s">
        <v>9</v>
      </c>
      <c r="C841" s="8">
        <v>1886</v>
      </c>
      <c r="D841" s="9">
        <v>45418</v>
      </c>
      <c r="E841" s="13" t="str">
        <f>+HYPERLINK("http://trademark.i-assist.jp/data/china/image_1886th/76819519.pdf","76819519")</f>
        <v>76819519</v>
      </c>
      <c r="F841" s="7" t="s">
        <v>2290</v>
      </c>
      <c r="G841" s="7" t="s">
        <v>2291</v>
      </c>
      <c r="H841" s="7" t="s">
        <v>2292</v>
      </c>
      <c r="I841" s="9">
        <v>45329</v>
      </c>
    </row>
    <row r="842" spans="1:9" x14ac:dyDescent="0.15">
      <c r="A842" s="6">
        <v>841</v>
      </c>
      <c r="B842" s="7" t="s">
        <v>9</v>
      </c>
      <c r="C842" s="8">
        <v>1886</v>
      </c>
      <c r="D842" s="9">
        <v>45418</v>
      </c>
      <c r="E842" s="13" t="str">
        <f>+HYPERLINK("http://trademark.i-assist.jp/data/china/image_1886th/76819683.pdf","76819683")</f>
        <v>76819683</v>
      </c>
      <c r="F842" s="7" t="s">
        <v>2293</v>
      </c>
      <c r="G842" s="7" t="s">
        <v>2294</v>
      </c>
      <c r="H842" s="7" t="s">
        <v>2295</v>
      </c>
      <c r="I842" s="9">
        <v>45329</v>
      </c>
    </row>
    <row r="843" spans="1:9" x14ac:dyDescent="0.15">
      <c r="A843" s="6">
        <v>842</v>
      </c>
      <c r="B843" s="7" t="s">
        <v>9</v>
      </c>
      <c r="C843" s="8">
        <v>1886</v>
      </c>
      <c r="D843" s="9">
        <v>45418</v>
      </c>
      <c r="E843" s="13" t="str">
        <f>+HYPERLINK("http://trademark.i-assist.jp/data/china/image_1886th/76819749.pdf","76819749")</f>
        <v>76819749</v>
      </c>
      <c r="F843" s="7" t="s">
        <v>2296</v>
      </c>
      <c r="G843" s="7" t="s">
        <v>2297</v>
      </c>
      <c r="H843" s="7" t="s">
        <v>2298</v>
      </c>
      <c r="I843" s="9">
        <v>45329</v>
      </c>
    </row>
    <row r="844" spans="1:9" ht="27" x14ac:dyDescent="0.15">
      <c r="A844" s="6">
        <v>843</v>
      </c>
      <c r="B844" s="7" t="s">
        <v>9</v>
      </c>
      <c r="C844" s="8">
        <v>1886</v>
      </c>
      <c r="D844" s="9">
        <v>45418</v>
      </c>
      <c r="E844" s="13" t="str">
        <f>+HYPERLINK("http://trademark.i-assist.jp/data/china/image_1886th/76820017.pdf","76820017")</f>
        <v>76820017</v>
      </c>
      <c r="F844" s="7" t="s">
        <v>2299</v>
      </c>
      <c r="G844" s="7" t="s">
        <v>2300</v>
      </c>
      <c r="H844" s="7" t="s">
        <v>2301</v>
      </c>
      <c r="I844" s="9">
        <v>45329</v>
      </c>
    </row>
    <row r="845" spans="1:9" x14ac:dyDescent="0.15">
      <c r="A845" s="6">
        <v>844</v>
      </c>
      <c r="B845" s="7" t="s">
        <v>9</v>
      </c>
      <c r="C845" s="8">
        <v>1886</v>
      </c>
      <c r="D845" s="9">
        <v>45418</v>
      </c>
      <c r="E845" s="13" t="str">
        <f>+HYPERLINK("http://trademark.i-assist.jp/data/china/image_1886th/76820123.pdf","76820123")</f>
        <v>76820123</v>
      </c>
      <c r="F845" s="7" t="s">
        <v>2302</v>
      </c>
      <c r="G845" s="7" t="s">
        <v>2239</v>
      </c>
      <c r="H845" s="7" t="s">
        <v>2303</v>
      </c>
      <c r="I845" s="9">
        <v>45329</v>
      </c>
    </row>
    <row r="846" spans="1:9" x14ac:dyDescent="0.15">
      <c r="A846" s="6">
        <v>845</v>
      </c>
      <c r="B846" s="7" t="s">
        <v>9</v>
      </c>
      <c r="C846" s="8">
        <v>1886</v>
      </c>
      <c r="D846" s="9">
        <v>45418</v>
      </c>
      <c r="E846" s="13" t="str">
        <f>+HYPERLINK("http://trademark.i-assist.jp/data/china/image_1886th/76820212.pdf","76820212")</f>
        <v>76820212</v>
      </c>
      <c r="F846" s="7" t="s">
        <v>2304</v>
      </c>
      <c r="G846" s="7" t="s">
        <v>2261</v>
      </c>
      <c r="H846" s="7" t="s">
        <v>2305</v>
      </c>
      <c r="I846" s="9">
        <v>45329</v>
      </c>
    </row>
    <row r="847" spans="1:9" ht="27" x14ac:dyDescent="0.15">
      <c r="A847" s="6">
        <v>846</v>
      </c>
      <c r="B847" s="7" t="s">
        <v>9</v>
      </c>
      <c r="C847" s="8">
        <v>1886</v>
      </c>
      <c r="D847" s="9">
        <v>45418</v>
      </c>
      <c r="E847" s="13" t="str">
        <f>+HYPERLINK("http://trademark.i-assist.jp/data/china/image_1886th/76820342.pdf","76820342")</f>
        <v>76820342</v>
      </c>
      <c r="F847" s="7" t="s">
        <v>2306</v>
      </c>
      <c r="G847" s="7" t="s">
        <v>2307</v>
      </c>
      <c r="H847" s="7" t="s">
        <v>2308</v>
      </c>
      <c r="I847" s="9">
        <v>45329</v>
      </c>
    </row>
    <row r="848" spans="1:9" ht="27" x14ac:dyDescent="0.15">
      <c r="A848" s="6">
        <v>847</v>
      </c>
      <c r="B848" s="7" t="s">
        <v>9</v>
      </c>
      <c r="C848" s="8">
        <v>1886</v>
      </c>
      <c r="D848" s="9">
        <v>45418</v>
      </c>
      <c r="E848" s="13" t="str">
        <f>+HYPERLINK("http://trademark.i-assist.jp/data/china/image_1886th/76820441.pdf","76820441")</f>
        <v>76820441</v>
      </c>
      <c r="F848" s="7" t="s">
        <v>2309</v>
      </c>
      <c r="G848" s="7" t="s">
        <v>2310</v>
      </c>
      <c r="H848" s="7" t="s">
        <v>2311</v>
      </c>
      <c r="I848" s="9">
        <v>45329</v>
      </c>
    </row>
    <row r="849" spans="1:9" x14ac:dyDescent="0.15">
      <c r="A849" s="6">
        <v>848</v>
      </c>
      <c r="B849" s="7" t="s">
        <v>9</v>
      </c>
      <c r="C849" s="8">
        <v>1886</v>
      </c>
      <c r="D849" s="9">
        <v>45418</v>
      </c>
      <c r="E849" s="13" t="str">
        <f>+HYPERLINK("http://trademark.i-assist.jp/data/china/image_1886th/76820596.pdf","76820596")</f>
        <v>76820596</v>
      </c>
      <c r="F849" s="7" t="s">
        <v>2312</v>
      </c>
      <c r="G849" s="7" t="s">
        <v>2218</v>
      </c>
      <c r="H849" s="7" t="s">
        <v>2313</v>
      </c>
      <c r="I849" s="9">
        <v>45329</v>
      </c>
    </row>
    <row r="850" spans="1:9" x14ac:dyDescent="0.15">
      <c r="A850" s="6">
        <v>849</v>
      </c>
      <c r="B850" s="7" t="s">
        <v>9</v>
      </c>
      <c r="C850" s="8">
        <v>1886</v>
      </c>
      <c r="D850" s="9">
        <v>45418</v>
      </c>
      <c r="E850" s="13" t="str">
        <f>+HYPERLINK("http://trademark.i-assist.jp/data/china/image_1886th/76820660.pdf","76820660")</f>
        <v>76820660</v>
      </c>
      <c r="F850" s="7" t="s">
        <v>2314</v>
      </c>
      <c r="G850" s="7" t="s">
        <v>2227</v>
      </c>
      <c r="H850" s="7" t="s">
        <v>2315</v>
      </c>
      <c r="I850" s="9">
        <v>45329</v>
      </c>
    </row>
    <row r="851" spans="1:9" x14ac:dyDescent="0.15">
      <c r="A851" s="6">
        <v>850</v>
      </c>
      <c r="B851" s="7" t="s">
        <v>9</v>
      </c>
      <c r="C851" s="8">
        <v>1886</v>
      </c>
      <c r="D851" s="9">
        <v>45418</v>
      </c>
      <c r="E851" s="13" t="str">
        <f>+HYPERLINK("http://trademark.i-assist.jp/data/china/image_1886th/76822002.pdf","76822002")</f>
        <v>76822002</v>
      </c>
      <c r="F851" s="7" t="s">
        <v>2316</v>
      </c>
      <c r="G851" s="7" t="s">
        <v>2317</v>
      </c>
      <c r="H851" s="7" t="s">
        <v>2318</v>
      </c>
      <c r="I851" s="9">
        <v>45330</v>
      </c>
    </row>
    <row r="852" spans="1:9" x14ac:dyDescent="0.15">
      <c r="A852" s="6">
        <v>851</v>
      </c>
      <c r="B852" s="7" t="s">
        <v>9</v>
      </c>
      <c r="C852" s="8">
        <v>1886</v>
      </c>
      <c r="D852" s="9">
        <v>45418</v>
      </c>
      <c r="E852" s="13" t="str">
        <f>+HYPERLINK("http://trademark.i-assist.jp/data/china/image_1886th/76822313.pdf","76822313")</f>
        <v>76822313</v>
      </c>
      <c r="F852" s="7" t="s">
        <v>2319</v>
      </c>
      <c r="G852" s="7" t="s">
        <v>2320</v>
      </c>
      <c r="H852" s="7" t="s">
        <v>2321</v>
      </c>
      <c r="I852" s="9">
        <v>45330</v>
      </c>
    </row>
    <row r="853" spans="1:9" x14ac:dyDescent="0.15">
      <c r="A853" s="6">
        <v>852</v>
      </c>
      <c r="B853" s="7" t="s">
        <v>9</v>
      </c>
      <c r="C853" s="8">
        <v>1886</v>
      </c>
      <c r="D853" s="9">
        <v>45418</v>
      </c>
      <c r="E853" s="13" t="str">
        <f>+HYPERLINK("http://trademark.i-assist.jp/data/china/image_1886th/76822922.pdf","76822922")</f>
        <v>76822922</v>
      </c>
      <c r="F853" s="7" t="s">
        <v>2322</v>
      </c>
      <c r="G853" s="7" t="s">
        <v>2323</v>
      </c>
      <c r="H853" s="7" t="s">
        <v>2324</v>
      </c>
      <c r="I853" s="9">
        <v>45330</v>
      </c>
    </row>
    <row r="854" spans="1:9" x14ac:dyDescent="0.15">
      <c r="A854" s="6">
        <v>853</v>
      </c>
      <c r="B854" s="7" t="s">
        <v>9</v>
      </c>
      <c r="C854" s="8">
        <v>1886</v>
      </c>
      <c r="D854" s="9">
        <v>45418</v>
      </c>
      <c r="E854" s="13" t="str">
        <f>+HYPERLINK("http://trademark.i-assist.jp/data/china/image_1886th/76823321.pdf","76823321")</f>
        <v>76823321</v>
      </c>
      <c r="F854" s="7" t="s">
        <v>2325</v>
      </c>
      <c r="G854" s="7" t="s">
        <v>2326</v>
      </c>
      <c r="H854" s="7" t="s">
        <v>2327</v>
      </c>
      <c r="I854" s="9">
        <v>45330</v>
      </c>
    </row>
    <row r="855" spans="1:9" x14ac:dyDescent="0.15">
      <c r="A855" s="6">
        <v>854</v>
      </c>
      <c r="B855" s="7" t="s">
        <v>9</v>
      </c>
      <c r="C855" s="8">
        <v>1886</v>
      </c>
      <c r="D855" s="9">
        <v>45418</v>
      </c>
      <c r="E855" s="13" t="str">
        <f>+HYPERLINK("http://trademark.i-assist.jp/data/china/image_1886th/76823791.pdf","76823791")</f>
        <v>76823791</v>
      </c>
      <c r="F855" s="7" t="s">
        <v>2328</v>
      </c>
      <c r="G855" s="7" t="s">
        <v>2329</v>
      </c>
      <c r="H855" s="7" t="s">
        <v>2330</v>
      </c>
      <c r="I855" s="9">
        <v>45330</v>
      </c>
    </row>
    <row r="856" spans="1:9" x14ac:dyDescent="0.15">
      <c r="A856" s="6">
        <v>855</v>
      </c>
      <c r="B856" s="7" t="s">
        <v>9</v>
      </c>
      <c r="C856" s="8">
        <v>1886</v>
      </c>
      <c r="D856" s="9">
        <v>45418</v>
      </c>
      <c r="E856" s="13" t="str">
        <f>+HYPERLINK("http://trademark.i-assist.jp/data/china/image_1886th/76826059.pdf","76826059")</f>
        <v>76826059</v>
      </c>
      <c r="F856" s="7" t="s">
        <v>2331</v>
      </c>
      <c r="G856" s="7" t="s">
        <v>2332</v>
      </c>
      <c r="H856" s="7" t="s">
        <v>2333</v>
      </c>
      <c r="I856" s="9">
        <v>45330</v>
      </c>
    </row>
    <row r="857" spans="1:9" x14ac:dyDescent="0.15">
      <c r="A857" s="6">
        <v>856</v>
      </c>
      <c r="B857" s="7" t="s">
        <v>9</v>
      </c>
      <c r="C857" s="8">
        <v>1886</v>
      </c>
      <c r="D857" s="9">
        <v>45418</v>
      </c>
      <c r="E857" s="13" t="str">
        <f>+HYPERLINK("http://trademark.i-assist.jp/data/china/image_1886th/76826073.pdf","76826073")</f>
        <v>76826073</v>
      </c>
      <c r="F857" s="7" t="s">
        <v>2334</v>
      </c>
      <c r="G857" s="7" t="s">
        <v>2335</v>
      </c>
      <c r="H857" s="7" t="s">
        <v>2336</v>
      </c>
      <c r="I857" s="9">
        <v>45330</v>
      </c>
    </row>
    <row r="858" spans="1:9" x14ac:dyDescent="0.15">
      <c r="A858" s="6">
        <v>857</v>
      </c>
      <c r="B858" s="7" t="s">
        <v>9</v>
      </c>
      <c r="C858" s="8">
        <v>1886</v>
      </c>
      <c r="D858" s="9">
        <v>45418</v>
      </c>
      <c r="E858" s="13" t="str">
        <f>+HYPERLINK("http://trademark.i-assist.jp/data/china/image_1886th/76826646.pdf","76826646")</f>
        <v>76826646</v>
      </c>
      <c r="F858" s="7" t="s">
        <v>2337</v>
      </c>
      <c r="G858" s="7" t="s">
        <v>2338</v>
      </c>
      <c r="H858" s="7" t="s">
        <v>2339</v>
      </c>
      <c r="I858" s="9">
        <v>45330</v>
      </c>
    </row>
    <row r="859" spans="1:9" x14ac:dyDescent="0.15">
      <c r="A859" s="6">
        <v>858</v>
      </c>
      <c r="B859" s="7" t="s">
        <v>9</v>
      </c>
      <c r="C859" s="8">
        <v>1886</v>
      </c>
      <c r="D859" s="9">
        <v>45418</v>
      </c>
      <c r="E859" s="13" t="str">
        <f>+HYPERLINK("http://trademark.i-assist.jp/data/china/image_1886th/76826902.pdf","76826902")</f>
        <v>76826902</v>
      </c>
      <c r="F859" s="7" t="s">
        <v>2340</v>
      </c>
      <c r="G859" s="7" t="s">
        <v>2341</v>
      </c>
      <c r="H859" s="7" t="s">
        <v>2342</v>
      </c>
      <c r="I859" s="9">
        <v>45330</v>
      </c>
    </row>
    <row r="860" spans="1:9" x14ac:dyDescent="0.15">
      <c r="A860" s="6">
        <v>859</v>
      </c>
      <c r="B860" s="7" t="s">
        <v>9</v>
      </c>
      <c r="C860" s="8">
        <v>1886</v>
      </c>
      <c r="D860" s="9">
        <v>45418</v>
      </c>
      <c r="E860" s="13" t="str">
        <f>+HYPERLINK("http://trademark.i-assist.jp/data/china/image_1886th/76827025.pdf","76827025")</f>
        <v>76827025</v>
      </c>
      <c r="F860" s="7" t="s">
        <v>2343</v>
      </c>
      <c r="G860" s="7" t="s">
        <v>2344</v>
      </c>
      <c r="H860" s="7" t="s">
        <v>2345</v>
      </c>
      <c r="I860" s="9">
        <v>45330</v>
      </c>
    </row>
    <row r="861" spans="1:9" ht="27" x14ac:dyDescent="0.15">
      <c r="A861" s="6">
        <v>860</v>
      </c>
      <c r="B861" s="7" t="s">
        <v>9</v>
      </c>
      <c r="C861" s="8">
        <v>1886</v>
      </c>
      <c r="D861" s="9">
        <v>45418</v>
      </c>
      <c r="E861" s="13" t="str">
        <f>+HYPERLINK("http://trademark.i-assist.jp/data/china/image_1886th/76827118.pdf","76827118")</f>
        <v>76827118</v>
      </c>
      <c r="F861" s="7" t="s">
        <v>33</v>
      </c>
      <c r="G861" s="7" t="s">
        <v>2346</v>
      </c>
      <c r="H861" s="7" t="s">
        <v>2347</v>
      </c>
      <c r="I861" s="9">
        <v>45330</v>
      </c>
    </row>
    <row r="862" spans="1:9" x14ac:dyDescent="0.15">
      <c r="A862" s="6">
        <v>861</v>
      </c>
      <c r="B862" s="7" t="s">
        <v>9</v>
      </c>
      <c r="C862" s="8">
        <v>1886</v>
      </c>
      <c r="D862" s="9">
        <v>45418</v>
      </c>
      <c r="E862" s="13" t="str">
        <f>+HYPERLINK("http://trademark.i-assist.jp/data/china/image_1886th/76827832.pdf","76827832")</f>
        <v>76827832</v>
      </c>
      <c r="F862" s="7" t="s">
        <v>2348</v>
      </c>
      <c r="G862" s="7" t="s">
        <v>2349</v>
      </c>
      <c r="H862" s="7" t="s">
        <v>2350</v>
      </c>
      <c r="I862" s="9">
        <v>45331</v>
      </c>
    </row>
    <row r="863" spans="1:9" x14ac:dyDescent="0.15">
      <c r="A863" s="6">
        <v>862</v>
      </c>
      <c r="B863" s="7" t="s">
        <v>9</v>
      </c>
      <c r="C863" s="8">
        <v>1886</v>
      </c>
      <c r="D863" s="9">
        <v>45418</v>
      </c>
      <c r="E863" s="13" t="str">
        <f>+HYPERLINK("http://trademark.i-assist.jp/data/china/image_1886th/76828243.pdf","76828243")</f>
        <v>76828243</v>
      </c>
      <c r="F863" s="7" t="s">
        <v>2351</v>
      </c>
      <c r="G863" s="7" t="s">
        <v>2352</v>
      </c>
      <c r="H863" s="7" t="s">
        <v>2353</v>
      </c>
      <c r="I863" s="9">
        <v>45331</v>
      </c>
    </row>
    <row r="864" spans="1:9" x14ac:dyDescent="0.15">
      <c r="A864" s="6">
        <v>863</v>
      </c>
      <c r="B864" s="7" t="s">
        <v>9</v>
      </c>
      <c r="C864" s="8">
        <v>1886</v>
      </c>
      <c r="D864" s="9">
        <v>45418</v>
      </c>
      <c r="E864" s="13" t="str">
        <f>+HYPERLINK("http://trademark.i-assist.jp/data/china/image_1886th/76828262.pdf","76828262")</f>
        <v>76828262</v>
      </c>
      <c r="F864" s="7" t="s">
        <v>2354</v>
      </c>
      <c r="G864" s="7" t="s">
        <v>2274</v>
      </c>
      <c r="H864" s="7" t="s">
        <v>2355</v>
      </c>
      <c r="I864" s="9">
        <v>45331</v>
      </c>
    </row>
    <row r="865" spans="1:9" x14ac:dyDescent="0.15">
      <c r="A865" s="6">
        <v>864</v>
      </c>
      <c r="B865" s="7" t="s">
        <v>9</v>
      </c>
      <c r="C865" s="8">
        <v>1886</v>
      </c>
      <c r="D865" s="9">
        <v>45418</v>
      </c>
      <c r="E865" s="13" t="str">
        <f>+HYPERLINK("http://trademark.i-assist.jp/data/china/image_1886th/76828605.pdf","76828605")</f>
        <v>76828605</v>
      </c>
      <c r="F865" s="7" t="s">
        <v>2356</v>
      </c>
      <c r="G865" s="7" t="s">
        <v>2274</v>
      </c>
      <c r="H865" s="7" t="s">
        <v>2357</v>
      </c>
      <c r="I865" s="9">
        <v>45331</v>
      </c>
    </row>
    <row r="866" spans="1:9" x14ac:dyDescent="0.15">
      <c r="A866" s="6">
        <v>865</v>
      </c>
      <c r="B866" s="7" t="s">
        <v>9</v>
      </c>
      <c r="C866" s="8">
        <v>1886</v>
      </c>
      <c r="D866" s="9">
        <v>45418</v>
      </c>
      <c r="E866" s="13" t="str">
        <f>+HYPERLINK("http://trademark.i-assist.jp/data/china/image_1886th/76828606.pdf","76828606")</f>
        <v>76828606</v>
      </c>
      <c r="F866" s="7" t="s">
        <v>2358</v>
      </c>
      <c r="G866" s="7" t="s">
        <v>2274</v>
      </c>
      <c r="H866" s="7" t="s">
        <v>2359</v>
      </c>
      <c r="I866" s="9">
        <v>45331</v>
      </c>
    </row>
    <row r="867" spans="1:9" x14ac:dyDescent="0.15">
      <c r="A867" s="6">
        <v>866</v>
      </c>
      <c r="B867" s="7" t="s">
        <v>9</v>
      </c>
      <c r="C867" s="8">
        <v>1886</v>
      </c>
      <c r="D867" s="9">
        <v>45418</v>
      </c>
      <c r="E867" s="13" t="str">
        <f>+HYPERLINK("http://trademark.i-assist.jp/data/china/image_1886th/76828612.pdf","76828612")</f>
        <v>76828612</v>
      </c>
      <c r="F867" s="7" t="s">
        <v>2360</v>
      </c>
      <c r="G867" s="7" t="s">
        <v>2274</v>
      </c>
      <c r="H867" s="7" t="s">
        <v>2361</v>
      </c>
      <c r="I867" s="9">
        <v>45331</v>
      </c>
    </row>
    <row r="868" spans="1:9" x14ac:dyDescent="0.15">
      <c r="A868" s="6">
        <v>867</v>
      </c>
      <c r="B868" s="7" t="s">
        <v>9</v>
      </c>
      <c r="C868" s="8">
        <v>1886</v>
      </c>
      <c r="D868" s="9">
        <v>45418</v>
      </c>
      <c r="E868" s="13" t="str">
        <f>+HYPERLINK("http://trademark.i-assist.jp/data/china/image_1886th/76828679.pdf","76828679")</f>
        <v>76828679</v>
      </c>
      <c r="F868" s="7" t="s">
        <v>2362</v>
      </c>
      <c r="G868" s="7" t="s">
        <v>2363</v>
      </c>
      <c r="H868" s="7" t="s">
        <v>2364</v>
      </c>
      <c r="I868" s="9">
        <v>45331</v>
      </c>
    </row>
    <row r="869" spans="1:9" x14ac:dyDescent="0.15">
      <c r="A869" s="6">
        <v>868</v>
      </c>
      <c r="B869" s="7" t="s">
        <v>9</v>
      </c>
      <c r="C869" s="8">
        <v>1886</v>
      </c>
      <c r="D869" s="9">
        <v>45418</v>
      </c>
      <c r="E869" s="13" t="str">
        <f>+HYPERLINK("http://trademark.i-assist.jp/data/china/image_1886th/76828703.pdf","76828703")</f>
        <v>76828703</v>
      </c>
      <c r="F869" s="7" t="s">
        <v>2365</v>
      </c>
      <c r="G869" s="7" t="s">
        <v>1402</v>
      </c>
      <c r="H869" s="7" t="s">
        <v>2366</v>
      </c>
      <c r="I869" s="9">
        <v>45331</v>
      </c>
    </row>
    <row r="870" spans="1:9" x14ac:dyDescent="0.15">
      <c r="A870" s="6">
        <v>869</v>
      </c>
      <c r="B870" s="7" t="s">
        <v>9</v>
      </c>
      <c r="C870" s="8">
        <v>1886</v>
      </c>
      <c r="D870" s="9">
        <v>45418</v>
      </c>
      <c r="E870" s="13" t="str">
        <f>+HYPERLINK("http://trademark.i-assist.jp/data/china/image_1886th/76829202.pdf","76829202")</f>
        <v>76829202</v>
      </c>
      <c r="F870" s="7" t="s">
        <v>2367</v>
      </c>
      <c r="G870" s="7" t="s">
        <v>2274</v>
      </c>
      <c r="H870" s="7" t="s">
        <v>2368</v>
      </c>
      <c r="I870" s="9">
        <v>45331</v>
      </c>
    </row>
    <row r="871" spans="1:9" x14ac:dyDescent="0.15">
      <c r="A871" s="6">
        <v>870</v>
      </c>
      <c r="B871" s="7" t="s">
        <v>9</v>
      </c>
      <c r="C871" s="8">
        <v>1886</v>
      </c>
      <c r="D871" s="9">
        <v>45418</v>
      </c>
      <c r="E871" s="13" t="str">
        <f>+HYPERLINK("http://trademark.i-assist.jp/data/china/image_1886th/76829203.pdf","76829203")</f>
        <v>76829203</v>
      </c>
      <c r="F871" s="7" t="s">
        <v>2369</v>
      </c>
      <c r="G871" s="7" t="s">
        <v>2274</v>
      </c>
      <c r="H871" s="7" t="s">
        <v>2370</v>
      </c>
      <c r="I871" s="9">
        <v>45331</v>
      </c>
    </row>
    <row r="872" spans="1:9" x14ac:dyDescent="0.15">
      <c r="A872" s="6">
        <v>871</v>
      </c>
      <c r="B872" s="7" t="s">
        <v>9</v>
      </c>
      <c r="C872" s="8">
        <v>1886</v>
      </c>
      <c r="D872" s="9">
        <v>45418</v>
      </c>
      <c r="E872" s="13" t="str">
        <f>+HYPERLINK("http://trademark.i-assist.jp/data/china/image_1886th/76829296.pdf","76829296")</f>
        <v>76829296</v>
      </c>
      <c r="F872" s="7" t="s">
        <v>2371</v>
      </c>
      <c r="G872" s="7" t="s">
        <v>2372</v>
      </c>
      <c r="H872" s="7" t="s">
        <v>2373</v>
      </c>
      <c r="I872" s="9">
        <v>45331</v>
      </c>
    </row>
    <row r="873" spans="1:9" x14ac:dyDescent="0.15">
      <c r="A873" s="6">
        <v>872</v>
      </c>
      <c r="B873" s="7" t="s">
        <v>9</v>
      </c>
      <c r="C873" s="8">
        <v>1886</v>
      </c>
      <c r="D873" s="9">
        <v>45418</v>
      </c>
      <c r="E873" s="13" t="str">
        <f>+HYPERLINK("http://trademark.i-assist.jp/data/china/image_1886th/76829961.pdf","76829961")</f>
        <v>76829961</v>
      </c>
      <c r="F873" s="7" t="s">
        <v>2374</v>
      </c>
      <c r="G873" s="7" t="s">
        <v>2375</v>
      </c>
      <c r="H873" s="7" t="s">
        <v>2376</v>
      </c>
      <c r="I873" s="9">
        <v>45340</v>
      </c>
    </row>
    <row r="874" spans="1:9" x14ac:dyDescent="0.15">
      <c r="A874" s="6">
        <v>873</v>
      </c>
      <c r="B874" s="7" t="s">
        <v>9</v>
      </c>
      <c r="C874" s="8">
        <v>1886</v>
      </c>
      <c r="D874" s="9">
        <v>45418</v>
      </c>
      <c r="E874" s="13" t="str">
        <f>+HYPERLINK("http://trademark.i-assist.jp/data/china/image_1886th/76830113.pdf","76830113")</f>
        <v>76830113</v>
      </c>
      <c r="F874" s="7" t="s">
        <v>2377</v>
      </c>
      <c r="G874" s="7" t="s">
        <v>2378</v>
      </c>
      <c r="H874" s="7" t="s">
        <v>2379</v>
      </c>
      <c r="I874" s="9">
        <v>45340</v>
      </c>
    </row>
    <row r="875" spans="1:9" x14ac:dyDescent="0.15">
      <c r="A875" s="6">
        <v>874</v>
      </c>
      <c r="B875" s="7" t="s">
        <v>9</v>
      </c>
      <c r="C875" s="8">
        <v>1886</v>
      </c>
      <c r="D875" s="9">
        <v>45418</v>
      </c>
      <c r="E875" s="13" t="str">
        <f>+HYPERLINK("http://trademark.i-assist.jp/data/china/image_1886th/76830683.pdf","76830683")</f>
        <v>76830683</v>
      </c>
      <c r="F875" s="7" t="s">
        <v>2380</v>
      </c>
      <c r="G875" s="7" t="s">
        <v>2381</v>
      </c>
      <c r="H875" s="7" t="s">
        <v>2382</v>
      </c>
      <c r="I875" s="9">
        <v>45340</v>
      </c>
    </row>
    <row r="876" spans="1:9" x14ac:dyDescent="0.15">
      <c r="A876" s="6">
        <v>875</v>
      </c>
      <c r="B876" s="7" t="s">
        <v>9</v>
      </c>
      <c r="C876" s="8">
        <v>1886</v>
      </c>
      <c r="D876" s="9">
        <v>45418</v>
      </c>
      <c r="E876" s="13" t="str">
        <f>+HYPERLINK("http://trademark.i-assist.jp/data/china/image_1886th/76830952.pdf","76830952")</f>
        <v>76830952</v>
      </c>
      <c r="F876" s="7" t="s">
        <v>2383</v>
      </c>
      <c r="G876" s="7" t="s">
        <v>2384</v>
      </c>
      <c r="H876" s="7" t="s">
        <v>2385</v>
      </c>
      <c r="I876" s="9">
        <v>45340</v>
      </c>
    </row>
    <row r="877" spans="1:9" x14ac:dyDescent="0.15">
      <c r="A877" s="6">
        <v>876</v>
      </c>
      <c r="B877" s="7" t="s">
        <v>9</v>
      </c>
      <c r="C877" s="8">
        <v>1886</v>
      </c>
      <c r="D877" s="9">
        <v>45418</v>
      </c>
      <c r="E877" s="13" t="str">
        <f>+HYPERLINK("http://trademark.i-assist.jp/data/china/image_1886th/76830990.pdf","76830990")</f>
        <v>76830990</v>
      </c>
      <c r="F877" s="7" t="s">
        <v>2386</v>
      </c>
      <c r="G877" s="7" t="s">
        <v>2387</v>
      </c>
      <c r="H877" s="7" t="s">
        <v>2388</v>
      </c>
      <c r="I877" s="9">
        <v>45340</v>
      </c>
    </row>
    <row r="878" spans="1:9" x14ac:dyDescent="0.15">
      <c r="A878" s="6">
        <v>877</v>
      </c>
      <c r="B878" s="7" t="s">
        <v>9</v>
      </c>
      <c r="C878" s="8">
        <v>1886</v>
      </c>
      <c r="D878" s="9">
        <v>45418</v>
      </c>
      <c r="E878" s="13" t="str">
        <f>+HYPERLINK("http://trademark.i-assist.jp/data/china/image_1886th/76831156.pdf","76831156")</f>
        <v>76831156</v>
      </c>
      <c r="F878" s="7" t="s">
        <v>2389</v>
      </c>
      <c r="G878" s="7" t="s">
        <v>2390</v>
      </c>
      <c r="H878" s="7" t="s">
        <v>2391</v>
      </c>
      <c r="I878" s="9">
        <v>45340</v>
      </c>
    </row>
    <row r="879" spans="1:9" x14ac:dyDescent="0.15">
      <c r="A879" s="6">
        <v>878</v>
      </c>
      <c r="B879" s="7" t="s">
        <v>9</v>
      </c>
      <c r="C879" s="8">
        <v>1886</v>
      </c>
      <c r="D879" s="9">
        <v>45418</v>
      </c>
      <c r="E879" s="13" t="str">
        <f>+HYPERLINK("http://trademark.i-assist.jp/data/china/image_1886th/76831262.pdf","76831262")</f>
        <v>76831262</v>
      </c>
      <c r="F879" s="7" t="s">
        <v>2392</v>
      </c>
      <c r="G879" s="7" t="s">
        <v>1845</v>
      </c>
      <c r="H879" s="7" t="s">
        <v>2393</v>
      </c>
      <c r="I879" s="9">
        <v>45340</v>
      </c>
    </row>
    <row r="880" spans="1:9" x14ac:dyDescent="0.15">
      <c r="A880" s="6">
        <v>879</v>
      </c>
      <c r="B880" s="7" t="s">
        <v>9</v>
      </c>
      <c r="C880" s="8">
        <v>1886</v>
      </c>
      <c r="D880" s="9">
        <v>45418</v>
      </c>
      <c r="E880" s="13" t="str">
        <f>+HYPERLINK("http://trademark.i-assist.jp/data/china/image_1886th/76831770.pdf","76831770")</f>
        <v>76831770</v>
      </c>
      <c r="F880" s="7" t="s">
        <v>2394</v>
      </c>
      <c r="G880" s="7" t="s">
        <v>2395</v>
      </c>
      <c r="H880" s="7" t="s">
        <v>2396</v>
      </c>
      <c r="I880" s="9">
        <v>45340</v>
      </c>
    </row>
    <row r="881" spans="1:9" x14ac:dyDescent="0.15">
      <c r="A881" s="6">
        <v>880</v>
      </c>
      <c r="B881" s="7" t="s">
        <v>9</v>
      </c>
      <c r="C881" s="8">
        <v>1886</v>
      </c>
      <c r="D881" s="9">
        <v>45418</v>
      </c>
      <c r="E881" s="13" t="str">
        <f>+HYPERLINK("http://trademark.i-assist.jp/data/china/image_1886th/76831778.pdf","76831778")</f>
        <v>76831778</v>
      </c>
      <c r="F881" s="7" t="s">
        <v>2397</v>
      </c>
      <c r="G881" s="7" t="s">
        <v>2398</v>
      </c>
      <c r="H881" s="7" t="s">
        <v>2399</v>
      </c>
      <c r="I881" s="9">
        <v>45340</v>
      </c>
    </row>
    <row r="882" spans="1:9" x14ac:dyDescent="0.15">
      <c r="A882" s="6">
        <v>881</v>
      </c>
      <c r="B882" s="7" t="s">
        <v>9</v>
      </c>
      <c r="C882" s="8">
        <v>1886</v>
      </c>
      <c r="D882" s="9">
        <v>45418</v>
      </c>
      <c r="E882" s="13" t="str">
        <f>+HYPERLINK("http://trademark.i-assist.jp/data/china/image_1886th/76831870.pdf","76831870")</f>
        <v>76831870</v>
      </c>
      <c r="F882" s="7" t="s">
        <v>2400</v>
      </c>
      <c r="G882" s="7" t="s">
        <v>2401</v>
      </c>
      <c r="H882" s="7" t="s">
        <v>2402</v>
      </c>
      <c r="I882" s="9">
        <v>45340</v>
      </c>
    </row>
    <row r="883" spans="1:9" x14ac:dyDescent="0.15">
      <c r="A883" s="6">
        <v>882</v>
      </c>
      <c r="B883" s="7" t="s">
        <v>9</v>
      </c>
      <c r="C883" s="8">
        <v>1886</v>
      </c>
      <c r="D883" s="9">
        <v>45418</v>
      </c>
      <c r="E883" s="13" t="str">
        <f>+HYPERLINK("http://trademark.i-assist.jp/data/china/image_1886th/76832312.pdf","76832312")</f>
        <v>76832312</v>
      </c>
      <c r="F883" s="7" t="s">
        <v>2403</v>
      </c>
      <c r="G883" s="7" t="s">
        <v>2404</v>
      </c>
      <c r="H883" s="7" t="s">
        <v>2405</v>
      </c>
      <c r="I883" s="9">
        <v>45340</v>
      </c>
    </row>
    <row r="884" spans="1:9" x14ac:dyDescent="0.15">
      <c r="A884" s="6">
        <v>883</v>
      </c>
      <c r="B884" s="7" t="s">
        <v>9</v>
      </c>
      <c r="C884" s="8">
        <v>1886</v>
      </c>
      <c r="D884" s="9">
        <v>45418</v>
      </c>
      <c r="E884" s="13" t="str">
        <f>+HYPERLINK("http://trademark.i-assist.jp/data/china/image_1886th/76832433.pdf","76832433")</f>
        <v>76832433</v>
      </c>
      <c r="F884" s="7" t="s">
        <v>2406</v>
      </c>
      <c r="G884" s="7" t="s">
        <v>2407</v>
      </c>
      <c r="H884" s="7" t="s">
        <v>2408</v>
      </c>
      <c r="I884" s="9">
        <v>45340</v>
      </c>
    </row>
    <row r="885" spans="1:9" x14ac:dyDescent="0.15">
      <c r="A885" s="6">
        <v>884</v>
      </c>
      <c r="B885" s="7" t="s">
        <v>9</v>
      </c>
      <c r="C885" s="8">
        <v>1886</v>
      </c>
      <c r="D885" s="9">
        <v>45418</v>
      </c>
      <c r="E885" s="13" t="str">
        <f>+HYPERLINK("http://trademark.i-assist.jp/data/china/image_1886th/76832706.pdf","76832706")</f>
        <v>76832706</v>
      </c>
      <c r="F885" s="7" t="s">
        <v>2409</v>
      </c>
      <c r="G885" s="7" t="s">
        <v>1165</v>
      </c>
      <c r="H885" s="7" t="s">
        <v>2410</v>
      </c>
      <c r="I885" s="9">
        <v>45340</v>
      </c>
    </row>
    <row r="886" spans="1:9" x14ac:dyDescent="0.15">
      <c r="A886" s="6">
        <v>885</v>
      </c>
      <c r="B886" s="7" t="s">
        <v>9</v>
      </c>
      <c r="C886" s="8">
        <v>1886</v>
      </c>
      <c r="D886" s="9">
        <v>45418</v>
      </c>
      <c r="E886" s="13" t="str">
        <f>+HYPERLINK("http://trademark.i-assist.jp/data/china/image_1886th/76832955.pdf","76832955")</f>
        <v>76832955</v>
      </c>
      <c r="F886" s="7" t="s">
        <v>2411</v>
      </c>
      <c r="G886" s="7" t="s">
        <v>2412</v>
      </c>
      <c r="H886" s="7" t="s">
        <v>2413</v>
      </c>
      <c r="I886" s="9">
        <v>45340</v>
      </c>
    </row>
    <row r="887" spans="1:9" x14ac:dyDescent="0.15">
      <c r="A887" s="6">
        <v>886</v>
      </c>
      <c r="B887" s="7" t="s">
        <v>9</v>
      </c>
      <c r="C887" s="8">
        <v>1886</v>
      </c>
      <c r="D887" s="9">
        <v>45418</v>
      </c>
      <c r="E887" s="13" t="str">
        <f>+HYPERLINK("http://trademark.i-assist.jp/data/china/image_1886th/76832957.pdf","76832957")</f>
        <v>76832957</v>
      </c>
      <c r="F887" s="7" t="s">
        <v>2414</v>
      </c>
      <c r="G887" s="7" t="s">
        <v>2412</v>
      </c>
      <c r="H887" s="7" t="s">
        <v>2415</v>
      </c>
      <c r="I887" s="9">
        <v>45340</v>
      </c>
    </row>
    <row r="888" spans="1:9" x14ac:dyDescent="0.15">
      <c r="A888" s="6">
        <v>887</v>
      </c>
      <c r="B888" s="7" t="s">
        <v>9</v>
      </c>
      <c r="C888" s="8">
        <v>1886</v>
      </c>
      <c r="D888" s="9">
        <v>45418</v>
      </c>
      <c r="E888" s="13" t="str">
        <f>+HYPERLINK("http://trademark.i-assist.jp/data/china/image_1886th/76832960.pdf","76832960")</f>
        <v>76832960</v>
      </c>
      <c r="F888" s="7" t="s">
        <v>2416</v>
      </c>
      <c r="G888" s="7" t="s">
        <v>2412</v>
      </c>
      <c r="H888" s="7" t="s">
        <v>2417</v>
      </c>
      <c r="I888" s="9">
        <v>45340</v>
      </c>
    </row>
    <row r="889" spans="1:9" x14ac:dyDescent="0.15">
      <c r="A889" s="6">
        <v>888</v>
      </c>
      <c r="B889" s="7" t="s">
        <v>9</v>
      </c>
      <c r="C889" s="8">
        <v>1886</v>
      </c>
      <c r="D889" s="9">
        <v>45418</v>
      </c>
      <c r="E889" s="13" t="str">
        <f>+HYPERLINK("http://trademark.i-assist.jp/data/china/image_1886th/76832966.pdf","76832966")</f>
        <v>76832966</v>
      </c>
      <c r="F889" s="7" t="s">
        <v>2418</v>
      </c>
      <c r="G889" s="7" t="s">
        <v>2419</v>
      </c>
      <c r="H889" s="7" t="s">
        <v>2420</v>
      </c>
      <c r="I889" s="9">
        <v>45340</v>
      </c>
    </row>
    <row r="890" spans="1:9" ht="27" x14ac:dyDescent="0.15">
      <c r="A890" s="6">
        <v>889</v>
      </c>
      <c r="B890" s="7" t="s">
        <v>9</v>
      </c>
      <c r="C890" s="8">
        <v>1886</v>
      </c>
      <c r="D890" s="9">
        <v>45418</v>
      </c>
      <c r="E890" s="13" t="str">
        <f>+HYPERLINK("http://trademark.i-assist.jp/data/china/image_1886th/76833762.pdf","76833762")</f>
        <v>76833762</v>
      </c>
      <c r="F890" s="7" t="s">
        <v>2421</v>
      </c>
      <c r="G890" s="7" t="s">
        <v>2422</v>
      </c>
      <c r="H890" s="7" t="s">
        <v>2423</v>
      </c>
      <c r="I890" s="9">
        <v>45340</v>
      </c>
    </row>
    <row r="891" spans="1:9" x14ac:dyDescent="0.15">
      <c r="A891" s="6">
        <v>890</v>
      </c>
      <c r="B891" s="7" t="s">
        <v>9</v>
      </c>
      <c r="C891" s="8">
        <v>1886</v>
      </c>
      <c r="D891" s="9">
        <v>45418</v>
      </c>
      <c r="E891" s="13" t="str">
        <f>+HYPERLINK("http://trademark.i-assist.jp/data/china/image_1886th/76833827.pdf","76833827")</f>
        <v>76833827</v>
      </c>
      <c r="F891" s="7" t="s">
        <v>2424</v>
      </c>
      <c r="G891" s="7" t="s">
        <v>2425</v>
      </c>
      <c r="H891" s="7" t="s">
        <v>2426</v>
      </c>
      <c r="I891" s="9">
        <v>45340</v>
      </c>
    </row>
    <row r="892" spans="1:9" ht="27" x14ac:dyDescent="0.15">
      <c r="A892" s="6">
        <v>891</v>
      </c>
      <c r="B892" s="7" t="s">
        <v>9</v>
      </c>
      <c r="C892" s="8">
        <v>1886</v>
      </c>
      <c r="D892" s="9">
        <v>45418</v>
      </c>
      <c r="E892" s="13" t="str">
        <f>+HYPERLINK("http://trademark.i-assist.jp/data/china/image_1886th/76833899.pdf","76833899")</f>
        <v>76833899</v>
      </c>
      <c r="F892" s="7" t="s">
        <v>2427</v>
      </c>
      <c r="G892" s="7" t="s">
        <v>2428</v>
      </c>
      <c r="H892" s="7" t="s">
        <v>2429</v>
      </c>
      <c r="I892" s="9">
        <v>45340</v>
      </c>
    </row>
    <row r="893" spans="1:9" x14ac:dyDescent="0.15">
      <c r="A893" s="6">
        <v>892</v>
      </c>
      <c r="B893" s="7" t="s">
        <v>9</v>
      </c>
      <c r="C893" s="8">
        <v>1886</v>
      </c>
      <c r="D893" s="9">
        <v>45418</v>
      </c>
      <c r="E893" s="13" t="str">
        <f>+HYPERLINK("http://trademark.i-assist.jp/data/china/image_1886th/76834283.pdf","76834283")</f>
        <v>76834283</v>
      </c>
      <c r="F893" s="7" t="s">
        <v>2430</v>
      </c>
      <c r="G893" s="7" t="s">
        <v>2431</v>
      </c>
      <c r="H893" s="7" t="s">
        <v>2432</v>
      </c>
      <c r="I893" s="9">
        <v>45340</v>
      </c>
    </row>
    <row r="894" spans="1:9" ht="27" x14ac:dyDescent="0.15">
      <c r="A894" s="6">
        <v>893</v>
      </c>
      <c r="B894" s="7" t="s">
        <v>9</v>
      </c>
      <c r="C894" s="8">
        <v>1886</v>
      </c>
      <c r="D894" s="9">
        <v>45418</v>
      </c>
      <c r="E894" s="13" t="str">
        <f>+HYPERLINK("http://trademark.i-assist.jp/data/china/image_1886th/76834677.pdf","76834677")</f>
        <v>76834677</v>
      </c>
      <c r="F894" s="7" t="s">
        <v>2433</v>
      </c>
      <c r="G894" s="7" t="s">
        <v>2434</v>
      </c>
      <c r="H894" s="7" t="s">
        <v>2435</v>
      </c>
      <c r="I894" s="9">
        <v>45340</v>
      </c>
    </row>
    <row r="895" spans="1:9" x14ac:dyDescent="0.15">
      <c r="A895" s="6">
        <v>894</v>
      </c>
      <c r="B895" s="7" t="s">
        <v>9</v>
      </c>
      <c r="C895" s="8">
        <v>1886</v>
      </c>
      <c r="D895" s="9">
        <v>45418</v>
      </c>
      <c r="E895" s="13" t="str">
        <f>+HYPERLINK("http://trademark.i-assist.jp/data/china/image_1886th/76835026.pdf","76835026")</f>
        <v>76835026</v>
      </c>
      <c r="F895" s="7" t="s">
        <v>2436</v>
      </c>
      <c r="G895" s="7" t="s">
        <v>2437</v>
      </c>
      <c r="H895" s="7" t="s">
        <v>2438</v>
      </c>
      <c r="I895" s="9">
        <v>45340</v>
      </c>
    </row>
    <row r="896" spans="1:9" x14ac:dyDescent="0.15">
      <c r="A896" s="6">
        <v>895</v>
      </c>
      <c r="B896" s="7" t="s">
        <v>9</v>
      </c>
      <c r="C896" s="8">
        <v>1886</v>
      </c>
      <c r="D896" s="9">
        <v>45418</v>
      </c>
      <c r="E896" s="13" t="str">
        <f>+HYPERLINK("http://trademark.i-assist.jp/data/china/image_1886th/76835419.pdf","76835419")</f>
        <v>76835419</v>
      </c>
      <c r="F896" s="7" t="s">
        <v>2439</v>
      </c>
      <c r="G896" s="7" t="s">
        <v>2404</v>
      </c>
      <c r="H896" s="7" t="s">
        <v>2440</v>
      </c>
      <c r="I896" s="9">
        <v>45340</v>
      </c>
    </row>
    <row r="897" spans="1:9" ht="27" x14ac:dyDescent="0.15">
      <c r="A897" s="6">
        <v>896</v>
      </c>
      <c r="B897" s="7" t="s">
        <v>9</v>
      </c>
      <c r="C897" s="8">
        <v>1886</v>
      </c>
      <c r="D897" s="9">
        <v>45418</v>
      </c>
      <c r="E897" s="13" t="str">
        <f>+HYPERLINK("http://trademark.i-assist.jp/data/china/image_1886th/76835463.pdf","76835463")</f>
        <v>76835463</v>
      </c>
      <c r="F897" s="7" t="s">
        <v>2441</v>
      </c>
      <c r="G897" s="7" t="s">
        <v>2442</v>
      </c>
      <c r="H897" s="7" t="s">
        <v>2443</v>
      </c>
      <c r="I897" s="9">
        <v>45340</v>
      </c>
    </row>
    <row r="898" spans="1:9" x14ac:dyDescent="0.15">
      <c r="A898" s="6">
        <v>897</v>
      </c>
      <c r="B898" s="7" t="s">
        <v>9</v>
      </c>
      <c r="C898" s="8">
        <v>1886</v>
      </c>
      <c r="D898" s="9">
        <v>45418</v>
      </c>
      <c r="E898" s="13" t="str">
        <f>+HYPERLINK("http://trademark.i-assist.jp/data/china/image_1886th/76835675.pdf","76835675")</f>
        <v>76835675</v>
      </c>
      <c r="F898" s="7" t="s">
        <v>2444</v>
      </c>
      <c r="G898" s="7" t="s">
        <v>2395</v>
      </c>
      <c r="H898" s="7" t="s">
        <v>2445</v>
      </c>
      <c r="I898" s="9">
        <v>45340</v>
      </c>
    </row>
    <row r="899" spans="1:9" x14ac:dyDescent="0.15">
      <c r="A899" s="6">
        <v>898</v>
      </c>
      <c r="B899" s="7" t="s">
        <v>9</v>
      </c>
      <c r="C899" s="8">
        <v>1886</v>
      </c>
      <c r="D899" s="9">
        <v>45418</v>
      </c>
      <c r="E899" s="13" t="str">
        <f>+HYPERLINK("http://trademark.i-assist.jp/data/china/image_1886th/76835678.pdf","76835678")</f>
        <v>76835678</v>
      </c>
      <c r="F899" s="7" t="s">
        <v>2446</v>
      </c>
      <c r="G899" s="7" t="s">
        <v>2395</v>
      </c>
      <c r="H899" s="7" t="s">
        <v>2447</v>
      </c>
      <c r="I899" s="9">
        <v>45340</v>
      </c>
    </row>
    <row r="900" spans="1:9" ht="27" x14ac:dyDescent="0.15">
      <c r="A900" s="6">
        <v>899</v>
      </c>
      <c r="B900" s="7" t="s">
        <v>9</v>
      </c>
      <c r="C900" s="8">
        <v>1886</v>
      </c>
      <c r="D900" s="9">
        <v>45418</v>
      </c>
      <c r="E900" s="13" t="str">
        <f>+HYPERLINK("http://trademark.i-assist.jp/data/china/image_1886th/76835813.pdf","76835813")</f>
        <v>76835813</v>
      </c>
      <c r="F900" s="7" t="s">
        <v>2448</v>
      </c>
      <c r="G900" s="7" t="s">
        <v>2449</v>
      </c>
      <c r="H900" s="7" t="s">
        <v>2450</v>
      </c>
      <c r="I900" s="9">
        <v>45340</v>
      </c>
    </row>
    <row r="901" spans="1:9" ht="27" x14ac:dyDescent="0.15">
      <c r="A901" s="6">
        <v>900</v>
      </c>
      <c r="B901" s="7" t="s">
        <v>9</v>
      </c>
      <c r="C901" s="8">
        <v>1886</v>
      </c>
      <c r="D901" s="9">
        <v>45418</v>
      </c>
      <c r="E901" s="13" t="str">
        <f>+HYPERLINK("http://trademark.i-assist.jp/data/china/image_1886th/76835819.pdf","76835819")</f>
        <v>76835819</v>
      </c>
      <c r="F901" s="7" t="s">
        <v>2451</v>
      </c>
      <c r="G901" s="7" t="s">
        <v>2452</v>
      </c>
      <c r="H901" s="7" t="s">
        <v>2453</v>
      </c>
      <c r="I901" s="9">
        <v>45340</v>
      </c>
    </row>
    <row r="902" spans="1:9" x14ac:dyDescent="0.15">
      <c r="A902" s="6">
        <v>901</v>
      </c>
      <c r="B902" s="7" t="s">
        <v>9</v>
      </c>
      <c r="C902" s="8">
        <v>1886</v>
      </c>
      <c r="D902" s="9">
        <v>45418</v>
      </c>
      <c r="E902" s="13" t="str">
        <f>+HYPERLINK("http://trademark.i-assist.jp/data/china/image_1886th/76835845.pdf","76835845")</f>
        <v>76835845</v>
      </c>
      <c r="F902" s="7" t="s">
        <v>33</v>
      </c>
      <c r="G902" s="7" t="s">
        <v>2454</v>
      </c>
      <c r="H902" s="7" t="s">
        <v>2455</v>
      </c>
      <c r="I902" s="9">
        <v>45340</v>
      </c>
    </row>
    <row r="903" spans="1:9" x14ac:dyDescent="0.15">
      <c r="A903" s="6">
        <v>902</v>
      </c>
      <c r="B903" s="7" t="s">
        <v>9</v>
      </c>
      <c r="C903" s="8">
        <v>1886</v>
      </c>
      <c r="D903" s="9">
        <v>45418</v>
      </c>
      <c r="E903" s="13" t="str">
        <f>+HYPERLINK("http://trademark.i-assist.jp/data/china/image_1886th/76835904.pdf","76835904")</f>
        <v>76835904</v>
      </c>
      <c r="F903" s="7" t="s">
        <v>2456</v>
      </c>
      <c r="G903" s="7" t="s">
        <v>2431</v>
      </c>
      <c r="H903" s="7" t="s">
        <v>2457</v>
      </c>
      <c r="I903" s="9">
        <v>45340</v>
      </c>
    </row>
    <row r="904" spans="1:9" x14ac:dyDescent="0.15">
      <c r="A904" s="6">
        <v>903</v>
      </c>
      <c r="B904" s="7" t="s">
        <v>9</v>
      </c>
      <c r="C904" s="8">
        <v>1886</v>
      </c>
      <c r="D904" s="9">
        <v>45418</v>
      </c>
      <c r="E904" s="13" t="str">
        <f>+HYPERLINK("http://trademark.i-assist.jp/data/china/image_1886th/76836077.pdf","76836077")</f>
        <v>76836077</v>
      </c>
      <c r="F904" s="7" t="s">
        <v>2458</v>
      </c>
      <c r="G904" s="7" t="s">
        <v>1907</v>
      </c>
      <c r="H904" s="7" t="s">
        <v>2459</v>
      </c>
      <c r="I904" s="9">
        <v>45340</v>
      </c>
    </row>
    <row r="905" spans="1:9" ht="27" x14ac:dyDescent="0.15">
      <c r="A905" s="6">
        <v>904</v>
      </c>
      <c r="B905" s="7" t="s">
        <v>9</v>
      </c>
      <c r="C905" s="8">
        <v>1886</v>
      </c>
      <c r="D905" s="9">
        <v>45418</v>
      </c>
      <c r="E905" s="13" t="str">
        <f>+HYPERLINK("http://trademark.i-assist.jp/data/china/image_1886th/76836285.pdf","76836285")</f>
        <v>76836285</v>
      </c>
      <c r="F905" s="7" t="s">
        <v>2460</v>
      </c>
      <c r="G905" s="7" t="s">
        <v>2442</v>
      </c>
      <c r="H905" s="7" t="s">
        <v>2461</v>
      </c>
      <c r="I905" s="9">
        <v>45340</v>
      </c>
    </row>
    <row r="906" spans="1:9" ht="27" x14ac:dyDescent="0.15">
      <c r="A906" s="6">
        <v>905</v>
      </c>
      <c r="B906" s="7" t="s">
        <v>9</v>
      </c>
      <c r="C906" s="8">
        <v>1886</v>
      </c>
      <c r="D906" s="9">
        <v>45418</v>
      </c>
      <c r="E906" s="13" t="str">
        <f>+HYPERLINK("http://trademark.i-assist.jp/data/china/image_1886th/76836293.pdf","76836293")</f>
        <v>76836293</v>
      </c>
      <c r="F906" s="7" t="s">
        <v>2462</v>
      </c>
      <c r="G906" s="7" t="s">
        <v>2442</v>
      </c>
      <c r="H906" s="7" t="s">
        <v>2463</v>
      </c>
      <c r="I906" s="9">
        <v>45340</v>
      </c>
    </row>
    <row r="907" spans="1:9" x14ac:dyDescent="0.15">
      <c r="A907" s="6">
        <v>906</v>
      </c>
      <c r="B907" s="7" t="s">
        <v>9</v>
      </c>
      <c r="C907" s="8">
        <v>1886</v>
      </c>
      <c r="D907" s="9">
        <v>45418</v>
      </c>
      <c r="E907" s="13" t="str">
        <f>+HYPERLINK("http://trademark.i-assist.jp/data/china/image_1886th/76836415.pdf","76836415")</f>
        <v>76836415</v>
      </c>
      <c r="F907" s="7" t="s">
        <v>2464</v>
      </c>
      <c r="G907" s="7" t="s">
        <v>2465</v>
      </c>
      <c r="H907" s="7" t="s">
        <v>2466</v>
      </c>
      <c r="I907" s="9">
        <v>45340</v>
      </c>
    </row>
    <row r="908" spans="1:9" x14ac:dyDescent="0.15">
      <c r="A908" s="6">
        <v>907</v>
      </c>
      <c r="B908" s="7" t="s">
        <v>9</v>
      </c>
      <c r="C908" s="8">
        <v>1886</v>
      </c>
      <c r="D908" s="9">
        <v>45418</v>
      </c>
      <c r="E908" s="13" t="str">
        <f>+HYPERLINK("http://trademark.i-assist.jp/data/china/image_1886th/76836798.pdf","76836798")</f>
        <v>76836798</v>
      </c>
      <c r="F908" s="7" t="s">
        <v>2467</v>
      </c>
      <c r="G908" s="7" t="s">
        <v>2395</v>
      </c>
      <c r="H908" s="7" t="s">
        <v>2468</v>
      </c>
      <c r="I908" s="9">
        <v>45340</v>
      </c>
    </row>
    <row r="909" spans="1:9" ht="27" x14ac:dyDescent="0.15">
      <c r="A909" s="6">
        <v>908</v>
      </c>
      <c r="B909" s="7" t="s">
        <v>9</v>
      </c>
      <c r="C909" s="8">
        <v>1886</v>
      </c>
      <c r="D909" s="9">
        <v>45418</v>
      </c>
      <c r="E909" s="13" t="str">
        <f>+HYPERLINK("http://trademark.i-assist.jp/data/china/image_1886th/76836823.pdf","76836823")</f>
        <v>76836823</v>
      </c>
      <c r="F909" s="7" t="s">
        <v>2469</v>
      </c>
      <c r="G909" s="7" t="s">
        <v>2470</v>
      </c>
      <c r="H909" s="7" t="s">
        <v>2471</v>
      </c>
      <c r="I909" s="9">
        <v>45340</v>
      </c>
    </row>
    <row r="910" spans="1:9" x14ac:dyDescent="0.15">
      <c r="A910" s="6">
        <v>909</v>
      </c>
      <c r="B910" s="7" t="s">
        <v>9</v>
      </c>
      <c r="C910" s="8">
        <v>1886</v>
      </c>
      <c r="D910" s="9">
        <v>45418</v>
      </c>
      <c r="E910" s="13" t="str">
        <f>+HYPERLINK("http://trademark.i-assist.jp/data/china/image_1886th/76836931.pdf","76836931")</f>
        <v>76836931</v>
      </c>
      <c r="F910" s="7" t="s">
        <v>2472</v>
      </c>
      <c r="G910" s="7" t="s">
        <v>2473</v>
      </c>
      <c r="H910" s="7" t="s">
        <v>2474</v>
      </c>
      <c r="I910" s="9">
        <v>45340</v>
      </c>
    </row>
    <row r="911" spans="1:9" x14ac:dyDescent="0.15">
      <c r="A911" s="6">
        <v>910</v>
      </c>
      <c r="B911" s="7" t="s">
        <v>9</v>
      </c>
      <c r="C911" s="8">
        <v>1886</v>
      </c>
      <c r="D911" s="9">
        <v>45418</v>
      </c>
      <c r="E911" s="13" t="str">
        <f>+HYPERLINK("http://trademark.i-assist.jp/data/china/image_1886th/76837245.pdf","76837245")</f>
        <v>76837245</v>
      </c>
      <c r="F911" s="7" t="s">
        <v>2475</v>
      </c>
      <c r="G911" s="7" t="s">
        <v>2476</v>
      </c>
      <c r="H911" s="7" t="s">
        <v>2477</v>
      </c>
      <c r="I911" s="9">
        <v>45340</v>
      </c>
    </row>
    <row r="912" spans="1:9" ht="27" x14ac:dyDescent="0.15">
      <c r="A912" s="6">
        <v>911</v>
      </c>
      <c r="B912" s="7" t="s">
        <v>9</v>
      </c>
      <c r="C912" s="8">
        <v>1886</v>
      </c>
      <c r="D912" s="9">
        <v>45418</v>
      </c>
      <c r="E912" s="13" t="str">
        <f>+HYPERLINK("http://trademark.i-assist.jp/data/china/image_1886th/76837635.pdf","76837635")</f>
        <v>76837635</v>
      </c>
      <c r="F912" s="7" t="s">
        <v>2478</v>
      </c>
      <c r="G912" s="7" t="s">
        <v>2479</v>
      </c>
      <c r="H912" s="7" t="s">
        <v>2480</v>
      </c>
      <c r="I912" s="9">
        <v>45340</v>
      </c>
    </row>
    <row r="913" spans="1:9" x14ac:dyDescent="0.15">
      <c r="A913" s="6">
        <v>912</v>
      </c>
      <c r="B913" s="7" t="s">
        <v>9</v>
      </c>
      <c r="C913" s="8">
        <v>1886</v>
      </c>
      <c r="D913" s="9">
        <v>45418</v>
      </c>
      <c r="E913" s="13" t="str">
        <f>+HYPERLINK("http://trademark.i-assist.jp/data/china/image_1886th/76837723.pdf","76837723")</f>
        <v>76837723</v>
      </c>
      <c r="F913" s="7" t="s">
        <v>2481</v>
      </c>
      <c r="G913" s="7" t="s">
        <v>2482</v>
      </c>
      <c r="H913" s="7" t="s">
        <v>2483</v>
      </c>
      <c r="I913" s="9">
        <v>45340</v>
      </c>
    </row>
    <row r="914" spans="1:9" x14ac:dyDescent="0.15">
      <c r="A914" s="6">
        <v>913</v>
      </c>
      <c r="B914" s="7" t="s">
        <v>9</v>
      </c>
      <c r="C914" s="8">
        <v>1886</v>
      </c>
      <c r="D914" s="9">
        <v>45418</v>
      </c>
      <c r="E914" s="13" t="str">
        <f>+HYPERLINK("http://trademark.i-assist.jp/data/china/image_1886th/76838039.pdf","76838039")</f>
        <v>76838039</v>
      </c>
      <c r="F914" s="7" t="s">
        <v>2484</v>
      </c>
      <c r="G914" s="7" t="s">
        <v>2395</v>
      </c>
      <c r="H914" s="7" t="s">
        <v>2485</v>
      </c>
      <c r="I914" s="9">
        <v>45340</v>
      </c>
    </row>
    <row r="915" spans="1:9" x14ac:dyDescent="0.15">
      <c r="A915" s="6">
        <v>914</v>
      </c>
      <c r="B915" s="7" t="s">
        <v>9</v>
      </c>
      <c r="C915" s="8">
        <v>1886</v>
      </c>
      <c r="D915" s="9">
        <v>45418</v>
      </c>
      <c r="E915" s="13" t="str">
        <f>+HYPERLINK("http://trademark.i-assist.jp/data/china/image_1886th/76838240.pdf","76838240")</f>
        <v>76838240</v>
      </c>
      <c r="F915" s="7" t="s">
        <v>2486</v>
      </c>
      <c r="G915" s="7" t="s">
        <v>2059</v>
      </c>
      <c r="H915" s="7" t="s">
        <v>2487</v>
      </c>
      <c r="I915" s="9">
        <v>45340</v>
      </c>
    </row>
    <row r="916" spans="1:9" x14ac:dyDescent="0.15">
      <c r="A916" s="6">
        <v>915</v>
      </c>
      <c r="B916" s="7" t="s">
        <v>9</v>
      </c>
      <c r="C916" s="8">
        <v>1886</v>
      </c>
      <c r="D916" s="9">
        <v>45418</v>
      </c>
      <c r="E916" s="13" t="str">
        <f>+HYPERLINK("http://trademark.i-assist.jp/data/china/image_1886th/76838447.pdf","76838447")</f>
        <v>76838447</v>
      </c>
      <c r="F916" s="7" t="s">
        <v>2488</v>
      </c>
      <c r="G916" s="7" t="s">
        <v>2412</v>
      </c>
      <c r="H916" s="7" t="s">
        <v>2489</v>
      </c>
      <c r="I916" s="9">
        <v>45340</v>
      </c>
    </row>
    <row r="917" spans="1:9" x14ac:dyDescent="0.15">
      <c r="A917" s="6">
        <v>916</v>
      </c>
      <c r="B917" s="7" t="s">
        <v>9</v>
      </c>
      <c r="C917" s="8">
        <v>1886</v>
      </c>
      <c r="D917" s="9">
        <v>45418</v>
      </c>
      <c r="E917" s="13" t="str">
        <f>+HYPERLINK("http://trademark.i-assist.jp/data/china/image_1886th/76839019.pdf","76839019")</f>
        <v>76839019</v>
      </c>
      <c r="F917" s="7" t="s">
        <v>2490</v>
      </c>
      <c r="G917" s="7" t="s">
        <v>2491</v>
      </c>
      <c r="H917" s="7" t="s">
        <v>2492</v>
      </c>
      <c r="I917" s="9">
        <v>45340</v>
      </c>
    </row>
    <row r="918" spans="1:9" x14ac:dyDescent="0.15">
      <c r="A918" s="6">
        <v>917</v>
      </c>
      <c r="B918" s="7" t="s">
        <v>9</v>
      </c>
      <c r="C918" s="8">
        <v>1886</v>
      </c>
      <c r="D918" s="9">
        <v>45418</v>
      </c>
      <c r="E918" s="13" t="str">
        <f>+HYPERLINK("http://trademark.i-assist.jp/data/china/image_1886th/76839970.pdf","76839970")</f>
        <v>76839970</v>
      </c>
      <c r="F918" s="7" t="s">
        <v>2493</v>
      </c>
      <c r="G918" s="7" t="s">
        <v>2494</v>
      </c>
      <c r="H918" s="7" t="s">
        <v>2495</v>
      </c>
      <c r="I918" s="9">
        <v>45340</v>
      </c>
    </row>
    <row r="919" spans="1:9" x14ac:dyDescent="0.15">
      <c r="A919" s="6">
        <v>918</v>
      </c>
      <c r="B919" s="7" t="s">
        <v>9</v>
      </c>
      <c r="C919" s="8">
        <v>1886</v>
      </c>
      <c r="D919" s="9">
        <v>45418</v>
      </c>
      <c r="E919" s="13" t="str">
        <f>+HYPERLINK("http://trademark.i-assist.jp/data/china/image_1886th/76839977.pdf","76839977")</f>
        <v>76839977</v>
      </c>
      <c r="F919" s="7" t="s">
        <v>33</v>
      </c>
      <c r="G919" s="7" t="s">
        <v>2496</v>
      </c>
      <c r="H919" s="7" t="s">
        <v>2497</v>
      </c>
      <c r="I919" s="9">
        <v>45340</v>
      </c>
    </row>
    <row r="920" spans="1:9" x14ac:dyDescent="0.15">
      <c r="A920" s="6">
        <v>919</v>
      </c>
      <c r="B920" s="7" t="s">
        <v>9</v>
      </c>
      <c r="C920" s="8">
        <v>1886</v>
      </c>
      <c r="D920" s="9">
        <v>45418</v>
      </c>
      <c r="E920" s="13" t="str">
        <f>+HYPERLINK("http://trademark.i-assist.jp/data/china/image_1886th/76840042.pdf","76840042")</f>
        <v>76840042</v>
      </c>
      <c r="F920" s="7" t="s">
        <v>2498</v>
      </c>
      <c r="G920" s="7" t="s">
        <v>2499</v>
      </c>
      <c r="H920" s="7" t="s">
        <v>2500</v>
      </c>
      <c r="I920" s="9">
        <v>45340</v>
      </c>
    </row>
    <row r="921" spans="1:9" x14ac:dyDescent="0.15">
      <c r="A921" s="6">
        <v>920</v>
      </c>
      <c r="B921" s="7" t="s">
        <v>9</v>
      </c>
      <c r="C921" s="8">
        <v>1886</v>
      </c>
      <c r="D921" s="9">
        <v>45418</v>
      </c>
      <c r="E921" s="13" t="str">
        <f>+HYPERLINK("http://trademark.i-assist.jp/data/china/image_1886th/76840054.pdf","76840054")</f>
        <v>76840054</v>
      </c>
      <c r="F921" s="7" t="s">
        <v>2501</v>
      </c>
      <c r="G921" s="7" t="s">
        <v>2502</v>
      </c>
      <c r="H921" s="7" t="s">
        <v>2503</v>
      </c>
      <c r="I921" s="9">
        <v>45340</v>
      </c>
    </row>
    <row r="922" spans="1:9" x14ac:dyDescent="0.15">
      <c r="A922" s="6">
        <v>921</v>
      </c>
      <c r="B922" s="7" t="s">
        <v>9</v>
      </c>
      <c r="C922" s="8">
        <v>1886</v>
      </c>
      <c r="D922" s="9">
        <v>45418</v>
      </c>
      <c r="E922" s="13" t="str">
        <f>+HYPERLINK("http://trademark.i-assist.jp/data/china/image_1886th/76840097.pdf","76840097")</f>
        <v>76840097</v>
      </c>
      <c r="F922" s="7" t="s">
        <v>2504</v>
      </c>
      <c r="G922" s="7" t="s">
        <v>2505</v>
      </c>
      <c r="H922" s="7" t="s">
        <v>2506</v>
      </c>
      <c r="I922" s="9">
        <v>45340</v>
      </c>
    </row>
    <row r="923" spans="1:9" x14ac:dyDescent="0.15">
      <c r="A923" s="6">
        <v>922</v>
      </c>
      <c r="B923" s="7" t="s">
        <v>9</v>
      </c>
      <c r="C923" s="8">
        <v>1886</v>
      </c>
      <c r="D923" s="9">
        <v>45418</v>
      </c>
      <c r="E923" s="13" t="str">
        <f>+HYPERLINK("http://trademark.i-assist.jp/data/china/image_1886th/76840184.pdf","76840184")</f>
        <v>76840184</v>
      </c>
      <c r="F923" s="7" t="s">
        <v>2507</v>
      </c>
      <c r="G923" s="7" t="s">
        <v>2508</v>
      </c>
      <c r="H923" s="7" t="s">
        <v>2509</v>
      </c>
      <c r="I923" s="9">
        <v>45340</v>
      </c>
    </row>
    <row r="924" spans="1:9" x14ac:dyDescent="0.15">
      <c r="A924" s="6">
        <v>923</v>
      </c>
      <c r="B924" s="7" t="s">
        <v>9</v>
      </c>
      <c r="C924" s="8">
        <v>1886</v>
      </c>
      <c r="D924" s="9">
        <v>45418</v>
      </c>
      <c r="E924" s="13" t="str">
        <f>+HYPERLINK("http://trademark.i-assist.jp/data/china/image_1886th/76840528.pdf","76840528")</f>
        <v>76840528</v>
      </c>
      <c r="F924" s="7" t="s">
        <v>2510</v>
      </c>
      <c r="G924" s="7" t="s">
        <v>2511</v>
      </c>
      <c r="H924" s="7" t="s">
        <v>2512</v>
      </c>
      <c r="I924" s="9">
        <v>45340</v>
      </c>
    </row>
    <row r="925" spans="1:9" x14ac:dyDescent="0.15">
      <c r="A925" s="6">
        <v>924</v>
      </c>
      <c r="B925" s="7" t="s">
        <v>9</v>
      </c>
      <c r="C925" s="8">
        <v>1886</v>
      </c>
      <c r="D925" s="9">
        <v>45418</v>
      </c>
      <c r="E925" s="13" t="str">
        <f>+HYPERLINK("http://trademark.i-assist.jp/data/china/image_1886th/76840984.pdf","76840984")</f>
        <v>76840984</v>
      </c>
      <c r="F925" s="7" t="s">
        <v>2513</v>
      </c>
      <c r="G925" s="7" t="s">
        <v>2514</v>
      </c>
      <c r="H925" s="7" t="s">
        <v>2515</v>
      </c>
      <c r="I925" s="9">
        <v>45340</v>
      </c>
    </row>
    <row r="926" spans="1:9" x14ac:dyDescent="0.15">
      <c r="A926" s="6">
        <v>925</v>
      </c>
      <c r="B926" s="7" t="s">
        <v>9</v>
      </c>
      <c r="C926" s="8">
        <v>1886</v>
      </c>
      <c r="D926" s="9">
        <v>45418</v>
      </c>
      <c r="E926" s="13" t="str">
        <f>+HYPERLINK("http://trademark.i-assist.jp/data/china/image_1886th/76841599.pdf","76841599")</f>
        <v>76841599</v>
      </c>
      <c r="F926" s="7" t="s">
        <v>2516</v>
      </c>
      <c r="G926" s="7" t="s">
        <v>1845</v>
      </c>
      <c r="H926" s="7" t="s">
        <v>2517</v>
      </c>
      <c r="I926" s="9">
        <v>45340</v>
      </c>
    </row>
    <row r="927" spans="1:9" x14ac:dyDescent="0.15">
      <c r="A927" s="6">
        <v>926</v>
      </c>
      <c r="B927" s="7" t="s">
        <v>9</v>
      </c>
      <c r="C927" s="8">
        <v>1886</v>
      </c>
      <c r="D927" s="9">
        <v>45418</v>
      </c>
      <c r="E927" s="13" t="str">
        <f>+HYPERLINK("http://trademark.i-assist.jp/data/china/image_1886th/76841714.pdf","76841714")</f>
        <v>76841714</v>
      </c>
      <c r="F927" s="7" t="s">
        <v>2518</v>
      </c>
      <c r="G927" s="7" t="s">
        <v>2519</v>
      </c>
      <c r="H927" s="7" t="s">
        <v>2520</v>
      </c>
      <c r="I927" s="9">
        <v>45340</v>
      </c>
    </row>
    <row r="928" spans="1:9" x14ac:dyDescent="0.15">
      <c r="A928" s="6">
        <v>927</v>
      </c>
      <c r="B928" s="7" t="s">
        <v>9</v>
      </c>
      <c r="C928" s="8">
        <v>1886</v>
      </c>
      <c r="D928" s="9">
        <v>45418</v>
      </c>
      <c r="E928" s="13" t="str">
        <f>+HYPERLINK("http://trademark.i-assist.jp/data/china/image_1886th/76841722.pdf","76841722")</f>
        <v>76841722</v>
      </c>
      <c r="F928" s="7" t="s">
        <v>2521</v>
      </c>
      <c r="G928" s="7" t="s">
        <v>2519</v>
      </c>
      <c r="H928" s="7" t="s">
        <v>2522</v>
      </c>
      <c r="I928" s="9">
        <v>45340</v>
      </c>
    </row>
    <row r="929" spans="1:9" x14ac:dyDescent="0.15">
      <c r="A929" s="6">
        <v>928</v>
      </c>
      <c r="B929" s="7" t="s">
        <v>9</v>
      </c>
      <c r="C929" s="8">
        <v>1886</v>
      </c>
      <c r="D929" s="9">
        <v>45418</v>
      </c>
      <c r="E929" s="13" t="str">
        <f>+HYPERLINK("http://trademark.i-assist.jp/data/china/image_1886th/76841923.pdf","76841923")</f>
        <v>76841923</v>
      </c>
      <c r="F929" s="7" t="s">
        <v>33</v>
      </c>
      <c r="G929" s="7" t="s">
        <v>2523</v>
      </c>
      <c r="H929" s="7" t="s">
        <v>2524</v>
      </c>
      <c r="I929" s="9">
        <v>45340</v>
      </c>
    </row>
    <row r="930" spans="1:9" x14ac:dyDescent="0.15">
      <c r="A930" s="6">
        <v>929</v>
      </c>
      <c r="B930" s="7" t="s">
        <v>9</v>
      </c>
      <c r="C930" s="8">
        <v>1886</v>
      </c>
      <c r="D930" s="9">
        <v>45418</v>
      </c>
      <c r="E930" s="13" t="str">
        <f>+HYPERLINK("http://trademark.i-assist.jp/data/china/image_1886th/76842035.pdf","76842035")</f>
        <v>76842035</v>
      </c>
      <c r="F930" s="7" t="s">
        <v>2525</v>
      </c>
      <c r="G930" s="7" t="s">
        <v>2395</v>
      </c>
      <c r="H930" s="7" t="s">
        <v>2526</v>
      </c>
      <c r="I930" s="9">
        <v>45340</v>
      </c>
    </row>
    <row r="931" spans="1:9" x14ac:dyDescent="0.15">
      <c r="A931" s="6">
        <v>930</v>
      </c>
      <c r="B931" s="7" t="s">
        <v>9</v>
      </c>
      <c r="C931" s="8">
        <v>1886</v>
      </c>
      <c r="D931" s="9">
        <v>45418</v>
      </c>
      <c r="E931" s="13" t="str">
        <f>+HYPERLINK("http://trademark.i-assist.jp/data/china/image_1886th/76842524.pdf","76842524")</f>
        <v>76842524</v>
      </c>
      <c r="F931" s="7" t="s">
        <v>2527</v>
      </c>
      <c r="G931" s="7" t="s">
        <v>2528</v>
      </c>
      <c r="H931" s="7" t="s">
        <v>2529</v>
      </c>
      <c r="I931" s="9">
        <v>45340</v>
      </c>
    </row>
    <row r="932" spans="1:9" ht="27" x14ac:dyDescent="0.15">
      <c r="A932" s="6">
        <v>931</v>
      </c>
      <c r="B932" s="7" t="s">
        <v>9</v>
      </c>
      <c r="C932" s="8">
        <v>1886</v>
      </c>
      <c r="D932" s="9">
        <v>45418</v>
      </c>
      <c r="E932" s="13" t="str">
        <f>+HYPERLINK("http://trademark.i-assist.jp/data/china/image_1886th/76842942.pdf","76842942")</f>
        <v>76842942</v>
      </c>
      <c r="F932" s="7" t="s">
        <v>2530</v>
      </c>
      <c r="G932" s="7" t="s">
        <v>2531</v>
      </c>
      <c r="H932" s="7" t="s">
        <v>2532</v>
      </c>
      <c r="I932" s="9">
        <v>45340</v>
      </c>
    </row>
    <row r="933" spans="1:9" x14ac:dyDescent="0.15">
      <c r="A933" s="6">
        <v>932</v>
      </c>
      <c r="B933" s="7" t="s">
        <v>9</v>
      </c>
      <c r="C933" s="8">
        <v>1886</v>
      </c>
      <c r="D933" s="9">
        <v>45418</v>
      </c>
      <c r="E933" s="13" t="str">
        <f>+HYPERLINK("http://trademark.i-assist.jp/data/china/image_1886th/76842969.pdf","76842969")</f>
        <v>76842969</v>
      </c>
      <c r="F933" s="7" t="s">
        <v>2533</v>
      </c>
      <c r="G933" s="7" t="s">
        <v>2534</v>
      </c>
      <c r="H933" s="7" t="s">
        <v>2535</v>
      </c>
      <c r="I933" s="9">
        <v>45340</v>
      </c>
    </row>
    <row r="934" spans="1:9" x14ac:dyDescent="0.15">
      <c r="A934" s="6">
        <v>933</v>
      </c>
      <c r="B934" s="7" t="s">
        <v>9</v>
      </c>
      <c r="C934" s="8">
        <v>1886</v>
      </c>
      <c r="D934" s="9">
        <v>45418</v>
      </c>
      <c r="E934" s="13" t="str">
        <f>+HYPERLINK("http://trademark.i-assist.jp/data/china/image_1886th/76843029.pdf","76843029")</f>
        <v>76843029</v>
      </c>
      <c r="F934" s="7" t="s">
        <v>2536</v>
      </c>
      <c r="G934" s="7" t="s">
        <v>2404</v>
      </c>
      <c r="H934" s="7" t="s">
        <v>2537</v>
      </c>
      <c r="I934" s="9">
        <v>45340</v>
      </c>
    </row>
    <row r="935" spans="1:9" x14ac:dyDescent="0.15">
      <c r="A935" s="6">
        <v>934</v>
      </c>
      <c r="B935" s="7" t="s">
        <v>9</v>
      </c>
      <c r="C935" s="8">
        <v>1886</v>
      </c>
      <c r="D935" s="9">
        <v>45418</v>
      </c>
      <c r="E935" s="13" t="str">
        <f>+HYPERLINK("http://trademark.i-assist.jp/data/china/image_1886th/76843051.pdf","76843051")</f>
        <v>76843051</v>
      </c>
      <c r="F935" s="7" t="s">
        <v>2538</v>
      </c>
      <c r="G935" s="7" t="s">
        <v>2404</v>
      </c>
      <c r="H935" s="7" t="s">
        <v>2539</v>
      </c>
      <c r="I935" s="9">
        <v>45340</v>
      </c>
    </row>
    <row r="936" spans="1:9" x14ac:dyDescent="0.15">
      <c r="A936" s="6">
        <v>935</v>
      </c>
      <c r="B936" s="7" t="s">
        <v>9</v>
      </c>
      <c r="C936" s="8">
        <v>1886</v>
      </c>
      <c r="D936" s="9">
        <v>45418</v>
      </c>
      <c r="E936" s="13" t="str">
        <f>+HYPERLINK("http://trademark.i-assist.jp/data/china/image_1886th/76843054.pdf","76843054")</f>
        <v>76843054</v>
      </c>
      <c r="F936" s="7" t="s">
        <v>2540</v>
      </c>
      <c r="G936" s="7" t="s">
        <v>2541</v>
      </c>
      <c r="H936" s="7" t="s">
        <v>2542</v>
      </c>
      <c r="I936" s="9">
        <v>45340</v>
      </c>
    </row>
    <row r="937" spans="1:9" ht="27" x14ac:dyDescent="0.15">
      <c r="A937" s="6">
        <v>936</v>
      </c>
      <c r="B937" s="7" t="s">
        <v>9</v>
      </c>
      <c r="C937" s="8">
        <v>1886</v>
      </c>
      <c r="D937" s="9">
        <v>45418</v>
      </c>
      <c r="E937" s="13" t="str">
        <f>+HYPERLINK("http://trademark.i-assist.jp/data/china/image_1886th/76843301.pdf","76843301")</f>
        <v>76843301</v>
      </c>
      <c r="F937" s="7" t="s">
        <v>2543</v>
      </c>
      <c r="G937" s="7" t="s">
        <v>2544</v>
      </c>
      <c r="H937" s="7" t="s">
        <v>2545</v>
      </c>
      <c r="I937" s="9">
        <v>45340</v>
      </c>
    </row>
    <row r="938" spans="1:9" x14ac:dyDescent="0.15">
      <c r="A938" s="6">
        <v>937</v>
      </c>
      <c r="B938" s="7" t="s">
        <v>9</v>
      </c>
      <c r="C938" s="8">
        <v>1886</v>
      </c>
      <c r="D938" s="9">
        <v>45418</v>
      </c>
      <c r="E938" s="13" t="str">
        <f>+HYPERLINK("http://trademark.i-assist.jp/data/china/image_1886th/76844077.pdf","76844077")</f>
        <v>76844077</v>
      </c>
      <c r="F938" s="7" t="s">
        <v>2546</v>
      </c>
      <c r="G938" s="7" t="s">
        <v>2547</v>
      </c>
      <c r="H938" s="7" t="s">
        <v>2548</v>
      </c>
      <c r="I938" s="9">
        <v>45340</v>
      </c>
    </row>
    <row r="939" spans="1:9" ht="27" x14ac:dyDescent="0.15">
      <c r="A939" s="6">
        <v>938</v>
      </c>
      <c r="B939" s="7" t="s">
        <v>9</v>
      </c>
      <c r="C939" s="8">
        <v>1886</v>
      </c>
      <c r="D939" s="9">
        <v>45418</v>
      </c>
      <c r="E939" s="13" t="str">
        <f>+HYPERLINK("http://trademark.i-assist.jp/data/china/image_1886th/76844082.pdf","76844082")</f>
        <v>76844082</v>
      </c>
      <c r="F939" s="7" t="s">
        <v>2549</v>
      </c>
      <c r="G939" s="7" t="s">
        <v>2550</v>
      </c>
      <c r="H939" s="7" t="s">
        <v>2551</v>
      </c>
      <c r="I939" s="9">
        <v>45340</v>
      </c>
    </row>
    <row r="940" spans="1:9" x14ac:dyDescent="0.15">
      <c r="A940" s="6">
        <v>939</v>
      </c>
      <c r="B940" s="7" t="s">
        <v>9</v>
      </c>
      <c r="C940" s="8">
        <v>1886</v>
      </c>
      <c r="D940" s="9">
        <v>45418</v>
      </c>
      <c r="E940" s="13" t="str">
        <f>+HYPERLINK("http://trademark.i-assist.jp/data/china/image_1886th/76845076.pdf","76845076")</f>
        <v>76845076</v>
      </c>
      <c r="F940" s="7" t="s">
        <v>33</v>
      </c>
      <c r="G940" s="7" t="s">
        <v>2552</v>
      </c>
      <c r="H940" s="7" t="s">
        <v>2553</v>
      </c>
      <c r="I940" s="9">
        <v>45340</v>
      </c>
    </row>
    <row r="941" spans="1:9" x14ac:dyDescent="0.15">
      <c r="A941" s="6">
        <v>940</v>
      </c>
      <c r="B941" s="7" t="s">
        <v>9</v>
      </c>
      <c r="C941" s="8">
        <v>1886</v>
      </c>
      <c r="D941" s="9">
        <v>45418</v>
      </c>
      <c r="E941" s="13" t="str">
        <f>+HYPERLINK("http://trademark.i-assist.jp/data/china/image_1886th/76845865.pdf","76845865")</f>
        <v>76845865</v>
      </c>
      <c r="F941" s="7" t="s">
        <v>2554</v>
      </c>
      <c r="G941" s="7" t="s">
        <v>2555</v>
      </c>
      <c r="H941" s="7" t="s">
        <v>2556</v>
      </c>
      <c r="I941" s="9">
        <v>45341</v>
      </c>
    </row>
    <row r="942" spans="1:9" x14ac:dyDescent="0.15">
      <c r="A942" s="6">
        <v>941</v>
      </c>
      <c r="B942" s="7" t="s">
        <v>9</v>
      </c>
      <c r="C942" s="8">
        <v>1886</v>
      </c>
      <c r="D942" s="9">
        <v>45418</v>
      </c>
      <c r="E942" s="13" t="str">
        <f>+HYPERLINK("http://trademark.i-assist.jp/data/china/image_1886th/76846243.pdf","76846243")</f>
        <v>76846243</v>
      </c>
      <c r="F942" s="7" t="s">
        <v>2557</v>
      </c>
      <c r="G942" s="7" t="s">
        <v>2558</v>
      </c>
      <c r="H942" s="7" t="s">
        <v>2559</v>
      </c>
      <c r="I942" s="9">
        <v>45341</v>
      </c>
    </row>
    <row r="943" spans="1:9" x14ac:dyDescent="0.15">
      <c r="A943" s="6">
        <v>942</v>
      </c>
      <c r="B943" s="7" t="s">
        <v>9</v>
      </c>
      <c r="C943" s="8">
        <v>1886</v>
      </c>
      <c r="D943" s="9">
        <v>45418</v>
      </c>
      <c r="E943" s="13" t="str">
        <f>+HYPERLINK("http://trademark.i-assist.jp/data/china/image_1886th/76846270.pdf","76846270")</f>
        <v>76846270</v>
      </c>
      <c r="F943" s="7" t="s">
        <v>2560</v>
      </c>
      <c r="G943" s="7" t="s">
        <v>2561</v>
      </c>
      <c r="H943" s="7" t="s">
        <v>2562</v>
      </c>
      <c r="I943" s="9">
        <v>45341</v>
      </c>
    </row>
    <row r="944" spans="1:9" ht="27" x14ac:dyDescent="0.15">
      <c r="A944" s="6">
        <v>943</v>
      </c>
      <c r="B944" s="7" t="s">
        <v>9</v>
      </c>
      <c r="C944" s="8">
        <v>1886</v>
      </c>
      <c r="D944" s="9">
        <v>45418</v>
      </c>
      <c r="E944" s="13" t="str">
        <f>+HYPERLINK("http://trademark.i-assist.jp/data/china/image_1886th/76846634.pdf","76846634")</f>
        <v>76846634</v>
      </c>
      <c r="F944" s="7" t="s">
        <v>2563</v>
      </c>
      <c r="G944" s="7" t="s">
        <v>2564</v>
      </c>
      <c r="H944" s="7" t="s">
        <v>2565</v>
      </c>
      <c r="I944" s="9">
        <v>45341</v>
      </c>
    </row>
    <row r="945" spans="1:9" x14ac:dyDescent="0.15">
      <c r="A945" s="6">
        <v>944</v>
      </c>
      <c r="B945" s="7" t="s">
        <v>9</v>
      </c>
      <c r="C945" s="8">
        <v>1886</v>
      </c>
      <c r="D945" s="9">
        <v>45418</v>
      </c>
      <c r="E945" s="13" t="str">
        <f>+HYPERLINK("http://trademark.i-assist.jp/data/china/image_1886th/76846745.pdf","76846745")</f>
        <v>76846745</v>
      </c>
      <c r="F945" s="7" t="s">
        <v>2566</v>
      </c>
      <c r="G945" s="7" t="s">
        <v>2567</v>
      </c>
      <c r="H945" s="7" t="s">
        <v>2568</v>
      </c>
      <c r="I945" s="9">
        <v>45341</v>
      </c>
    </row>
    <row r="946" spans="1:9" x14ac:dyDescent="0.15">
      <c r="A946" s="6">
        <v>945</v>
      </c>
      <c r="B946" s="7" t="s">
        <v>9</v>
      </c>
      <c r="C946" s="8">
        <v>1886</v>
      </c>
      <c r="D946" s="9">
        <v>45418</v>
      </c>
      <c r="E946" s="13" t="str">
        <f>+HYPERLINK("http://trademark.i-assist.jp/data/china/image_1886th/76847387.pdf","76847387")</f>
        <v>76847387</v>
      </c>
      <c r="F946" s="7" t="s">
        <v>2569</v>
      </c>
      <c r="G946" s="7" t="s">
        <v>2570</v>
      </c>
      <c r="H946" s="7" t="s">
        <v>2571</v>
      </c>
      <c r="I946" s="9">
        <v>45341</v>
      </c>
    </row>
    <row r="947" spans="1:9" ht="27" x14ac:dyDescent="0.15">
      <c r="A947" s="6">
        <v>946</v>
      </c>
      <c r="B947" s="7" t="s">
        <v>9</v>
      </c>
      <c r="C947" s="8">
        <v>1886</v>
      </c>
      <c r="D947" s="9">
        <v>45418</v>
      </c>
      <c r="E947" s="13" t="str">
        <f>+HYPERLINK("http://trademark.i-assist.jp/data/china/image_1886th/76847400.pdf","76847400")</f>
        <v>76847400</v>
      </c>
      <c r="F947" s="7" t="s">
        <v>2572</v>
      </c>
      <c r="G947" s="7" t="s">
        <v>2573</v>
      </c>
      <c r="H947" s="7" t="s">
        <v>2574</v>
      </c>
      <c r="I947" s="9">
        <v>45341</v>
      </c>
    </row>
    <row r="948" spans="1:9" ht="27" x14ac:dyDescent="0.15">
      <c r="A948" s="6">
        <v>947</v>
      </c>
      <c r="B948" s="7" t="s">
        <v>9</v>
      </c>
      <c r="C948" s="8">
        <v>1886</v>
      </c>
      <c r="D948" s="9">
        <v>45418</v>
      </c>
      <c r="E948" s="13" t="str">
        <f>+HYPERLINK("http://trademark.i-assist.jp/data/china/image_1886th/76847480.pdf","76847480")</f>
        <v>76847480</v>
      </c>
      <c r="F948" s="7" t="s">
        <v>2575</v>
      </c>
      <c r="G948" s="7" t="s">
        <v>2576</v>
      </c>
      <c r="H948" s="7" t="s">
        <v>2577</v>
      </c>
      <c r="I948" s="9">
        <v>45341</v>
      </c>
    </row>
    <row r="949" spans="1:9" x14ac:dyDescent="0.15">
      <c r="A949" s="6">
        <v>948</v>
      </c>
      <c r="B949" s="7" t="s">
        <v>9</v>
      </c>
      <c r="C949" s="8">
        <v>1886</v>
      </c>
      <c r="D949" s="9">
        <v>45418</v>
      </c>
      <c r="E949" s="13" t="str">
        <f>+HYPERLINK("http://trademark.i-assist.jp/data/china/image_1886th/76847621.pdf","76847621")</f>
        <v>76847621</v>
      </c>
      <c r="F949" s="7" t="s">
        <v>2578</v>
      </c>
      <c r="G949" s="7" t="s">
        <v>2579</v>
      </c>
      <c r="H949" s="7" t="s">
        <v>2580</v>
      </c>
      <c r="I949" s="9">
        <v>45341</v>
      </c>
    </row>
    <row r="950" spans="1:9" x14ac:dyDescent="0.15">
      <c r="A950" s="6">
        <v>949</v>
      </c>
      <c r="B950" s="7" t="s">
        <v>9</v>
      </c>
      <c r="C950" s="8">
        <v>1886</v>
      </c>
      <c r="D950" s="9">
        <v>45418</v>
      </c>
      <c r="E950" s="13" t="str">
        <f>+HYPERLINK("http://trademark.i-assist.jp/data/china/image_1886th/76847777.pdf","76847777")</f>
        <v>76847777</v>
      </c>
      <c r="F950" s="7" t="s">
        <v>2581</v>
      </c>
      <c r="G950" s="7" t="s">
        <v>2582</v>
      </c>
      <c r="H950" s="7" t="s">
        <v>2583</v>
      </c>
      <c r="I950" s="9">
        <v>45341</v>
      </c>
    </row>
    <row r="951" spans="1:9" x14ac:dyDescent="0.15">
      <c r="A951" s="6">
        <v>950</v>
      </c>
      <c r="B951" s="7" t="s">
        <v>9</v>
      </c>
      <c r="C951" s="8">
        <v>1886</v>
      </c>
      <c r="D951" s="9">
        <v>45418</v>
      </c>
      <c r="E951" s="13" t="str">
        <f>+HYPERLINK("http://trademark.i-assist.jp/data/china/image_1886th/76847970.pdf","76847970")</f>
        <v>76847970</v>
      </c>
      <c r="F951" s="7" t="s">
        <v>2584</v>
      </c>
      <c r="G951" s="7" t="s">
        <v>2585</v>
      </c>
      <c r="H951" s="7" t="s">
        <v>2586</v>
      </c>
      <c r="I951" s="9">
        <v>45341</v>
      </c>
    </row>
    <row r="952" spans="1:9" ht="27" x14ac:dyDescent="0.15">
      <c r="A952" s="6">
        <v>951</v>
      </c>
      <c r="B952" s="7" t="s">
        <v>9</v>
      </c>
      <c r="C952" s="8">
        <v>1886</v>
      </c>
      <c r="D952" s="9">
        <v>45418</v>
      </c>
      <c r="E952" s="13" t="str">
        <f>+HYPERLINK("http://trademark.i-assist.jp/data/china/image_1886th/76848097.pdf","76848097")</f>
        <v>76848097</v>
      </c>
      <c r="F952" s="7" t="s">
        <v>2587</v>
      </c>
      <c r="G952" s="7" t="s">
        <v>2588</v>
      </c>
      <c r="H952" s="7" t="s">
        <v>2589</v>
      </c>
      <c r="I952" s="9">
        <v>45341</v>
      </c>
    </row>
    <row r="953" spans="1:9" ht="27" x14ac:dyDescent="0.15">
      <c r="A953" s="6">
        <v>952</v>
      </c>
      <c r="B953" s="7" t="s">
        <v>9</v>
      </c>
      <c r="C953" s="8">
        <v>1886</v>
      </c>
      <c r="D953" s="9">
        <v>45418</v>
      </c>
      <c r="E953" s="13" t="str">
        <f>+HYPERLINK("http://trademark.i-assist.jp/data/china/image_1886th/76849274.pdf","76849274")</f>
        <v>76849274</v>
      </c>
      <c r="F953" s="7" t="s">
        <v>2590</v>
      </c>
      <c r="G953" s="7" t="s">
        <v>2591</v>
      </c>
      <c r="H953" s="7" t="s">
        <v>2592</v>
      </c>
      <c r="I953" s="9">
        <v>45341</v>
      </c>
    </row>
    <row r="954" spans="1:9" x14ac:dyDescent="0.15">
      <c r="A954" s="6">
        <v>953</v>
      </c>
      <c r="B954" s="7" t="s">
        <v>9</v>
      </c>
      <c r="C954" s="8">
        <v>1886</v>
      </c>
      <c r="D954" s="9">
        <v>45418</v>
      </c>
      <c r="E954" s="13" t="str">
        <f>+HYPERLINK("http://trademark.i-assist.jp/data/china/image_1886th/76849323.pdf","76849323")</f>
        <v>76849323</v>
      </c>
      <c r="F954" s="7" t="s">
        <v>2593</v>
      </c>
      <c r="G954" s="7" t="s">
        <v>2594</v>
      </c>
      <c r="H954" s="7" t="s">
        <v>2595</v>
      </c>
      <c r="I954" s="9">
        <v>45341</v>
      </c>
    </row>
    <row r="955" spans="1:9" x14ac:dyDescent="0.15">
      <c r="A955" s="6">
        <v>954</v>
      </c>
      <c r="B955" s="7" t="s">
        <v>9</v>
      </c>
      <c r="C955" s="8">
        <v>1886</v>
      </c>
      <c r="D955" s="9">
        <v>45418</v>
      </c>
      <c r="E955" s="13" t="str">
        <f>+HYPERLINK("http://trademark.i-assist.jp/data/china/image_1886th/76849333.pdf","76849333")</f>
        <v>76849333</v>
      </c>
      <c r="F955" s="7" t="s">
        <v>2596</v>
      </c>
      <c r="G955" s="7" t="s">
        <v>2597</v>
      </c>
      <c r="H955" s="7" t="s">
        <v>2598</v>
      </c>
      <c r="I955" s="9">
        <v>45341</v>
      </c>
    </row>
    <row r="956" spans="1:9" x14ac:dyDescent="0.15">
      <c r="A956" s="6">
        <v>955</v>
      </c>
      <c r="B956" s="7" t="s">
        <v>9</v>
      </c>
      <c r="C956" s="8">
        <v>1886</v>
      </c>
      <c r="D956" s="9">
        <v>45418</v>
      </c>
      <c r="E956" s="13" t="str">
        <f>+HYPERLINK("http://trademark.i-assist.jp/data/china/image_1886th/76849598.pdf","76849598")</f>
        <v>76849598</v>
      </c>
      <c r="F956" s="7" t="s">
        <v>2599</v>
      </c>
      <c r="G956" s="7" t="s">
        <v>2561</v>
      </c>
      <c r="H956" s="7" t="s">
        <v>2600</v>
      </c>
      <c r="I956" s="9">
        <v>45341</v>
      </c>
    </row>
    <row r="957" spans="1:9" x14ac:dyDescent="0.15">
      <c r="A957" s="6">
        <v>956</v>
      </c>
      <c r="B957" s="7" t="s">
        <v>9</v>
      </c>
      <c r="C957" s="8">
        <v>1886</v>
      </c>
      <c r="D957" s="9">
        <v>45418</v>
      </c>
      <c r="E957" s="13" t="str">
        <f>+HYPERLINK("http://trademark.i-assist.jp/data/china/image_1886th/76849875.pdf","76849875")</f>
        <v>76849875</v>
      </c>
      <c r="F957" s="7" t="s">
        <v>2601</v>
      </c>
      <c r="G957" s="7" t="s">
        <v>2602</v>
      </c>
      <c r="H957" s="7" t="s">
        <v>2603</v>
      </c>
      <c r="I957" s="9">
        <v>45341</v>
      </c>
    </row>
    <row r="958" spans="1:9" ht="27" x14ac:dyDescent="0.15">
      <c r="A958" s="6">
        <v>957</v>
      </c>
      <c r="B958" s="7" t="s">
        <v>9</v>
      </c>
      <c r="C958" s="8">
        <v>1886</v>
      </c>
      <c r="D958" s="9">
        <v>45418</v>
      </c>
      <c r="E958" s="13" t="str">
        <f>+HYPERLINK("http://trademark.i-assist.jp/data/china/image_1886th/76849929.pdf","76849929")</f>
        <v>76849929</v>
      </c>
      <c r="F958" s="7" t="s">
        <v>2604</v>
      </c>
      <c r="G958" s="7" t="s">
        <v>2605</v>
      </c>
      <c r="H958" s="7" t="s">
        <v>2606</v>
      </c>
      <c r="I958" s="9">
        <v>45341</v>
      </c>
    </row>
    <row r="959" spans="1:9" x14ac:dyDescent="0.15">
      <c r="A959" s="6">
        <v>958</v>
      </c>
      <c r="B959" s="7" t="s">
        <v>9</v>
      </c>
      <c r="C959" s="8">
        <v>1886</v>
      </c>
      <c r="D959" s="9">
        <v>45418</v>
      </c>
      <c r="E959" s="13" t="str">
        <f>+HYPERLINK("http://trademark.i-assist.jp/data/china/image_1886th/76849952.pdf","76849952")</f>
        <v>76849952</v>
      </c>
      <c r="F959" s="7" t="s">
        <v>2607</v>
      </c>
      <c r="G959" s="7" t="s">
        <v>2608</v>
      </c>
      <c r="H959" s="7" t="s">
        <v>2609</v>
      </c>
      <c r="I959" s="9">
        <v>45341</v>
      </c>
    </row>
    <row r="960" spans="1:9" ht="27" x14ac:dyDescent="0.15">
      <c r="A960" s="6">
        <v>959</v>
      </c>
      <c r="B960" s="7" t="s">
        <v>9</v>
      </c>
      <c r="C960" s="8">
        <v>1886</v>
      </c>
      <c r="D960" s="9">
        <v>45418</v>
      </c>
      <c r="E960" s="13" t="str">
        <f>+HYPERLINK("http://trademark.i-assist.jp/data/china/image_1886th/76850090.pdf","76850090")</f>
        <v>76850090</v>
      </c>
      <c r="F960" s="7" t="s">
        <v>2610</v>
      </c>
      <c r="G960" s="7" t="s">
        <v>2611</v>
      </c>
      <c r="H960" s="7" t="s">
        <v>2612</v>
      </c>
      <c r="I960" s="9">
        <v>45341</v>
      </c>
    </row>
    <row r="961" spans="1:9" x14ac:dyDescent="0.15">
      <c r="A961" s="6">
        <v>960</v>
      </c>
      <c r="B961" s="7" t="s">
        <v>9</v>
      </c>
      <c r="C961" s="8">
        <v>1886</v>
      </c>
      <c r="D961" s="9">
        <v>45418</v>
      </c>
      <c r="E961" s="13" t="str">
        <f>+HYPERLINK("http://trademark.i-assist.jp/data/china/image_1886th/76850210.pdf","76850210")</f>
        <v>76850210</v>
      </c>
      <c r="F961" s="7" t="s">
        <v>2613</v>
      </c>
      <c r="G961" s="7" t="s">
        <v>2614</v>
      </c>
      <c r="H961" s="7" t="s">
        <v>2615</v>
      </c>
      <c r="I961" s="9">
        <v>45341</v>
      </c>
    </row>
    <row r="962" spans="1:9" x14ac:dyDescent="0.15">
      <c r="A962" s="6">
        <v>961</v>
      </c>
      <c r="B962" s="7" t="s">
        <v>9</v>
      </c>
      <c r="C962" s="8">
        <v>1886</v>
      </c>
      <c r="D962" s="9">
        <v>45418</v>
      </c>
      <c r="E962" s="13" t="str">
        <f>+HYPERLINK("http://trademark.i-assist.jp/data/china/image_1886th/76850302.pdf","76850302")</f>
        <v>76850302</v>
      </c>
      <c r="F962" s="7" t="s">
        <v>2616</v>
      </c>
      <c r="G962" s="7" t="s">
        <v>2617</v>
      </c>
      <c r="H962" s="7" t="s">
        <v>2618</v>
      </c>
      <c r="I962" s="9">
        <v>45341</v>
      </c>
    </row>
    <row r="963" spans="1:9" x14ac:dyDescent="0.15">
      <c r="A963" s="6">
        <v>962</v>
      </c>
      <c r="B963" s="7" t="s">
        <v>9</v>
      </c>
      <c r="C963" s="8">
        <v>1886</v>
      </c>
      <c r="D963" s="9">
        <v>45418</v>
      </c>
      <c r="E963" s="13" t="str">
        <f>+HYPERLINK("http://trademark.i-assist.jp/data/china/image_1886th/76850491.pdf","76850491")</f>
        <v>76850491</v>
      </c>
      <c r="F963" s="7" t="s">
        <v>2619</v>
      </c>
      <c r="G963" s="7" t="s">
        <v>2585</v>
      </c>
      <c r="H963" s="7" t="s">
        <v>2620</v>
      </c>
      <c r="I963" s="9">
        <v>45341</v>
      </c>
    </row>
    <row r="964" spans="1:9" ht="27" x14ac:dyDescent="0.15">
      <c r="A964" s="6">
        <v>963</v>
      </c>
      <c r="B964" s="7" t="s">
        <v>9</v>
      </c>
      <c r="C964" s="8">
        <v>1886</v>
      </c>
      <c r="D964" s="9">
        <v>45418</v>
      </c>
      <c r="E964" s="13" t="str">
        <f>+HYPERLINK("http://trademark.i-assist.jp/data/china/image_1886th/76850910.pdf","76850910")</f>
        <v>76850910</v>
      </c>
      <c r="F964" s="7" t="s">
        <v>2572</v>
      </c>
      <c r="G964" s="7" t="s">
        <v>2573</v>
      </c>
      <c r="H964" s="7" t="s">
        <v>2621</v>
      </c>
      <c r="I964" s="9">
        <v>45341</v>
      </c>
    </row>
    <row r="965" spans="1:9" x14ac:dyDescent="0.15">
      <c r="A965" s="6">
        <v>964</v>
      </c>
      <c r="B965" s="7" t="s">
        <v>9</v>
      </c>
      <c r="C965" s="8">
        <v>1886</v>
      </c>
      <c r="D965" s="9">
        <v>45418</v>
      </c>
      <c r="E965" s="13" t="str">
        <f>+HYPERLINK("http://trademark.i-assist.jp/data/china/image_1886th/76851359.pdf","76851359")</f>
        <v>76851359</v>
      </c>
      <c r="F965" s="7" t="s">
        <v>2622</v>
      </c>
      <c r="G965" s="7" t="s">
        <v>2623</v>
      </c>
      <c r="H965" s="7" t="s">
        <v>2624</v>
      </c>
      <c r="I965" s="9">
        <v>45341</v>
      </c>
    </row>
    <row r="966" spans="1:9" ht="27" x14ac:dyDescent="0.15">
      <c r="A966" s="6">
        <v>965</v>
      </c>
      <c r="B966" s="7" t="s">
        <v>9</v>
      </c>
      <c r="C966" s="8">
        <v>1886</v>
      </c>
      <c r="D966" s="9">
        <v>45418</v>
      </c>
      <c r="E966" s="13" t="str">
        <f>+HYPERLINK("http://trademark.i-assist.jp/data/china/image_1886th/76851512.pdf","76851512")</f>
        <v>76851512</v>
      </c>
      <c r="F966" s="7" t="s">
        <v>2625</v>
      </c>
      <c r="G966" s="7" t="s">
        <v>2626</v>
      </c>
      <c r="H966" s="7" t="s">
        <v>2627</v>
      </c>
      <c r="I966" s="9">
        <v>45341</v>
      </c>
    </row>
    <row r="967" spans="1:9" x14ac:dyDescent="0.15">
      <c r="A967" s="6">
        <v>966</v>
      </c>
      <c r="B967" s="7" t="s">
        <v>9</v>
      </c>
      <c r="C967" s="8">
        <v>1886</v>
      </c>
      <c r="D967" s="9">
        <v>45418</v>
      </c>
      <c r="E967" s="13" t="str">
        <f>+HYPERLINK("http://trademark.i-assist.jp/data/china/image_1886th/76851525.pdf","76851525")</f>
        <v>76851525</v>
      </c>
      <c r="F967" s="7" t="s">
        <v>2628</v>
      </c>
      <c r="G967" s="7" t="s">
        <v>2629</v>
      </c>
      <c r="H967" s="7" t="s">
        <v>2630</v>
      </c>
      <c r="I967" s="9">
        <v>45341</v>
      </c>
    </row>
    <row r="968" spans="1:9" x14ac:dyDescent="0.15">
      <c r="A968" s="6">
        <v>967</v>
      </c>
      <c r="B968" s="7" t="s">
        <v>9</v>
      </c>
      <c r="C968" s="8">
        <v>1886</v>
      </c>
      <c r="D968" s="9">
        <v>45418</v>
      </c>
      <c r="E968" s="13" t="str">
        <f>+HYPERLINK("http://trademark.i-assist.jp/data/china/image_1886th/76851937.pdf","76851937")</f>
        <v>76851937</v>
      </c>
      <c r="F968" s="7" t="s">
        <v>2631</v>
      </c>
      <c r="G968" s="7" t="s">
        <v>2632</v>
      </c>
      <c r="H968" s="7" t="s">
        <v>2633</v>
      </c>
      <c r="I968" s="9">
        <v>45341</v>
      </c>
    </row>
    <row r="969" spans="1:9" x14ac:dyDescent="0.15">
      <c r="A969" s="6">
        <v>968</v>
      </c>
      <c r="B969" s="7" t="s">
        <v>9</v>
      </c>
      <c r="C969" s="8">
        <v>1886</v>
      </c>
      <c r="D969" s="9">
        <v>45418</v>
      </c>
      <c r="E969" s="13" t="str">
        <f>+HYPERLINK("http://trademark.i-assist.jp/data/china/image_1886th/76852084.pdf","76852084")</f>
        <v>76852084</v>
      </c>
      <c r="F969" s="7" t="s">
        <v>2634</v>
      </c>
      <c r="G969" s="7" t="s">
        <v>1907</v>
      </c>
      <c r="H969" s="7" t="s">
        <v>2635</v>
      </c>
      <c r="I969" s="9">
        <v>45341</v>
      </c>
    </row>
    <row r="970" spans="1:9" x14ac:dyDescent="0.15">
      <c r="A970" s="6">
        <v>969</v>
      </c>
      <c r="B970" s="7" t="s">
        <v>9</v>
      </c>
      <c r="C970" s="8">
        <v>1886</v>
      </c>
      <c r="D970" s="9">
        <v>45418</v>
      </c>
      <c r="E970" s="13" t="str">
        <f>+HYPERLINK("http://trademark.i-assist.jp/data/china/image_1886th/76852171.pdf","76852171")</f>
        <v>76852171</v>
      </c>
      <c r="F970" s="7" t="s">
        <v>2636</v>
      </c>
      <c r="G970" s="7" t="s">
        <v>2637</v>
      </c>
      <c r="H970" s="7" t="s">
        <v>2638</v>
      </c>
      <c r="I970" s="9">
        <v>45341</v>
      </c>
    </row>
    <row r="971" spans="1:9" x14ac:dyDescent="0.15">
      <c r="A971" s="6">
        <v>970</v>
      </c>
      <c r="B971" s="7" t="s">
        <v>9</v>
      </c>
      <c r="C971" s="8">
        <v>1886</v>
      </c>
      <c r="D971" s="9">
        <v>45418</v>
      </c>
      <c r="E971" s="13" t="str">
        <f>+HYPERLINK("http://trademark.i-assist.jp/data/china/image_1886th/76852241.pdf","76852241")</f>
        <v>76852241</v>
      </c>
      <c r="F971" s="7" t="s">
        <v>2639</v>
      </c>
      <c r="G971" s="7" t="s">
        <v>2585</v>
      </c>
      <c r="H971" s="7" t="s">
        <v>2640</v>
      </c>
      <c r="I971" s="9">
        <v>45341</v>
      </c>
    </row>
    <row r="972" spans="1:9" x14ac:dyDescent="0.15">
      <c r="A972" s="6">
        <v>971</v>
      </c>
      <c r="B972" s="7" t="s">
        <v>9</v>
      </c>
      <c r="C972" s="8">
        <v>1886</v>
      </c>
      <c r="D972" s="9">
        <v>45418</v>
      </c>
      <c r="E972" s="13" t="str">
        <f>+HYPERLINK("http://trademark.i-assist.jp/data/china/image_1886th/76852756.pdf","76852756")</f>
        <v>76852756</v>
      </c>
      <c r="F972" s="7" t="s">
        <v>2641</v>
      </c>
      <c r="G972" s="7" t="s">
        <v>2642</v>
      </c>
      <c r="H972" s="7" t="s">
        <v>2643</v>
      </c>
      <c r="I972" s="9">
        <v>45341</v>
      </c>
    </row>
    <row r="973" spans="1:9" ht="27" x14ac:dyDescent="0.15">
      <c r="A973" s="6">
        <v>972</v>
      </c>
      <c r="B973" s="7" t="s">
        <v>9</v>
      </c>
      <c r="C973" s="8">
        <v>1886</v>
      </c>
      <c r="D973" s="9">
        <v>45418</v>
      </c>
      <c r="E973" s="13" t="str">
        <f>+HYPERLINK("http://trademark.i-assist.jp/data/china/image_1886th/76853269.pdf","76853269")</f>
        <v>76853269</v>
      </c>
      <c r="F973" s="7" t="s">
        <v>2644</v>
      </c>
      <c r="G973" s="7" t="s">
        <v>2645</v>
      </c>
      <c r="H973" s="7" t="s">
        <v>2646</v>
      </c>
      <c r="I973" s="9">
        <v>45341</v>
      </c>
    </row>
    <row r="974" spans="1:9" x14ac:dyDescent="0.15">
      <c r="A974" s="6">
        <v>973</v>
      </c>
      <c r="B974" s="7" t="s">
        <v>9</v>
      </c>
      <c r="C974" s="8">
        <v>1886</v>
      </c>
      <c r="D974" s="9">
        <v>45418</v>
      </c>
      <c r="E974" s="13" t="str">
        <f>+HYPERLINK("http://trademark.i-assist.jp/data/china/image_1886th/76853279.pdf","76853279")</f>
        <v>76853279</v>
      </c>
      <c r="F974" s="7" t="s">
        <v>2647</v>
      </c>
      <c r="G974" s="7" t="s">
        <v>2648</v>
      </c>
      <c r="H974" s="7" t="s">
        <v>2649</v>
      </c>
      <c r="I974" s="9">
        <v>45341</v>
      </c>
    </row>
    <row r="975" spans="1:9" x14ac:dyDescent="0.15">
      <c r="A975" s="6">
        <v>974</v>
      </c>
      <c r="B975" s="7" t="s">
        <v>9</v>
      </c>
      <c r="C975" s="8">
        <v>1886</v>
      </c>
      <c r="D975" s="9">
        <v>45418</v>
      </c>
      <c r="E975" s="13" t="str">
        <f>+HYPERLINK("http://trademark.i-assist.jp/data/china/image_1886th/76853650.pdf","76853650")</f>
        <v>76853650</v>
      </c>
      <c r="F975" s="7" t="s">
        <v>2650</v>
      </c>
      <c r="G975" s="7" t="s">
        <v>2651</v>
      </c>
      <c r="H975" s="7" t="s">
        <v>2652</v>
      </c>
      <c r="I975" s="9">
        <v>45341</v>
      </c>
    </row>
    <row r="976" spans="1:9" ht="27" x14ac:dyDescent="0.15">
      <c r="A976" s="6">
        <v>975</v>
      </c>
      <c r="B976" s="7" t="s">
        <v>9</v>
      </c>
      <c r="C976" s="8">
        <v>1886</v>
      </c>
      <c r="D976" s="9">
        <v>45418</v>
      </c>
      <c r="E976" s="13" t="str">
        <f>+HYPERLINK("http://trademark.i-assist.jp/data/china/image_1886th/76853759.pdf","76853759")</f>
        <v>76853759</v>
      </c>
      <c r="F976" s="7" t="s">
        <v>2653</v>
      </c>
      <c r="G976" s="7" t="s">
        <v>2654</v>
      </c>
      <c r="H976" s="7" t="s">
        <v>2655</v>
      </c>
      <c r="I976" s="9">
        <v>45341</v>
      </c>
    </row>
    <row r="977" spans="1:9" ht="27" x14ac:dyDescent="0.15">
      <c r="A977" s="6">
        <v>976</v>
      </c>
      <c r="B977" s="7" t="s">
        <v>9</v>
      </c>
      <c r="C977" s="8">
        <v>1886</v>
      </c>
      <c r="D977" s="9">
        <v>45418</v>
      </c>
      <c r="E977" s="13" t="str">
        <f>+HYPERLINK("http://trademark.i-assist.jp/data/china/image_1886th/76853802.pdf","76853802")</f>
        <v>76853802</v>
      </c>
      <c r="F977" s="7" t="s">
        <v>2656</v>
      </c>
      <c r="G977" s="7" t="s">
        <v>2611</v>
      </c>
      <c r="H977" s="7" t="s">
        <v>2657</v>
      </c>
      <c r="I977" s="9">
        <v>45341</v>
      </c>
    </row>
    <row r="978" spans="1:9" x14ac:dyDescent="0.15">
      <c r="A978" s="6">
        <v>977</v>
      </c>
      <c r="B978" s="7" t="s">
        <v>9</v>
      </c>
      <c r="C978" s="8">
        <v>1886</v>
      </c>
      <c r="D978" s="9">
        <v>45418</v>
      </c>
      <c r="E978" s="13" t="str">
        <f>+HYPERLINK("http://trademark.i-assist.jp/data/china/image_1886th/76854249.pdf","76854249")</f>
        <v>76854249</v>
      </c>
      <c r="F978" s="7" t="s">
        <v>2658</v>
      </c>
      <c r="G978" s="7" t="s">
        <v>2659</v>
      </c>
      <c r="H978" s="7" t="s">
        <v>2660</v>
      </c>
      <c r="I978" s="9">
        <v>45341</v>
      </c>
    </row>
    <row r="979" spans="1:9" x14ac:dyDescent="0.15">
      <c r="A979" s="6">
        <v>978</v>
      </c>
      <c r="B979" s="7" t="s">
        <v>9</v>
      </c>
      <c r="C979" s="8">
        <v>1886</v>
      </c>
      <c r="D979" s="9">
        <v>45418</v>
      </c>
      <c r="E979" s="13" t="str">
        <f>+HYPERLINK("http://trademark.i-assist.jp/data/china/image_1886th/76854302.pdf","76854302")</f>
        <v>76854302</v>
      </c>
      <c r="F979" s="7" t="s">
        <v>2661</v>
      </c>
      <c r="G979" s="7" t="s">
        <v>2662</v>
      </c>
      <c r="H979" s="7" t="s">
        <v>2663</v>
      </c>
      <c r="I979" s="9">
        <v>45341</v>
      </c>
    </row>
    <row r="980" spans="1:9" x14ac:dyDescent="0.15">
      <c r="A980" s="6">
        <v>979</v>
      </c>
      <c r="B980" s="7" t="s">
        <v>9</v>
      </c>
      <c r="C980" s="8">
        <v>1886</v>
      </c>
      <c r="D980" s="9">
        <v>45418</v>
      </c>
      <c r="E980" s="13" t="str">
        <f>+HYPERLINK("http://trademark.i-assist.jp/data/china/image_1886th/76855289.pdf","76855289")</f>
        <v>76855289</v>
      </c>
      <c r="F980" s="7" t="s">
        <v>2664</v>
      </c>
      <c r="G980" s="7" t="s">
        <v>2665</v>
      </c>
      <c r="H980" s="7" t="s">
        <v>2666</v>
      </c>
      <c r="I980" s="9">
        <v>45341</v>
      </c>
    </row>
    <row r="981" spans="1:9" x14ac:dyDescent="0.15">
      <c r="A981" s="6">
        <v>980</v>
      </c>
      <c r="B981" s="7" t="s">
        <v>9</v>
      </c>
      <c r="C981" s="8">
        <v>1886</v>
      </c>
      <c r="D981" s="9">
        <v>45418</v>
      </c>
      <c r="E981" s="13" t="str">
        <f>+HYPERLINK("http://trademark.i-assist.jp/data/china/image_1886th/76855385.pdf","76855385")</f>
        <v>76855385</v>
      </c>
      <c r="F981" s="7" t="s">
        <v>2667</v>
      </c>
      <c r="G981" s="7" t="s">
        <v>2585</v>
      </c>
      <c r="H981" s="7" t="s">
        <v>2668</v>
      </c>
      <c r="I981" s="9">
        <v>45341</v>
      </c>
    </row>
    <row r="982" spans="1:9" x14ac:dyDescent="0.15">
      <c r="A982" s="6">
        <v>981</v>
      </c>
      <c r="B982" s="7" t="s">
        <v>9</v>
      </c>
      <c r="C982" s="8">
        <v>1886</v>
      </c>
      <c r="D982" s="9">
        <v>45418</v>
      </c>
      <c r="E982" s="13" t="str">
        <f>+HYPERLINK("http://trademark.i-assist.jp/data/china/image_1886th/76855442.pdf","76855442")</f>
        <v>76855442</v>
      </c>
      <c r="F982" s="7" t="s">
        <v>2669</v>
      </c>
      <c r="G982" s="7" t="s">
        <v>2670</v>
      </c>
      <c r="H982" s="7" t="s">
        <v>2671</v>
      </c>
      <c r="I982" s="9">
        <v>45341</v>
      </c>
    </row>
    <row r="983" spans="1:9" ht="27" x14ac:dyDescent="0.15">
      <c r="A983" s="6">
        <v>982</v>
      </c>
      <c r="B983" s="7" t="s">
        <v>9</v>
      </c>
      <c r="C983" s="8">
        <v>1886</v>
      </c>
      <c r="D983" s="9">
        <v>45418</v>
      </c>
      <c r="E983" s="13" t="str">
        <f>+HYPERLINK("http://trademark.i-assist.jp/data/china/image_1886th/76855588.pdf","76855588")</f>
        <v>76855588</v>
      </c>
      <c r="F983" s="7" t="s">
        <v>2672</v>
      </c>
      <c r="G983" s="7" t="s">
        <v>2673</v>
      </c>
      <c r="H983" s="7" t="s">
        <v>2674</v>
      </c>
      <c r="I983" s="9">
        <v>45341</v>
      </c>
    </row>
    <row r="984" spans="1:9" ht="27" x14ac:dyDescent="0.15">
      <c r="A984" s="6">
        <v>983</v>
      </c>
      <c r="B984" s="7" t="s">
        <v>9</v>
      </c>
      <c r="C984" s="8">
        <v>1886</v>
      </c>
      <c r="D984" s="9">
        <v>45418</v>
      </c>
      <c r="E984" s="13" t="str">
        <f>+HYPERLINK("http://trademark.i-assist.jp/data/china/image_1886th/76855619.pdf","76855619")</f>
        <v>76855619</v>
      </c>
      <c r="F984" s="7" t="s">
        <v>2675</v>
      </c>
      <c r="G984" s="7" t="s">
        <v>2676</v>
      </c>
      <c r="H984" s="7" t="s">
        <v>2677</v>
      </c>
      <c r="I984" s="9">
        <v>45341</v>
      </c>
    </row>
    <row r="985" spans="1:9" x14ac:dyDescent="0.15">
      <c r="A985" s="6">
        <v>984</v>
      </c>
      <c r="B985" s="7" t="s">
        <v>9</v>
      </c>
      <c r="C985" s="8">
        <v>1886</v>
      </c>
      <c r="D985" s="9">
        <v>45418</v>
      </c>
      <c r="E985" s="13" t="str">
        <f>+HYPERLINK("http://trademark.i-assist.jp/data/china/image_1886th/76855710.pdf","76855710")</f>
        <v>76855710</v>
      </c>
      <c r="F985" s="7" t="s">
        <v>2678</v>
      </c>
      <c r="G985" s="7" t="s">
        <v>2585</v>
      </c>
      <c r="H985" s="7" t="s">
        <v>2679</v>
      </c>
      <c r="I985" s="9">
        <v>45341</v>
      </c>
    </row>
    <row r="986" spans="1:9" x14ac:dyDescent="0.15">
      <c r="A986" s="6">
        <v>985</v>
      </c>
      <c r="B986" s="7" t="s">
        <v>9</v>
      </c>
      <c r="C986" s="8">
        <v>1886</v>
      </c>
      <c r="D986" s="9">
        <v>45418</v>
      </c>
      <c r="E986" s="13" t="str">
        <f>+HYPERLINK("http://trademark.i-assist.jp/data/china/image_1886th/76855797.pdf","76855797")</f>
        <v>76855797</v>
      </c>
      <c r="F986" s="7" t="s">
        <v>2680</v>
      </c>
      <c r="G986" s="7" t="s">
        <v>2681</v>
      </c>
      <c r="H986" s="7" t="s">
        <v>2682</v>
      </c>
      <c r="I986" s="9">
        <v>45341</v>
      </c>
    </row>
    <row r="987" spans="1:9" x14ac:dyDescent="0.15">
      <c r="A987" s="6">
        <v>986</v>
      </c>
      <c r="B987" s="7" t="s">
        <v>9</v>
      </c>
      <c r="C987" s="8">
        <v>1886</v>
      </c>
      <c r="D987" s="9">
        <v>45418</v>
      </c>
      <c r="E987" s="13" t="str">
        <f>+HYPERLINK("http://trademark.i-assist.jp/data/china/image_1886th/76856247.pdf","76856247")</f>
        <v>76856247</v>
      </c>
      <c r="F987" s="7" t="s">
        <v>2683</v>
      </c>
      <c r="G987" s="7" t="s">
        <v>2684</v>
      </c>
      <c r="H987" s="7" t="s">
        <v>2685</v>
      </c>
      <c r="I987" s="9">
        <v>45341</v>
      </c>
    </row>
    <row r="988" spans="1:9" ht="27" x14ac:dyDescent="0.15">
      <c r="A988" s="6">
        <v>987</v>
      </c>
      <c r="B988" s="7" t="s">
        <v>9</v>
      </c>
      <c r="C988" s="8">
        <v>1886</v>
      </c>
      <c r="D988" s="9">
        <v>45418</v>
      </c>
      <c r="E988" s="13" t="str">
        <f>+HYPERLINK("http://trademark.i-assist.jp/data/china/image_1886th/76856511.pdf","76856511")</f>
        <v>76856511</v>
      </c>
      <c r="F988" s="7" t="s">
        <v>2686</v>
      </c>
      <c r="G988" s="7" t="s">
        <v>2611</v>
      </c>
      <c r="H988" s="7" t="s">
        <v>2687</v>
      </c>
      <c r="I988" s="9">
        <v>45341</v>
      </c>
    </row>
    <row r="989" spans="1:9" ht="27" x14ac:dyDescent="0.15">
      <c r="A989" s="6">
        <v>988</v>
      </c>
      <c r="B989" s="7" t="s">
        <v>9</v>
      </c>
      <c r="C989" s="8">
        <v>1886</v>
      </c>
      <c r="D989" s="9">
        <v>45418</v>
      </c>
      <c r="E989" s="13" t="str">
        <f>+HYPERLINK("http://trademark.i-assist.jp/data/china/image_1886th/76856807.pdf","76856807")</f>
        <v>76856807</v>
      </c>
      <c r="F989" s="7" t="s">
        <v>2688</v>
      </c>
      <c r="G989" s="7" t="s">
        <v>2689</v>
      </c>
      <c r="H989" s="7" t="s">
        <v>2690</v>
      </c>
      <c r="I989" s="9">
        <v>45341</v>
      </c>
    </row>
    <row r="990" spans="1:9" x14ac:dyDescent="0.15">
      <c r="A990" s="6">
        <v>989</v>
      </c>
      <c r="B990" s="7" t="s">
        <v>9</v>
      </c>
      <c r="C990" s="8">
        <v>1886</v>
      </c>
      <c r="D990" s="9">
        <v>45418</v>
      </c>
      <c r="E990" s="13" t="str">
        <f>+HYPERLINK("http://trademark.i-assist.jp/data/china/image_1886th/76857150.pdf","76857150")</f>
        <v>76857150</v>
      </c>
      <c r="F990" s="7" t="s">
        <v>2691</v>
      </c>
      <c r="G990" s="7" t="s">
        <v>2692</v>
      </c>
      <c r="H990" s="7" t="s">
        <v>2693</v>
      </c>
      <c r="I990" s="9">
        <v>45341</v>
      </c>
    </row>
    <row r="991" spans="1:9" x14ac:dyDescent="0.15">
      <c r="A991" s="6">
        <v>990</v>
      </c>
      <c r="B991" s="7" t="s">
        <v>9</v>
      </c>
      <c r="C991" s="8">
        <v>1886</v>
      </c>
      <c r="D991" s="9">
        <v>45418</v>
      </c>
      <c r="E991" s="13" t="str">
        <f>+HYPERLINK("http://trademark.i-assist.jp/data/china/image_1886th/76857202.pdf","76857202")</f>
        <v>76857202</v>
      </c>
      <c r="F991" s="7" t="s">
        <v>2694</v>
      </c>
      <c r="G991" s="7" t="s">
        <v>2695</v>
      </c>
      <c r="H991" s="7" t="s">
        <v>2696</v>
      </c>
      <c r="I991" s="9">
        <v>45341</v>
      </c>
    </row>
    <row r="992" spans="1:9" x14ac:dyDescent="0.15">
      <c r="A992" s="6">
        <v>991</v>
      </c>
      <c r="B992" s="7" t="s">
        <v>9</v>
      </c>
      <c r="C992" s="8">
        <v>1886</v>
      </c>
      <c r="D992" s="9">
        <v>45418</v>
      </c>
      <c r="E992" s="13" t="str">
        <f>+HYPERLINK("http://trademark.i-assist.jp/data/china/image_1886th/76857510.pdf","76857510")</f>
        <v>76857510</v>
      </c>
      <c r="F992" s="7" t="s">
        <v>2697</v>
      </c>
      <c r="G992" s="7" t="s">
        <v>2698</v>
      </c>
      <c r="H992" s="7" t="s">
        <v>2699</v>
      </c>
      <c r="I992" s="9">
        <v>45341</v>
      </c>
    </row>
    <row r="993" spans="1:9" x14ac:dyDescent="0.15">
      <c r="A993" s="6">
        <v>992</v>
      </c>
      <c r="B993" s="7" t="s">
        <v>9</v>
      </c>
      <c r="C993" s="8">
        <v>1886</v>
      </c>
      <c r="D993" s="9">
        <v>45418</v>
      </c>
      <c r="E993" s="13" t="str">
        <f>+HYPERLINK("http://trademark.i-assist.jp/data/china/image_1886th/76857548.pdf","76857548")</f>
        <v>76857548</v>
      </c>
      <c r="F993" s="7" t="s">
        <v>2700</v>
      </c>
      <c r="G993" s="7" t="s">
        <v>2701</v>
      </c>
      <c r="H993" s="7" t="s">
        <v>2702</v>
      </c>
      <c r="I993" s="9">
        <v>45341</v>
      </c>
    </row>
    <row r="994" spans="1:9" x14ac:dyDescent="0.15">
      <c r="A994" s="6">
        <v>993</v>
      </c>
      <c r="B994" s="7" t="s">
        <v>9</v>
      </c>
      <c r="C994" s="8">
        <v>1886</v>
      </c>
      <c r="D994" s="9">
        <v>45418</v>
      </c>
      <c r="E994" s="13" t="str">
        <f>+HYPERLINK("http://trademark.i-assist.jp/data/china/image_1886th/76857779.pdf","76857779")</f>
        <v>76857779</v>
      </c>
      <c r="F994" s="7" t="s">
        <v>2703</v>
      </c>
      <c r="G994" s="7" t="s">
        <v>2704</v>
      </c>
      <c r="H994" s="7" t="s">
        <v>2705</v>
      </c>
      <c r="I994" s="9">
        <v>45341</v>
      </c>
    </row>
    <row r="995" spans="1:9" x14ac:dyDescent="0.15">
      <c r="A995" s="6">
        <v>994</v>
      </c>
      <c r="B995" s="7" t="s">
        <v>9</v>
      </c>
      <c r="C995" s="8">
        <v>1886</v>
      </c>
      <c r="D995" s="9">
        <v>45418</v>
      </c>
      <c r="E995" s="13" t="str">
        <f>+HYPERLINK("http://trademark.i-assist.jp/data/china/image_1886th/76858671.pdf","76858671")</f>
        <v>76858671</v>
      </c>
      <c r="F995" s="7" t="s">
        <v>2706</v>
      </c>
      <c r="G995" s="7" t="s">
        <v>2707</v>
      </c>
      <c r="H995" s="7" t="s">
        <v>2708</v>
      </c>
      <c r="I995" s="9">
        <v>45341</v>
      </c>
    </row>
    <row r="996" spans="1:9" x14ac:dyDescent="0.15">
      <c r="A996" s="6">
        <v>995</v>
      </c>
      <c r="B996" s="7" t="s">
        <v>9</v>
      </c>
      <c r="C996" s="8">
        <v>1886</v>
      </c>
      <c r="D996" s="9">
        <v>45418</v>
      </c>
      <c r="E996" s="13" t="str">
        <f>+HYPERLINK("http://trademark.i-assist.jp/data/china/image_1886th/76858694.pdf","76858694")</f>
        <v>76858694</v>
      </c>
      <c r="F996" s="7" t="s">
        <v>2709</v>
      </c>
      <c r="G996" s="7" t="s">
        <v>2710</v>
      </c>
      <c r="H996" s="7" t="s">
        <v>2711</v>
      </c>
      <c r="I996" s="9">
        <v>45341</v>
      </c>
    </row>
    <row r="997" spans="1:9" x14ac:dyDescent="0.15">
      <c r="A997" s="6">
        <v>996</v>
      </c>
      <c r="B997" s="7" t="s">
        <v>9</v>
      </c>
      <c r="C997" s="8">
        <v>1886</v>
      </c>
      <c r="D997" s="9">
        <v>45418</v>
      </c>
      <c r="E997" s="13" t="str">
        <f>+HYPERLINK("http://trademark.i-assist.jp/data/china/image_1886th/76858752.pdf","76858752")</f>
        <v>76858752</v>
      </c>
      <c r="F997" s="7" t="s">
        <v>2712</v>
      </c>
      <c r="G997" s="7" t="s">
        <v>2713</v>
      </c>
      <c r="H997" s="7" t="s">
        <v>2714</v>
      </c>
      <c r="I997" s="9">
        <v>45341</v>
      </c>
    </row>
    <row r="998" spans="1:9" x14ac:dyDescent="0.15">
      <c r="A998" s="6">
        <v>997</v>
      </c>
      <c r="B998" s="7" t="s">
        <v>9</v>
      </c>
      <c r="C998" s="8">
        <v>1886</v>
      </c>
      <c r="D998" s="9">
        <v>45418</v>
      </c>
      <c r="E998" s="13" t="str">
        <f>+HYPERLINK("http://trademark.i-assist.jp/data/china/image_1886th/76858788.pdf","76858788")</f>
        <v>76858788</v>
      </c>
      <c r="F998" s="7" t="s">
        <v>2715</v>
      </c>
      <c r="G998" s="7" t="s">
        <v>2716</v>
      </c>
      <c r="H998" s="7" t="s">
        <v>2717</v>
      </c>
      <c r="I998" s="9">
        <v>45341</v>
      </c>
    </row>
    <row r="999" spans="1:9" ht="27" x14ac:dyDescent="0.15">
      <c r="A999" s="6">
        <v>998</v>
      </c>
      <c r="B999" s="7" t="s">
        <v>9</v>
      </c>
      <c r="C999" s="8">
        <v>1886</v>
      </c>
      <c r="D999" s="9">
        <v>45418</v>
      </c>
      <c r="E999" s="13" t="str">
        <f>+HYPERLINK("http://trademark.i-assist.jp/data/china/image_1886th/76858850.pdf","76858850")</f>
        <v>76858850</v>
      </c>
      <c r="F999" s="7" t="s">
        <v>2718</v>
      </c>
      <c r="G999" s="7" t="s">
        <v>2626</v>
      </c>
      <c r="H999" s="7" t="s">
        <v>2719</v>
      </c>
      <c r="I999" s="9">
        <v>45341</v>
      </c>
    </row>
    <row r="1000" spans="1:9" ht="27" x14ac:dyDescent="0.15">
      <c r="A1000" s="6">
        <v>999</v>
      </c>
      <c r="B1000" s="7" t="s">
        <v>9</v>
      </c>
      <c r="C1000" s="8">
        <v>1886</v>
      </c>
      <c r="D1000" s="9">
        <v>45418</v>
      </c>
      <c r="E1000" s="13" t="str">
        <f>+HYPERLINK("http://trademark.i-assist.jp/data/china/image_1886th/76859006.pdf","76859006")</f>
        <v>76859006</v>
      </c>
      <c r="F1000" s="7" t="s">
        <v>2720</v>
      </c>
      <c r="G1000" s="7" t="s">
        <v>2721</v>
      </c>
      <c r="H1000" s="7" t="s">
        <v>2722</v>
      </c>
      <c r="I1000" s="9">
        <v>45341</v>
      </c>
    </row>
    <row r="1001" spans="1:9" x14ac:dyDescent="0.15">
      <c r="A1001" s="6">
        <v>1000</v>
      </c>
      <c r="B1001" s="7" t="s">
        <v>9</v>
      </c>
      <c r="C1001" s="8">
        <v>1886</v>
      </c>
      <c r="D1001" s="9">
        <v>45418</v>
      </c>
      <c r="E1001" s="13" t="str">
        <f>+HYPERLINK("http://trademark.i-assist.jp/data/china/image_1886th/76859057.pdf","76859057")</f>
        <v>76859057</v>
      </c>
      <c r="F1001" s="7" t="s">
        <v>2723</v>
      </c>
      <c r="G1001" s="7" t="s">
        <v>2724</v>
      </c>
      <c r="H1001" s="7" t="s">
        <v>2725</v>
      </c>
      <c r="I1001" s="9">
        <v>45341</v>
      </c>
    </row>
    <row r="1002" spans="1:9" ht="27" x14ac:dyDescent="0.15">
      <c r="A1002" s="6">
        <v>1001</v>
      </c>
      <c r="B1002" s="7" t="s">
        <v>9</v>
      </c>
      <c r="C1002" s="8">
        <v>1886</v>
      </c>
      <c r="D1002" s="9">
        <v>45418</v>
      </c>
      <c r="E1002" s="13" t="str">
        <f>+HYPERLINK("http://trademark.i-assist.jp/data/china/image_1886th/76859281.pdf","76859281")</f>
        <v>76859281</v>
      </c>
      <c r="F1002" s="7" t="s">
        <v>2726</v>
      </c>
      <c r="G1002" s="7" t="s">
        <v>2727</v>
      </c>
      <c r="H1002" s="7" t="s">
        <v>2728</v>
      </c>
      <c r="I1002" s="9">
        <v>45341</v>
      </c>
    </row>
    <row r="1003" spans="1:9" x14ac:dyDescent="0.15">
      <c r="A1003" s="6">
        <v>1002</v>
      </c>
      <c r="B1003" s="7" t="s">
        <v>9</v>
      </c>
      <c r="C1003" s="8">
        <v>1886</v>
      </c>
      <c r="D1003" s="9">
        <v>45418</v>
      </c>
      <c r="E1003" s="13" t="str">
        <f>+HYPERLINK("http://trademark.i-assist.jp/data/china/image_1886th/76859437.pdf","76859437")</f>
        <v>76859437</v>
      </c>
      <c r="F1003" s="7" t="s">
        <v>2729</v>
      </c>
      <c r="G1003" s="7" t="s">
        <v>2730</v>
      </c>
      <c r="H1003" s="7" t="s">
        <v>2731</v>
      </c>
      <c r="I1003" s="9">
        <v>45341</v>
      </c>
    </row>
    <row r="1004" spans="1:9" x14ac:dyDescent="0.15">
      <c r="A1004" s="6">
        <v>1003</v>
      </c>
      <c r="B1004" s="7" t="s">
        <v>9</v>
      </c>
      <c r="C1004" s="8">
        <v>1886</v>
      </c>
      <c r="D1004" s="9">
        <v>45418</v>
      </c>
      <c r="E1004" s="13" t="str">
        <f>+HYPERLINK("http://trademark.i-assist.jp/data/china/image_1886th/76860578.pdf","76860578")</f>
        <v>76860578</v>
      </c>
      <c r="F1004" s="7" t="s">
        <v>2732</v>
      </c>
      <c r="G1004" s="7" t="s">
        <v>2733</v>
      </c>
      <c r="H1004" s="7" t="s">
        <v>2734</v>
      </c>
      <c r="I1004" s="9">
        <v>45341</v>
      </c>
    </row>
    <row r="1005" spans="1:9" ht="27" x14ac:dyDescent="0.15">
      <c r="A1005" s="6">
        <v>1004</v>
      </c>
      <c r="B1005" s="7" t="s">
        <v>9</v>
      </c>
      <c r="C1005" s="8">
        <v>1886</v>
      </c>
      <c r="D1005" s="9">
        <v>45418</v>
      </c>
      <c r="E1005" s="13" t="str">
        <f>+HYPERLINK("http://trademark.i-assist.jp/data/china/image_1886th/76860873.pdf","76860873")</f>
        <v>76860873</v>
      </c>
      <c r="F1005" s="7" t="s">
        <v>2735</v>
      </c>
      <c r="G1005" s="7" t="s">
        <v>2736</v>
      </c>
      <c r="H1005" s="7" t="s">
        <v>2737</v>
      </c>
      <c r="I1005" s="9">
        <v>45341</v>
      </c>
    </row>
    <row r="1006" spans="1:9" x14ac:dyDescent="0.15">
      <c r="A1006" s="6">
        <v>1005</v>
      </c>
      <c r="B1006" s="7" t="s">
        <v>9</v>
      </c>
      <c r="C1006" s="8">
        <v>1886</v>
      </c>
      <c r="D1006" s="9">
        <v>45418</v>
      </c>
      <c r="E1006" s="13" t="str">
        <f>+HYPERLINK("http://trademark.i-assist.jp/data/china/image_1886th/76861193.pdf","76861193")</f>
        <v>76861193</v>
      </c>
      <c r="F1006" s="7" t="s">
        <v>2738</v>
      </c>
      <c r="G1006" s="7" t="s">
        <v>2739</v>
      </c>
      <c r="H1006" s="7" t="s">
        <v>2740</v>
      </c>
      <c r="I1006" s="9">
        <v>45341</v>
      </c>
    </row>
    <row r="1007" spans="1:9" x14ac:dyDescent="0.15">
      <c r="A1007" s="6">
        <v>1006</v>
      </c>
      <c r="B1007" s="7" t="s">
        <v>9</v>
      </c>
      <c r="C1007" s="8">
        <v>1886</v>
      </c>
      <c r="D1007" s="9">
        <v>45418</v>
      </c>
      <c r="E1007" s="13" t="str">
        <f>+HYPERLINK("http://trademark.i-assist.jp/data/china/image_1886th/76861455.pdf","76861455")</f>
        <v>76861455</v>
      </c>
      <c r="F1007" s="7" t="s">
        <v>2741</v>
      </c>
      <c r="G1007" s="7" t="s">
        <v>2585</v>
      </c>
      <c r="H1007" s="7" t="s">
        <v>2742</v>
      </c>
      <c r="I1007" s="9">
        <v>45341</v>
      </c>
    </row>
    <row r="1008" spans="1:9" x14ac:dyDescent="0.15">
      <c r="A1008" s="6">
        <v>1007</v>
      </c>
      <c r="B1008" s="7" t="s">
        <v>9</v>
      </c>
      <c r="C1008" s="8">
        <v>1886</v>
      </c>
      <c r="D1008" s="9">
        <v>45418</v>
      </c>
      <c r="E1008" s="13" t="str">
        <f>+HYPERLINK("http://trademark.i-assist.jp/data/china/image_1886th/76861653.pdf","76861653")</f>
        <v>76861653</v>
      </c>
      <c r="F1008" s="7" t="s">
        <v>2743</v>
      </c>
      <c r="G1008" s="7" t="s">
        <v>2744</v>
      </c>
      <c r="H1008" s="7" t="s">
        <v>2745</v>
      </c>
      <c r="I1008" s="9">
        <v>45341</v>
      </c>
    </row>
    <row r="1009" spans="1:9" ht="27" x14ac:dyDescent="0.15">
      <c r="A1009" s="6">
        <v>1008</v>
      </c>
      <c r="B1009" s="7" t="s">
        <v>9</v>
      </c>
      <c r="C1009" s="8">
        <v>1886</v>
      </c>
      <c r="D1009" s="9">
        <v>45418</v>
      </c>
      <c r="E1009" s="13" t="str">
        <f>+HYPERLINK("http://trademark.i-assist.jp/data/china/image_1886th/76861932.pdf","76861932")</f>
        <v>76861932</v>
      </c>
      <c r="F1009" s="7" t="s">
        <v>2746</v>
      </c>
      <c r="G1009" s="7" t="s">
        <v>2747</v>
      </c>
      <c r="H1009" s="7" t="s">
        <v>2748</v>
      </c>
      <c r="I1009" s="9">
        <v>45341</v>
      </c>
    </row>
    <row r="1010" spans="1:9" x14ac:dyDescent="0.15">
      <c r="A1010" s="6">
        <v>1009</v>
      </c>
      <c r="B1010" s="7" t="s">
        <v>9</v>
      </c>
      <c r="C1010" s="8">
        <v>1886</v>
      </c>
      <c r="D1010" s="9">
        <v>45418</v>
      </c>
      <c r="E1010" s="13" t="str">
        <f>+HYPERLINK("http://trademark.i-assist.jp/data/china/image_1886th/76862149.pdf","76862149")</f>
        <v>76862149</v>
      </c>
      <c r="F1010" s="7" t="s">
        <v>2749</v>
      </c>
      <c r="G1010" s="7" t="s">
        <v>2750</v>
      </c>
      <c r="H1010" s="7" t="s">
        <v>2751</v>
      </c>
      <c r="I1010" s="9">
        <v>45341</v>
      </c>
    </row>
    <row r="1011" spans="1:9" ht="27" x14ac:dyDescent="0.15">
      <c r="A1011" s="6">
        <v>1010</v>
      </c>
      <c r="B1011" s="7" t="s">
        <v>9</v>
      </c>
      <c r="C1011" s="8">
        <v>1886</v>
      </c>
      <c r="D1011" s="9">
        <v>45418</v>
      </c>
      <c r="E1011" s="13" t="str">
        <f>+HYPERLINK("http://trademark.i-assist.jp/data/china/image_1886th/76862194.pdf","76862194")</f>
        <v>76862194</v>
      </c>
      <c r="F1011" s="7" t="s">
        <v>2752</v>
      </c>
      <c r="G1011" s="7" t="s">
        <v>2626</v>
      </c>
      <c r="H1011" s="7" t="s">
        <v>2753</v>
      </c>
      <c r="I1011" s="9">
        <v>45341</v>
      </c>
    </row>
    <row r="1012" spans="1:9" x14ac:dyDescent="0.15">
      <c r="A1012" s="6">
        <v>1011</v>
      </c>
      <c r="B1012" s="7" t="s">
        <v>9</v>
      </c>
      <c r="C1012" s="8">
        <v>1886</v>
      </c>
      <c r="D1012" s="9">
        <v>45418</v>
      </c>
      <c r="E1012" s="13" t="str">
        <f>+HYPERLINK("http://trademark.i-assist.jp/data/china/image_1886th/76862385.pdf","76862385")</f>
        <v>76862385</v>
      </c>
      <c r="F1012" s="7" t="s">
        <v>2754</v>
      </c>
      <c r="G1012" s="7" t="s">
        <v>2755</v>
      </c>
      <c r="H1012" s="7" t="s">
        <v>2756</v>
      </c>
      <c r="I1012" s="9">
        <v>45341</v>
      </c>
    </row>
    <row r="1013" spans="1:9" ht="27" x14ac:dyDescent="0.15">
      <c r="A1013" s="6">
        <v>1012</v>
      </c>
      <c r="B1013" s="7" t="s">
        <v>9</v>
      </c>
      <c r="C1013" s="8">
        <v>1886</v>
      </c>
      <c r="D1013" s="9">
        <v>45418</v>
      </c>
      <c r="E1013" s="13" t="str">
        <f>+HYPERLINK("http://trademark.i-assist.jp/data/china/image_1886th/76862738.pdf","76862738")</f>
        <v>76862738</v>
      </c>
      <c r="F1013" s="7" t="s">
        <v>2757</v>
      </c>
      <c r="G1013" s="7" t="s">
        <v>2758</v>
      </c>
      <c r="H1013" s="7" t="s">
        <v>2759</v>
      </c>
      <c r="I1013" s="9">
        <v>45341</v>
      </c>
    </row>
    <row r="1014" spans="1:9" x14ac:dyDescent="0.15">
      <c r="A1014" s="6">
        <v>1013</v>
      </c>
      <c r="B1014" s="7" t="s">
        <v>9</v>
      </c>
      <c r="C1014" s="8">
        <v>1886</v>
      </c>
      <c r="D1014" s="9">
        <v>45418</v>
      </c>
      <c r="E1014" s="13" t="str">
        <f>+HYPERLINK("http://trademark.i-assist.jp/data/china/image_1886th/76863122.pdf","76863122")</f>
        <v>76863122</v>
      </c>
      <c r="F1014" s="7" t="s">
        <v>2760</v>
      </c>
      <c r="G1014" s="7" t="s">
        <v>2761</v>
      </c>
      <c r="H1014" s="7" t="s">
        <v>2762</v>
      </c>
      <c r="I1014" s="9">
        <v>45341</v>
      </c>
    </row>
    <row r="1015" spans="1:9" x14ac:dyDescent="0.15">
      <c r="A1015" s="6">
        <v>1014</v>
      </c>
      <c r="B1015" s="7" t="s">
        <v>9</v>
      </c>
      <c r="C1015" s="8">
        <v>1886</v>
      </c>
      <c r="D1015" s="9">
        <v>45418</v>
      </c>
      <c r="E1015" s="13" t="str">
        <f>+HYPERLINK("http://trademark.i-assist.jp/data/china/image_1886th/76863145.pdf","76863145")</f>
        <v>76863145</v>
      </c>
      <c r="F1015" s="7" t="s">
        <v>2763</v>
      </c>
      <c r="G1015" s="7" t="s">
        <v>2764</v>
      </c>
      <c r="H1015" s="7" t="s">
        <v>2765</v>
      </c>
      <c r="I1015" s="9">
        <v>45341</v>
      </c>
    </row>
    <row r="1016" spans="1:9" x14ac:dyDescent="0.15">
      <c r="A1016" s="6">
        <v>1015</v>
      </c>
      <c r="B1016" s="7" t="s">
        <v>9</v>
      </c>
      <c r="C1016" s="8">
        <v>1886</v>
      </c>
      <c r="D1016" s="9">
        <v>45418</v>
      </c>
      <c r="E1016" s="13" t="str">
        <f>+HYPERLINK("http://trademark.i-assist.jp/data/china/image_1886th/76863472.pdf","76863472")</f>
        <v>76863472</v>
      </c>
      <c r="F1016" s="7" t="s">
        <v>2766</v>
      </c>
      <c r="G1016" s="7" t="s">
        <v>2767</v>
      </c>
      <c r="H1016" s="7" t="s">
        <v>2768</v>
      </c>
      <c r="I1016" s="9">
        <v>45342</v>
      </c>
    </row>
    <row r="1017" spans="1:9" x14ac:dyDescent="0.15">
      <c r="A1017" s="6">
        <v>1016</v>
      </c>
      <c r="B1017" s="7" t="s">
        <v>9</v>
      </c>
      <c r="C1017" s="8">
        <v>1886</v>
      </c>
      <c r="D1017" s="9">
        <v>45418</v>
      </c>
      <c r="E1017" s="13" t="str">
        <f>+HYPERLINK("http://trademark.i-assist.jp/data/china/image_1886th/76863669.pdf","76863669")</f>
        <v>76863669</v>
      </c>
      <c r="F1017" s="7" t="s">
        <v>2769</v>
      </c>
      <c r="G1017" s="7" t="s">
        <v>2770</v>
      </c>
      <c r="H1017" s="7" t="s">
        <v>2771</v>
      </c>
      <c r="I1017" s="9">
        <v>45342</v>
      </c>
    </row>
    <row r="1018" spans="1:9" x14ac:dyDescent="0.15">
      <c r="A1018" s="6">
        <v>1017</v>
      </c>
      <c r="B1018" s="7" t="s">
        <v>9</v>
      </c>
      <c r="C1018" s="8">
        <v>1886</v>
      </c>
      <c r="D1018" s="9">
        <v>45418</v>
      </c>
      <c r="E1018" s="13" t="str">
        <f>+HYPERLINK("http://trademark.i-assist.jp/data/china/image_1886th/76863897.pdf","76863897")</f>
        <v>76863897</v>
      </c>
      <c r="F1018" s="7" t="s">
        <v>2772</v>
      </c>
      <c r="G1018" s="7" t="s">
        <v>2773</v>
      </c>
      <c r="H1018" s="7" t="s">
        <v>2774</v>
      </c>
      <c r="I1018" s="9">
        <v>45342</v>
      </c>
    </row>
    <row r="1019" spans="1:9" x14ac:dyDescent="0.15">
      <c r="A1019" s="6">
        <v>1018</v>
      </c>
      <c r="B1019" s="7" t="s">
        <v>9</v>
      </c>
      <c r="C1019" s="8">
        <v>1886</v>
      </c>
      <c r="D1019" s="9">
        <v>45418</v>
      </c>
      <c r="E1019" s="13" t="str">
        <f>+HYPERLINK("http://trademark.i-assist.jp/data/china/image_1886th/76863989.pdf","76863989")</f>
        <v>76863989</v>
      </c>
      <c r="F1019" s="7" t="s">
        <v>2775</v>
      </c>
      <c r="G1019" s="7" t="s">
        <v>2776</v>
      </c>
      <c r="H1019" s="7" t="s">
        <v>2777</v>
      </c>
      <c r="I1019" s="9">
        <v>45342</v>
      </c>
    </row>
    <row r="1020" spans="1:9" x14ac:dyDescent="0.15">
      <c r="A1020" s="6">
        <v>1019</v>
      </c>
      <c r="B1020" s="7" t="s">
        <v>9</v>
      </c>
      <c r="C1020" s="8">
        <v>1886</v>
      </c>
      <c r="D1020" s="9">
        <v>45418</v>
      </c>
      <c r="E1020" s="13" t="str">
        <f>+HYPERLINK("http://trademark.i-assist.jp/data/china/image_1886th/76864187.pdf","76864187")</f>
        <v>76864187</v>
      </c>
      <c r="F1020" s="7" t="s">
        <v>2778</v>
      </c>
      <c r="G1020" s="7" t="s">
        <v>2779</v>
      </c>
      <c r="H1020" s="7" t="s">
        <v>2780</v>
      </c>
      <c r="I1020" s="9">
        <v>45342</v>
      </c>
    </row>
    <row r="1021" spans="1:9" x14ac:dyDescent="0.15">
      <c r="A1021" s="6">
        <v>1020</v>
      </c>
      <c r="B1021" s="7" t="s">
        <v>9</v>
      </c>
      <c r="C1021" s="8">
        <v>1886</v>
      </c>
      <c r="D1021" s="9">
        <v>45418</v>
      </c>
      <c r="E1021" s="13" t="str">
        <f>+HYPERLINK("http://trademark.i-assist.jp/data/china/image_1886th/76864395.pdf","76864395")</f>
        <v>76864395</v>
      </c>
      <c r="F1021" s="7" t="s">
        <v>2781</v>
      </c>
      <c r="G1021" s="7" t="s">
        <v>2782</v>
      </c>
      <c r="H1021" s="7" t="s">
        <v>2783</v>
      </c>
      <c r="I1021" s="9">
        <v>45342</v>
      </c>
    </row>
    <row r="1022" spans="1:9" ht="27" x14ac:dyDescent="0.15">
      <c r="A1022" s="6">
        <v>1021</v>
      </c>
      <c r="B1022" s="7" t="s">
        <v>9</v>
      </c>
      <c r="C1022" s="8">
        <v>1886</v>
      </c>
      <c r="D1022" s="9">
        <v>45418</v>
      </c>
      <c r="E1022" s="13" t="str">
        <f>+HYPERLINK("http://trademark.i-assist.jp/data/china/image_1886th/76864457.pdf","76864457")</f>
        <v>76864457</v>
      </c>
      <c r="F1022" s="7" t="s">
        <v>2784</v>
      </c>
      <c r="G1022" s="7" t="s">
        <v>2785</v>
      </c>
      <c r="H1022" s="7" t="s">
        <v>2786</v>
      </c>
      <c r="I1022" s="9">
        <v>45342</v>
      </c>
    </row>
    <row r="1023" spans="1:9" x14ac:dyDescent="0.15">
      <c r="A1023" s="6">
        <v>1022</v>
      </c>
      <c r="B1023" s="7" t="s">
        <v>9</v>
      </c>
      <c r="C1023" s="8">
        <v>1886</v>
      </c>
      <c r="D1023" s="9">
        <v>45418</v>
      </c>
      <c r="E1023" s="13" t="str">
        <f>+HYPERLINK("http://trademark.i-assist.jp/data/china/image_1886th/76864537.pdf","76864537")</f>
        <v>76864537</v>
      </c>
      <c r="F1023" s="7" t="s">
        <v>2787</v>
      </c>
      <c r="G1023" s="7" t="s">
        <v>2788</v>
      </c>
      <c r="H1023" s="7" t="s">
        <v>2789</v>
      </c>
      <c r="I1023" s="9">
        <v>45342</v>
      </c>
    </row>
    <row r="1024" spans="1:9" x14ac:dyDescent="0.15">
      <c r="A1024" s="6">
        <v>1023</v>
      </c>
      <c r="B1024" s="7" t="s">
        <v>9</v>
      </c>
      <c r="C1024" s="8">
        <v>1886</v>
      </c>
      <c r="D1024" s="9">
        <v>45418</v>
      </c>
      <c r="E1024" s="13" t="str">
        <f>+HYPERLINK("http://trademark.i-assist.jp/data/china/image_1886th/76864761.pdf","76864761")</f>
        <v>76864761</v>
      </c>
      <c r="F1024" s="7" t="s">
        <v>2790</v>
      </c>
      <c r="G1024" s="7" t="s">
        <v>2791</v>
      </c>
      <c r="H1024" s="7" t="s">
        <v>2792</v>
      </c>
      <c r="I1024" s="9">
        <v>45342</v>
      </c>
    </row>
    <row r="1025" spans="1:9" x14ac:dyDescent="0.15">
      <c r="A1025" s="6">
        <v>1024</v>
      </c>
      <c r="B1025" s="7" t="s">
        <v>9</v>
      </c>
      <c r="C1025" s="8">
        <v>1886</v>
      </c>
      <c r="D1025" s="9">
        <v>45418</v>
      </c>
      <c r="E1025" s="13" t="str">
        <f>+HYPERLINK("http://trademark.i-assist.jp/data/china/image_1886th/76864803.pdf","76864803")</f>
        <v>76864803</v>
      </c>
      <c r="F1025" s="7" t="s">
        <v>2793</v>
      </c>
      <c r="G1025" s="7" t="s">
        <v>2791</v>
      </c>
      <c r="H1025" s="7" t="s">
        <v>2794</v>
      </c>
      <c r="I1025" s="9">
        <v>45342</v>
      </c>
    </row>
    <row r="1026" spans="1:9" x14ac:dyDescent="0.15">
      <c r="A1026" s="6">
        <v>1025</v>
      </c>
      <c r="B1026" s="7" t="s">
        <v>9</v>
      </c>
      <c r="C1026" s="8">
        <v>1886</v>
      </c>
      <c r="D1026" s="9">
        <v>45418</v>
      </c>
      <c r="E1026" s="13" t="str">
        <f>+HYPERLINK("http://trademark.i-assist.jp/data/china/image_1886th/76864844.pdf","76864844")</f>
        <v>76864844</v>
      </c>
      <c r="F1026" s="7" t="s">
        <v>2795</v>
      </c>
      <c r="G1026" s="7" t="s">
        <v>2796</v>
      </c>
      <c r="H1026" s="7" t="s">
        <v>2797</v>
      </c>
      <c r="I1026" s="9">
        <v>45342</v>
      </c>
    </row>
    <row r="1027" spans="1:9" x14ac:dyDescent="0.15">
      <c r="A1027" s="6">
        <v>1026</v>
      </c>
      <c r="B1027" s="7" t="s">
        <v>9</v>
      </c>
      <c r="C1027" s="8">
        <v>1886</v>
      </c>
      <c r="D1027" s="9">
        <v>45418</v>
      </c>
      <c r="E1027" s="13" t="str">
        <f>+HYPERLINK("http://trademark.i-assist.jp/data/china/image_1886th/76864973.pdf","76864973")</f>
        <v>76864973</v>
      </c>
      <c r="F1027" s="7" t="s">
        <v>2798</v>
      </c>
      <c r="G1027" s="7" t="s">
        <v>2799</v>
      </c>
      <c r="H1027" s="7" t="s">
        <v>2800</v>
      </c>
      <c r="I1027" s="9">
        <v>45342</v>
      </c>
    </row>
    <row r="1028" spans="1:9" x14ac:dyDescent="0.15">
      <c r="A1028" s="6">
        <v>1027</v>
      </c>
      <c r="B1028" s="7" t="s">
        <v>9</v>
      </c>
      <c r="C1028" s="8">
        <v>1886</v>
      </c>
      <c r="D1028" s="9">
        <v>45418</v>
      </c>
      <c r="E1028" s="13" t="str">
        <f>+HYPERLINK("http://trademark.i-assist.jp/data/china/image_1886th/76864986.pdf","76864986")</f>
        <v>76864986</v>
      </c>
      <c r="F1028" s="7" t="s">
        <v>2801</v>
      </c>
      <c r="G1028" s="7" t="s">
        <v>2802</v>
      </c>
      <c r="H1028" s="7" t="s">
        <v>2803</v>
      </c>
      <c r="I1028" s="9">
        <v>45342</v>
      </c>
    </row>
    <row r="1029" spans="1:9" x14ac:dyDescent="0.15">
      <c r="A1029" s="6">
        <v>1028</v>
      </c>
      <c r="B1029" s="7" t="s">
        <v>9</v>
      </c>
      <c r="C1029" s="8">
        <v>1886</v>
      </c>
      <c r="D1029" s="9">
        <v>45418</v>
      </c>
      <c r="E1029" s="13" t="str">
        <f>+HYPERLINK("http://trademark.i-assist.jp/data/china/image_1886th/76865060.pdf","76865060")</f>
        <v>76865060</v>
      </c>
      <c r="F1029" s="7" t="s">
        <v>2804</v>
      </c>
      <c r="G1029" s="7" t="s">
        <v>2805</v>
      </c>
      <c r="H1029" s="7" t="s">
        <v>2806</v>
      </c>
      <c r="I1029" s="9">
        <v>45342</v>
      </c>
    </row>
    <row r="1030" spans="1:9" x14ac:dyDescent="0.15">
      <c r="A1030" s="6">
        <v>1029</v>
      </c>
      <c r="B1030" s="7" t="s">
        <v>9</v>
      </c>
      <c r="C1030" s="8">
        <v>1886</v>
      </c>
      <c r="D1030" s="9">
        <v>45418</v>
      </c>
      <c r="E1030" s="13" t="str">
        <f>+HYPERLINK("http://trademark.i-assist.jp/data/china/image_1886th/76865297.pdf","76865297")</f>
        <v>76865297</v>
      </c>
      <c r="F1030" s="7" t="s">
        <v>2807</v>
      </c>
      <c r="G1030" s="7" t="s">
        <v>2808</v>
      </c>
      <c r="H1030" s="7" t="s">
        <v>2809</v>
      </c>
      <c r="I1030" s="9">
        <v>45342</v>
      </c>
    </row>
    <row r="1031" spans="1:9" x14ac:dyDescent="0.15">
      <c r="A1031" s="6">
        <v>1030</v>
      </c>
      <c r="B1031" s="7" t="s">
        <v>9</v>
      </c>
      <c r="C1031" s="8">
        <v>1886</v>
      </c>
      <c r="D1031" s="9">
        <v>45418</v>
      </c>
      <c r="E1031" s="13" t="str">
        <f>+HYPERLINK("http://trademark.i-assist.jp/data/china/image_1886th/76865488.pdf","76865488")</f>
        <v>76865488</v>
      </c>
      <c r="F1031" s="7" t="s">
        <v>2810</v>
      </c>
      <c r="G1031" s="7" t="s">
        <v>2791</v>
      </c>
      <c r="H1031" s="7" t="s">
        <v>2811</v>
      </c>
      <c r="I1031" s="9">
        <v>45342</v>
      </c>
    </row>
    <row r="1032" spans="1:9" x14ac:dyDescent="0.15">
      <c r="A1032" s="6">
        <v>1031</v>
      </c>
      <c r="B1032" s="7" t="s">
        <v>9</v>
      </c>
      <c r="C1032" s="8">
        <v>1886</v>
      </c>
      <c r="D1032" s="9">
        <v>45418</v>
      </c>
      <c r="E1032" s="13" t="str">
        <f>+HYPERLINK("http://trademark.i-assist.jp/data/china/image_1886th/76865530.pdf","76865530")</f>
        <v>76865530</v>
      </c>
      <c r="F1032" s="7" t="s">
        <v>2812</v>
      </c>
      <c r="G1032" s="7" t="s">
        <v>2813</v>
      </c>
      <c r="H1032" s="7" t="s">
        <v>2814</v>
      </c>
      <c r="I1032" s="9">
        <v>45342</v>
      </c>
    </row>
    <row r="1033" spans="1:9" x14ac:dyDescent="0.15">
      <c r="A1033" s="6">
        <v>1032</v>
      </c>
      <c r="B1033" s="7" t="s">
        <v>9</v>
      </c>
      <c r="C1033" s="8">
        <v>1886</v>
      </c>
      <c r="D1033" s="9">
        <v>45418</v>
      </c>
      <c r="E1033" s="13" t="str">
        <f>+HYPERLINK("http://trademark.i-assist.jp/data/china/image_1886th/76865550.pdf","76865550")</f>
        <v>76865550</v>
      </c>
      <c r="F1033" s="7" t="s">
        <v>2815</v>
      </c>
      <c r="G1033" s="7" t="s">
        <v>2816</v>
      </c>
      <c r="H1033" s="7" t="s">
        <v>2817</v>
      </c>
      <c r="I1033" s="9">
        <v>45342</v>
      </c>
    </row>
    <row r="1034" spans="1:9" x14ac:dyDescent="0.15">
      <c r="A1034" s="6">
        <v>1033</v>
      </c>
      <c r="B1034" s="7" t="s">
        <v>9</v>
      </c>
      <c r="C1034" s="8">
        <v>1886</v>
      </c>
      <c r="D1034" s="9">
        <v>45418</v>
      </c>
      <c r="E1034" s="13" t="str">
        <f>+HYPERLINK("http://trademark.i-assist.jp/data/china/image_1886th/76865696.pdf","76865696")</f>
        <v>76865696</v>
      </c>
      <c r="F1034" s="7" t="s">
        <v>2818</v>
      </c>
      <c r="G1034" s="7" t="s">
        <v>2779</v>
      </c>
      <c r="H1034" s="7" t="s">
        <v>2819</v>
      </c>
      <c r="I1034" s="9">
        <v>45342</v>
      </c>
    </row>
    <row r="1035" spans="1:9" x14ac:dyDescent="0.15">
      <c r="A1035" s="6">
        <v>1034</v>
      </c>
      <c r="B1035" s="7" t="s">
        <v>9</v>
      </c>
      <c r="C1035" s="8">
        <v>1886</v>
      </c>
      <c r="D1035" s="9">
        <v>45418</v>
      </c>
      <c r="E1035" s="13" t="str">
        <f>+HYPERLINK("http://trademark.i-assist.jp/data/china/image_1886th/76865699.pdf","76865699")</f>
        <v>76865699</v>
      </c>
      <c r="F1035" s="7" t="s">
        <v>2820</v>
      </c>
      <c r="G1035" s="7" t="s">
        <v>2779</v>
      </c>
      <c r="H1035" s="7" t="s">
        <v>2821</v>
      </c>
      <c r="I1035" s="9">
        <v>45342</v>
      </c>
    </row>
    <row r="1036" spans="1:9" x14ac:dyDescent="0.15">
      <c r="A1036" s="6">
        <v>1035</v>
      </c>
      <c r="B1036" s="7" t="s">
        <v>9</v>
      </c>
      <c r="C1036" s="8">
        <v>1886</v>
      </c>
      <c r="D1036" s="9">
        <v>45418</v>
      </c>
      <c r="E1036" s="13" t="str">
        <f>+HYPERLINK("http://trademark.i-assist.jp/data/china/image_1886th/76865860.pdf","76865860")</f>
        <v>76865860</v>
      </c>
      <c r="F1036" s="7" t="s">
        <v>2822</v>
      </c>
      <c r="G1036" s="7" t="s">
        <v>2823</v>
      </c>
      <c r="H1036" s="7" t="s">
        <v>2824</v>
      </c>
      <c r="I1036" s="9">
        <v>45342</v>
      </c>
    </row>
    <row r="1037" spans="1:9" ht="27" x14ac:dyDescent="0.15">
      <c r="A1037" s="6">
        <v>1036</v>
      </c>
      <c r="B1037" s="7" t="s">
        <v>9</v>
      </c>
      <c r="C1037" s="8">
        <v>1886</v>
      </c>
      <c r="D1037" s="9">
        <v>45418</v>
      </c>
      <c r="E1037" s="13" t="str">
        <f>+HYPERLINK("http://trademark.i-assist.jp/data/china/image_1886th/76865972.pdf","76865972")</f>
        <v>76865972</v>
      </c>
      <c r="F1037" s="7" t="s">
        <v>2825</v>
      </c>
      <c r="G1037" s="7" t="s">
        <v>2826</v>
      </c>
      <c r="H1037" s="7" t="s">
        <v>2827</v>
      </c>
      <c r="I1037" s="9">
        <v>45342</v>
      </c>
    </row>
    <row r="1038" spans="1:9" x14ac:dyDescent="0.15">
      <c r="A1038" s="6">
        <v>1037</v>
      </c>
      <c r="B1038" s="7" t="s">
        <v>9</v>
      </c>
      <c r="C1038" s="8">
        <v>1886</v>
      </c>
      <c r="D1038" s="9">
        <v>45418</v>
      </c>
      <c r="E1038" s="13" t="str">
        <f>+HYPERLINK("http://trademark.i-assist.jp/data/china/image_1886th/76866091.pdf","76866091")</f>
        <v>76866091</v>
      </c>
      <c r="F1038" s="7" t="s">
        <v>2828</v>
      </c>
      <c r="G1038" s="7" t="s">
        <v>2829</v>
      </c>
      <c r="H1038" s="7" t="s">
        <v>2830</v>
      </c>
      <c r="I1038" s="9">
        <v>45342</v>
      </c>
    </row>
    <row r="1039" spans="1:9" x14ac:dyDescent="0.15">
      <c r="A1039" s="6">
        <v>1038</v>
      </c>
      <c r="B1039" s="7" t="s">
        <v>9</v>
      </c>
      <c r="C1039" s="8">
        <v>1886</v>
      </c>
      <c r="D1039" s="9">
        <v>45418</v>
      </c>
      <c r="E1039" s="13" t="str">
        <f>+HYPERLINK("http://trademark.i-assist.jp/data/china/image_1886th/76866099.pdf","76866099")</f>
        <v>76866099</v>
      </c>
      <c r="F1039" s="7" t="s">
        <v>2831</v>
      </c>
      <c r="G1039" s="7" t="s">
        <v>2829</v>
      </c>
      <c r="H1039" s="7" t="s">
        <v>2832</v>
      </c>
      <c r="I1039" s="9">
        <v>45342</v>
      </c>
    </row>
    <row r="1040" spans="1:9" x14ac:dyDescent="0.15">
      <c r="A1040" s="6">
        <v>1039</v>
      </c>
      <c r="B1040" s="7" t="s">
        <v>9</v>
      </c>
      <c r="C1040" s="8">
        <v>1886</v>
      </c>
      <c r="D1040" s="9">
        <v>45418</v>
      </c>
      <c r="E1040" s="13" t="str">
        <f>+HYPERLINK("http://trademark.i-assist.jp/data/china/image_1886th/76866201.pdf","76866201")</f>
        <v>76866201</v>
      </c>
      <c r="F1040" s="7" t="s">
        <v>2833</v>
      </c>
      <c r="G1040" s="7" t="s">
        <v>2834</v>
      </c>
      <c r="H1040" s="7" t="s">
        <v>2835</v>
      </c>
      <c r="I1040" s="9">
        <v>45342</v>
      </c>
    </row>
    <row r="1041" spans="1:9" x14ac:dyDescent="0.15">
      <c r="A1041" s="6">
        <v>1040</v>
      </c>
      <c r="B1041" s="7" t="s">
        <v>9</v>
      </c>
      <c r="C1041" s="8">
        <v>1886</v>
      </c>
      <c r="D1041" s="9">
        <v>45418</v>
      </c>
      <c r="E1041" s="13" t="str">
        <f>+HYPERLINK("http://trademark.i-assist.jp/data/china/image_1886th/76866238.pdf","76866238")</f>
        <v>76866238</v>
      </c>
      <c r="F1041" s="7" t="s">
        <v>2836</v>
      </c>
      <c r="G1041" s="7" t="s">
        <v>2837</v>
      </c>
      <c r="H1041" s="7" t="s">
        <v>2838</v>
      </c>
      <c r="I1041" s="9">
        <v>45342</v>
      </c>
    </row>
    <row r="1042" spans="1:9" ht="27" x14ac:dyDescent="0.15">
      <c r="A1042" s="6">
        <v>1041</v>
      </c>
      <c r="B1042" s="7" t="s">
        <v>9</v>
      </c>
      <c r="C1042" s="8">
        <v>1886</v>
      </c>
      <c r="D1042" s="9">
        <v>45418</v>
      </c>
      <c r="E1042" s="13" t="str">
        <f>+HYPERLINK("http://trademark.i-assist.jp/data/china/image_1886th/76867249.pdf","76867249")</f>
        <v>76867249</v>
      </c>
      <c r="F1042" s="7" t="s">
        <v>2839</v>
      </c>
      <c r="G1042" s="7" t="s">
        <v>2840</v>
      </c>
      <c r="H1042" s="7" t="s">
        <v>2841</v>
      </c>
      <c r="I1042" s="9">
        <v>45342</v>
      </c>
    </row>
    <row r="1043" spans="1:9" x14ac:dyDescent="0.15">
      <c r="A1043" s="6">
        <v>1042</v>
      </c>
      <c r="B1043" s="7" t="s">
        <v>9</v>
      </c>
      <c r="C1043" s="8">
        <v>1886</v>
      </c>
      <c r="D1043" s="9">
        <v>45418</v>
      </c>
      <c r="E1043" s="13" t="str">
        <f>+HYPERLINK("http://trademark.i-assist.jp/data/china/image_1886th/76867363.pdf","76867363")</f>
        <v>76867363</v>
      </c>
      <c r="F1043" s="7" t="s">
        <v>2842</v>
      </c>
      <c r="G1043" s="7" t="s">
        <v>2843</v>
      </c>
      <c r="H1043" s="7" t="s">
        <v>2844</v>
      </c>
      <c r="I1043" s="9">
        <v>45342</v>
      </c>
    </row>
    <row r="1044" spans="1:9" x14ac:dyDescent="0.15">
      <c r="A1044" s="6">
        <v>1043</v>
      </c>
      <c r="B1044" s="7" t="s">
        <v>9</v>
      </c>
      <c r="C1044" s="8">
        <v>1886</v>
      </c>
      <c r="D1044" s="9">
        <v>45418</v>
      </c>
      <c r="E1044" s="13" t="str">
        <f>+HYPERLINK("http://trademark.i-assist.jp/data/china/image_1886th/76867593.pdf","76867593")</f>
        <v>76867593</v>
      </c>
      <c r="F1044" s="7" t="s">
        <v>2845</v>
      </c>
      <c r="G1044" s="7" t="s">
        <v>2779</v>
      </c>
      <c r="H1044" s="7" t="s">
        <v>2846</v>
      </c>
      <c r="I1044" s="9">
        <v>45342</v>
      </c>
    </row>
    <row r="1045" spans="1:9" x14ac:dyDescent="0.15">
      <c r="A1045" s="6">
        <v>1044</v>
      </c>
      <c r="B1045" s="7" t="s">
        <v>9</v>
      </c>
      <c r="C1045" s="8">
        <v>1886</v>
      </c>
      <c r="D1045" s="9">
        <v>45418</v>
      </c>
      <c r="E1045" s="13" t="str">
        <f>+HYPERLINK("http://trademark.i-assist.jp/data/china/image_1886th/76867604.pdf","76867604")</f>
        <v>76867604</v>
      </c>
      <c r="F1045" s="7" t="s">
        <v>2847</v>
      </c>
      <c r="G1045" s="7" t="s">
        <v>2779</v>
      </c>
      <c r="H1045" s="7" t="s">
        <v>2848</v>
      </c>
      <c r="I1045" s="9">
        <v>45342</v>
      </c>
    </row>
    <row r="1046" spans="1:9" x14ac:dyDescent="0.15">
      <c r="A1046" s="6">
        <v>1045</v>
      </c>
      <c r="B1046" s="7" t="s">
        <v>9</v>
      </c>
      <c r="C1046" s="8">
        <v>1886</v>
      </c>
      <c r="D1046" s="9">
        <v>45418</v>
      </c>
      <c r="E1046" s="13" t="str">
        <f>+HYPERLINK("http://trademark.i-assist.jp/data/china/image_1886th/76867607.pdf","76867607")</f>
        <v>76867607</v>
      </c>
      <c r="F1046" s="7" t="s">
        <v>2849</v>
      </c>
      <c r="G1046" s="7" t="s">
        <v>2850</v>
      </c>
      <c r="H1046" s="7" t="s">
        <v>2851</v>
      </c>
      <c r="I1046" s="9">
        <v>45342</v>
      </c>
    </row>
    <row r="1047" spans="1:9" ht="27" x14ac:dyDescent="0.15">
      <c r="A1047" s="6">
        <v>1046</v>
      </c>
      <c r="B1047" s="7" t="s">
        <v>9</v>
      </c>
      <c r="C1047" s="8">
        <v>1886</v>
      </c>
      <c r="D1047" s="9">
        <v>45418</v>
      </c>
      <c r="E1047" s="13" t="str">
        <f>+HYPERLINK("http://trademark.i-assist.jp/data/china/image_1886th/76867861.pdf","76867861")</f>
        <v>76867861</v>
      </c>
      <c r="F1047" s="7" t="s">
        <v>2852</v>
      </c>
      <c r="G1047" s="7" t="s">
        <v>2853</v>
      </c>
      <c r="H1047" s="7" t="s">
        <v>2854</v>
      </c>
      <c r="I1047" s="9">
        <v>45342</v>
      </c>
    </row>
    <row r="1048" spans="1:9" ht="27" x14ac:dyDescent="0.15">
      <c r="A1048" s="6">
        <v>1047</v>
      </c>
      <c r="B1048" s="7" t="s">
        <v>9</v>
      </c>
      <c r="C1048" s="8">
        <v>1886</v>
      </c>
      <c r="D1048" s="9">
        <v>45418</v>
      </c>
      <c r="E1048" s="13" t="str">
        <f>+HYPERLINK("http://trademark.i-assist.jp/data/china/image_1886th/76867978.pdf","76867978")</f>
        <v>76867978</v>
      </c>
      <c r="F1048" s="7" t="s">
        <v>2855</v>
      </c>
      <c r="G1048" s="7" t="s">
        <v>2856</v>
      </c>
      <c r="H1048" s="7" t="s">
        <v>2857</v>
      </c>
      <c r="I1048" s="9">
        <v>45342</v>
      </c>
    </row>
    <row r="1049" spans="1:9" x14ac:dyDescent="0.15">
      <c r="A1049" s="6">
        <v>1048</v>
      </c>
      <c r="B1049" s="7" t="s">
        <v>9</v>
      </c>
      <c r="C1049" s="8">
        <v>1886</v>
      </c>
      <c r="D1049" s="9">
        <v>45418</v>
      </c>
      <c r="E1049" s="13" t="str">
        <f>+HYPERLINK("http://trademark.i-assist.jp/data/china/image_1886th/76867979.pdf","76867979")</f>
        <v>76867979</v>
      </c>
      <c r="F1049" s="7" t="s">
        <v>2858</v>
      </c>
      <c r="G1049" s="7" t="s">
        <v>2859</v>
      </c>
      <c r="H1049" s="7" t="s">
        <v>2860</v>
      </c>
      <c r="I1049" s="9">
        <v>45342</v>
      </c>
    </row>
    <row r="1050" spans="1:9" x14ac:dyDescent="0.15">
      <c r="A1050" s="6">
        <v>1049</v>
      </c>
      <c r="B1050" s="7" t="s">
        <v>9</v>
      </c>
      <c r="C1050" s="8">
        <v>1886</v>
      </c>
      <c r="D1050" s="9">
        <v>45418</v>
      </c>
      <c r="E1050" s="13" t="str">
        <f>+HYPERLINK("http://trademark.i-assist.jp/data/china/image_1886th/76867982.pdf","76867982")</f>
        <v>76867982</v>
      </c>
      <c r="F1050" s="7" t="s">
        <v>2861</v>
      </c>
      <c r="G1050" s="7" t="s">
        <v>2859</v>
      </c>
      <c r="H1050" s="7" t="s">
        <v>2862</v>
      </c>
      <c r="I1050" s="9">
        <v>45342</v>
      </c>
    </row>
    <row r="1051" spans="1:9" x14ac:dyDescent="0.15">
      <c r="A1051" s="6">
        <v>1050</v>
      </c>
      <c r="B1051" s="7" t="s">
        <v>9</v>
      </c>
      <c r="C1051" s="8">
        <v>1886</v>
      </c>
      <c r="D1051" s="9">
        <v>45418</v>
      </c>
      <c r="E1051" s="13" t="str">
        <f>+HYPERLINK("http://trademark.i-assist.jp/data/china/image_1886th/76868464.pdf","76868464")</f>
        <v>76868464</v>
      </c>
      <c r="F1051" s="7" t="s">
        <v>2863</v>
      </c>
      <c r="G1051" s="7" t="s">
        <v>2864</v>
      </c>
      <c r="H1051" s="7" t="s">
        <v>2865</v>
      </c>
      <c r="I1051" s="9">
        <v>45342</v>
      </c>
    </row>
    <row r="1052" spans="1:9" x14ac:dyDescent="0.15">
      <c r="A1052" s="6">
        <v>1051</v>
      </c>
      <c r="B1052" s="7" t="s">
        <v>9</v>
      </c>
      <c r="C1052" s="8">
        <v>1886</v>
      </c>
      <c r="D1052" s="9">
        <v>45418</v>
      </c>
      <c r="E1052" s="13" t="str">
        <f>+HYPERLINK("http://trademark.i-assist.jp/data/china/image_1886th/76868507.pdf","76868507")</f>
        <v>76868507</v>
      </c>
      <c r="F1052" s="7" t="s">
        <v>2866</v>
      </c>
      <c r="G1052" s="7" t="s">
        <v>2808</v>
      </c>
      <c r="H1052" s="7" t="s">
        <v>2867</v>
      </c>
      <c r="I1052" s="9">
        <v>45342</v>
      </c>
    </row>
    <row r="1053" spans="1:9" x14ac:dyDescent="0.15">
      <c r="A1053" s="6">
        <v>1052</v>
      </c>
      <c r="B1053" s="7" t="s">
        <v>9</v>
      </c>
      <c r="C1053" s="8">
        <v>1886</v>
      </c>
      <c r="D1053" s="9">
        <v>45418</v>
      </c>
      <c r="E1053" s="13" t="str">
        <f>+HYPERLINK("http://trademark.i-assist.jp/data/china/image_1886th/76868694.pdf","76868694")</f>
        <v>76868694</v>
      </c>
      <c r="F1053" s="7" t="s">
        <v>2868</v>
      </c>
      <c r="G1053" s="7" t="s">
        <v>2791</v>
      </c>
      <c r="H1053" s="7" t="s">
        <v>2869</v>
      </c>
      <c r="I1053" s="9">
        <v>45342</v>
      </c>
    </row>
    <row r="1054" spans="1:9" ht="27" x14ac:dyDescent="0.15">
      <c r="A1054" s="6">
        <v>1053</v>
      </c>
      <c r="B1054" s="7" t="s">
        <v>9</v>
      </c>
      <c r="C1054" s="8">
        <v>1886</v>
      </c>
      <c r="D1054" s="9">
        <v>45418</v>
      </c>
      <c r="E1054" s="13" t="str">
        <f>+HYPERLINK("http://trademark.i-assist.jp/data/china/image_1886th/76868714.pdf","76868714")</f>
        <v>76868714</v>
      </c>
      <c r="F1054" s="7" t="s">
        <v>2870</v>
      </c>
      <c r="G1054" s="7" t="s">
        <v>2871</v>
      </c>
      <c r="H1054" s="7" t="s">
        <v>2872</v>
      </c>
      <c r="I1054" s="9">
        <v>45342</v>
      </c>
    </row>
    <row r="1055" spans="1:9" x14ac:dyDescent="0.15">
      <c r="A1055" s="6">
        <v>1054</v>
      </c>
      <c r="B1055" s="7" t="s">
        <v>9</v>
      </c>
      <c r="C1055" s="8">
        <v>1886</v>
      </c>
      <c r="D1055" s="9">
        <v>45418</v>
      </c>
      <c r="E1055" s="13" t="str">
        <f>+HYPERLINK("http://trademark.i-assist.jp/data/china/image_1886th/76869063.pdf","76869063")</f>
        <v>76869063</v>
      </c>
      <c r="F1055" s="7" t="s">
        <v>2873</v>
      </c>
      <c r="G1055" s="7" t="s">
        <v>2874</v>
      </c>
      <c r="H1055" s="7" t="s">
        <v>2875</v>
      </c>
      <c r="I1055" s="9">
        <v>45342</v>
      </c>
    </row>
    <row r="1056" spans="1:9" x14ac:dyDescent="0.15">
      <c r="A1056" s="6">
        <v>1055</v>
      </c>
      <c r="B1056" s="7" t="s">
        <v>9</v>
      </c>
      <c r="C1056" s="8">
        <v>1886</v>
      </c>
      <c r="D1056" s="9">
        <v>45418</v>
      </c>
      <c r="E1056" s="13" t="str">
        <f>+HYPERLINK("http://trademark.i-assist.jp/data/china/image_1886th/76869443.pdf","76869443")</f>
        <v>76869443</v>
      </c>
      <c r="F1056" s="7" t="s">
        <v>2876</v>
      </c>
      <c r="G1056" s="7" t="s">
        <v>2877</v>
      </c>
      <c r="H1056" s="7" t="s">
        <v>2878</v>
      </c>
      <c r="I1056" s="9">
        <v>45342</v>
      </c>
    </row>
    <row r="1057" spans="1:9" x14ac:dyDescent="0.15">
      <c r="A1057" s="6">
        <v>1056</v>
      </c>
      <c r="B1057" s="7" t="s">
        <v>9</v>
      </c>
      <c r="C1057" s="8">
        <v>1886</v>
      </c>
      <c r="D1057" s="9">
        <v>45418</v>
      </c>
      <c r="E1057" s="13" t="str">
        <f>+HYPERLINK("http://trademark.i-assist.jp/data/china/image_1886th/76869477.pdf","76869477")</f>
        <v>76869477</v>
      </c>
      <c r="F1057" s="7" t="s">
        <v>2879</v>
      </c>
      <c r="G1057" s="7" t="s">
        <v>2880</v>
      </c>
      <c r="H1057" s="7" t="s">
        <v>2881</v>
      </c>
      <c r="I1057" s="9">
        <v>45342</v>
      </c>
    </row>
    <row r="1058" spans="1:9" x14ac:dyDescent="0.15">
      <c r="A1058" s="6">
        <v>1057</v>
      </c>
      <c r="B1058" s="7" t="s">
        <v>9</v>
      </c>
      <c r="C1058" s="8">
        <v>1886</v>
      </c>
      <c r="D1058" s="9">
        <v>45418</v>
      </c>
      <c r="E1058" s="13" t="str">
        <f>+HYPERLINK("http://trademark.i-assist.jp/data/china/image_1886th/76869558.pdf","76869558")</f>
        <v>76869558</v>
      </c>
      <c r="F1058" s="7" t="s">
        <v>2882</v>
      </c>
      <c r="G1058" s="7" t="s">
        <v>2791</v>
      </c>
      <c r="H1058" s="7" t="s">
        <v>2883</v>
      </c>
      <c r="I1058" s="9">
        <v>45342</v>
      </c>
    </row>
    <row r="1059" spans="1:9" x14ac:dyDescent="0.15">
      <c r="A1059" s="6">
        <v>1058</v>
      </c>
      <c r="B1059" s="7" t="s">
        <v>9</v>
      </c>
      <c r="C1059" s="8">
        <v>1886</v>
      </c>
      <c r="D1059" s="9">
        <v>45418</v>
      </c>
      <c r="E1059" s="13" t="str">
        <f>+HYPERLINK("http://trademark.i-assist.jp/data/china/image_1886th/76869561.pdf","76869561")</f>
        <v>76869561</v>
      </c>
      <c r="F1059" s="7" t="s">
        <v>2884</v>
      </c>
      <c r="G1059" s="7" t="s">
        <v>2885</v>
      </c>
      <c r="H1059" s="7" t="s">
        <v>2886</v>
      </c>
      <c r="I1059" s="9">
        <v>45342</v>
      </c>
    </row>
    <row r="1060" spans="1:9" ht="27" x14ac:dyDescent="0.15">
      <c r="A1060" s="6">
        <v>1059</v>
      </c>
      <c r="B1060" s="7" t="s">
        <v>9</v>
      </c>
      <c r="C1060" s="8">
        <v>1886</v>
      </c>
      <c r="D1060" s="9">
        <v>45418</v>
      </c>
      <c r="E1060" s="13" t="str">
        <f>+HYPERLINK("http://trademark.i-assist.jp/data/china/image_1886th/76869940.pdf","76869940")</f>
        <v>76869940</v>
      </c>
      <c r="F1060" s="7" t="s">
        <v>2887</v>
      </c>
      <c r="G1060" s="7" t="s">
        <v>2888</v>
      </c>
      <c r="H1060" s="7" t="s">
        <v>2889</v>
      </c>
      <c r="I1060" s="9">
        <v>45342</v>
      </c>
    </row>
    <row r="1061" spans="1:9" x14ac:dyDescent="0.15">
      <c r="A1061" s="6">
        <v>1060</v>
      </c>
      <c r="B1061" s="7" t="s">
        <v>9</v>
      </c>
      <c r="C1061" s="8">
        <v>1886</v>
      </c>
      <c r="D1061" s="9">
        <v>45418</v>
      </c>
      <c r="E1061" s="13" t="str">
        <f>+HYPERLINK("http://trademark.i-assist.jp/data/china/image_1886th/76870364.pdf","76870364")</f>
        <v>76870364</v>
      </c>
      <c r="F1061" s="7" t="s">
        <v>2890</v>
      </c>
      <c r="G1061" s="7" t="s">
        <v>2891</v>
      </c>
      <c r="H1061" s="7" t="s">
        <v>2892</v>
      </c>
      <c r="I1061" s="9">
        <v>45342</v>
      </c>
    </row>
    <row r="1062" spans="1:9" x14ac:dyDescent="0.15">
      <c r="A1062" s="6">
        <v>1061</v>
      </c>
      <c r="B1062" s="7" t="s">
        <v>9</v>
      </c>
      <c r="C1062" s="8">
        <v>1886</v>
      </c>
      <c r="D1062" s="9">
        <v>45418</v>
      </c>
      <c r="E1062" s="13" t="str">
        <f>+HYPERLINK("http://trademark.i-assist.jp/data/china/image_1886th/76870452.pdf","76870452")</f>
        <v>76870452</v>
      </c>
      <c r="F1062" s="7" t="s">
        <v>2893</v>
      </c>
      <c r="G1062" s="7" t="s">
        <v>2802</v>
      </c>
      <c r="H1062" s="7" t="s">
        <v>2894</v>
      </c>
      <c r="I1062" s="9">
        <v>45342</v>
      </c>
    </row>
    <row r="1063" spans="1:9" ht="27" x14ac:dyDescent="0.15">
      <c r="A1063" s="6">
        <v>1062</v>
      </c>
      <c r="B1063" s="7" t="s">
        <v>9</v>
      </c>
      <c r="C1063" s="8">
        <v>1886</v>
      </c>
      <c r="D1063" s="9">
        <v>45418</v>
      </c>
      <c r="E1063" s="13" t="str">
        <f>+HYPERLINK("http://trademark.i-assist.jp/data/china/image_1886th/76870746.pdf","76870746")</f>
        <v>76870746</v>
      </c>
      <c r="F1063" s="7" t="s">
        <v>2895</v>
      </c>
      <c r="G1063" s="7" t="s">
        <v>2896</v>
      </c>
      <c r="H1063" s="7" t="s">
        <v>2897</v>
      </c>
      <c r="I1063" s="9">
        <v>45342</v>
      </c>
    </row>
    <row r="1064" spans="1:9" x14ac:dyDescent="0.15">
      <c r="A1064" s="6">
        <v>1063</v>
      </c>
      <c r="B1064" s="7" t="s">
        <v>9</v>
      </c>
      <c r="C1064" s="8">
        <v>1886</v>
      </c>
      <c r="D1064" s="9">
        <v>45418</v>
      </c>
      <c r="E1064" s="13" t="str">
        <f>+HYPERLINK("http://trademark.i-assist.jp/data/china/image_1886th/76870789.pdf","76870789")</f>
        <v>76870789</v>
      </c>
      <c r="F1064" s="7" t="s">
        <v>33</v>
      </c>
      <c r="G1064" s="7" t="s">
        <v>2898</v>
      </c>
      <c r="H1064" s="7" t="s">
        <v>2899</v>
      </c>
      <c r="I1064" s="9">
        <v>45342</v>
      </c>
    </row>
    <row r="1065" spans="1:9" x14ac:dyDescent="0.15">
      <c r="A1065" s="6">
        <v>1064</v>
      </c>
      <c r="B1065" s="7" t="s">
        <v>9</v>
      </c>
      <c r="C1065" s="8">
        <v>1886</v>
      </c>
      <c r="D1065" s="9">
        <v>45418</v>
      </c>
      <c r="E1065" s="13" t="str">
        <f>+HYPERLINK("http://trademark.i-assist.jp/data/china/image_1886th/76870948.pdf","76870948")</f>
        <v>76870948</v>
      </c>
      <c r="F1065" s="7" t="s">
        <v>2900</v>
      </c>
      <c r="G1065" s="7" t="s">
        <v>2901</v>
      </c>
      <c r="H1065" s="7" t="s">
        <v>2902</v>
      </c>
      <c r="I1065" s="9">
        <v>45342</v>
      </c>
    </row>
    <row r="1066" spans="1:9" ht="27" x14ac:dyDescent="0.15">
      <c r="A1066" s="6">
        <v>1065</v>
      </c>
      <c r="B1066" s="7" t="s">
        <v>9</v>
      </c>
      <c r="C1066" s="8">
        <v>1886</v>
      </c>
      <c r="D1066" s="9">
        <v>45418</v>
      </c>
      <c r="E1066" s="13" t="str">
        <f>+HYPERLINK("http://trademark.i-assist.jp/data/china/image_1886th/76871365.pdf","76871365")</f>
        <v>76871365</v>
      </c>
      <c r="F1066" s="7" t="s">
        <v>2903</v>
      </c>
      <c r="G1066" s="7" t="s">
        <v>2785</v>
      </c>
      <c r="H1066" s="7" t="s">
        <v>2904</v>
      </c>
      <c r="I1066" s="9">
        <v>45342</v>
      </c>
    </row>
    <row r="1067" spans="1:9" x14ac:dyDescent="0.15">
      <c r="A1067" s="6">
        <v>1066</v>
      </c>
      <c r="B1067" s="7" t="s">
        <v>9</v>
      </c>
      <c r="C1067" s="8">
        <v>1886</v>
      </c>
      <c r="D1067" s="9">
        <v>45418</v>
      </c>
      <c r="E1067" s="13" t="str">
        <f>+HYPERLINK("http://trademark.i-assist.jp/data/china/image_1886th/76871421.pdf","76871421")</f>
        <v>76871421</v>
      </c>
      <c r="F1067" s="7" t="s">
        <v>2905</v>
      </c>
      <c r="G1067" s="7" t="s">
        <v>2891</v>
      </c>
      <c r="H1067" s="7" t="s">
        <v>2906</v>
      </c>
      <c r="I1067" s="9">
        <v>45342</v>
      </c>
    </row>
    <row r="1068" spans="1:9" x14ac:dyDescent="0.15">
      <c r="A1068" s="6">
        <v>1067</v>
      </c>
      <c r="B1068" s="7" t="s">
        <v>9</v>
      </c>
      <c r="C1068" s="8">
        <v>1886</v>
      </c>
      <c r="D1068" s="9">
        <v>45418</v>
      </c>
      <c r="E1068" s="13" t="str">
        <f>+HYPERLINK("http://trademark.i-assist.jp/data/china/image_1886th/76871710.pdf","76871710")</f>
        <v>76871710</v>
      </c>
      <c r="F1068" s="7" t="s">
        <v>2907</v>
      </c>
      <c r="G1068" s="7" t="s">
        <v>2908</v>
      </c>
      <c r="H1068" s="7" t="s">
        <v>2909</v>
      </c>
      <c r="I1068" s="9">
        <v>45342</v>
      </c>
    </row>
    <row r="1069" spans="1:9" x14ac:dyDescent="0.15">
      <c r="A1069" s="6">
        <v>1068</v>
      </c>
      <c r="B1069" s="7" t="s">
        <v>9</v>
      </c>
      <c r="C1069" s="8">
        <v>1886</v>
      </c>
      <c r="D1069" s="9">
        <v>45418</v>
      </c>
      <c r="E1069" s="13" t="str">
        <f>+HYPERLINK("http://trademark.i-assist.jp/data/china/image_1886th/76871859.pdf","76871859")</f>
        <v>76871859</v>
      </c>
      <c r="F1069" s="7" t="s">
        <v>2910</v>
      </c>
      <c r="G1069" s="7" t="s">
        <v>2911</v>
      </c>
      <c r="H1069" s="7" t="s">
        <v>2912</v>
      </c>
      <c r="I1069" s="9">
        <v>45342</v>
      </c>
    </row>
    <row r="1070" spans="1:9" ht="27" x14ac:dyDescent="0.15">
      <c r="A1070" s="6">
        <v>1069</v>
      </c>
      <c r="B1070" s="7" t="s">
        <v>9</v>
      </c>
      <c r="C1070" s="8">
        <v>1886</v>
      </c>
      <c r="D1070" s="9">
        <v>45418</v>
      </c>
      <c r="E1070" s="13" t="str">
        <f>+HYPERLINK("http://trademark.i-assist.jp/data/china/image_1886th/76872551.pdf","76872551")</f>
        <v>76872551</v>
      </c>
      <c r="F1070" s="7" t="s">
        <v>2913</v>
      </c>
      <c r="G1070" s="7" t="s">
        <v>2914</v>
      </c>
      <c r="H1070" s="7" t="s">
        <v>2915</v>
      </c>
      <c r="I1070" s="9">
        <v>45342</v>
      </c>
    </row>
    <row r="1071" spans="1:9" x14ac:dyDescent="0.15">
      <c r="A1071" s="6">
        <v>1070</v>
      </c>
      <c r="B1071" s="7" t="s">
        <v>9</v>
      </c>
      <c r="C1071" s="8">
        <v>1886</v>
      </c>
      <c r="D1071" s="9">
        <v>45418</v>
      </c>
      <c r="E1071" s="13" t="str">
        <f>+HYPERLINK("http://trademark.i-assist.jp/data/china/image_1886th/76872707.pdf","76872707")</f>
        <v>76872707</v>
      </c>
      <c r="F1071" s="7" t="s">
        <v>2916</v>
      </c>
      <c r="G1071" s="7" t="s">
        <v>2917</v>
      </c>
      <c r="H1071" s="7" t="s">
        <v>2918</v>
      </c>
      <c r="I1071" s="9">
        <v>45342</v>
      </c>
    </row>
    <row r="1072" spans="1:9" x14ac:dyDescent="0.15">
      <c r="A1072" s="6">
        <v>1071</v>
      </c>
      <c r="B1072" s="7" t="s">
        <v>9</v>
      </c>
      <c r="C1072" s="8">
        <v>1886</v>
      </c>
      <c r="D1072" s="9">
        <v>45418</v>
      </c>
      <c r="E1072" s="13" t="str">
        <f>+HYPERLINK("http://trademark.i-assist.jp/data/china/image_1886th/76872909.pdf","76872909")</f>
        <v>76872909</v>
      </c>
      <c r="F1072" s="7" t="s">
        <v>2919</v>
      </c>
      <c r="G1072" s="7" t="s">
        <v>2877</v>
      </c>
      <c r="H1072" s="7" t="s">
        <v>2920</v>
      </c>
      <c r="I1072" s="9">
        <v>45342</v>
      </c>
    </row>
    <row r="1073" spans="1:9" x14ac:dyDescent="0.15">
      <c r="A1073" s="6">
        <v>1072</v>
      </c>
      <c r="B1073" s="7" t="s">
        <v>9</v>
      </c>
      <c r="C1073" s="8">
        <v>1886</v>
      </c>
      <c r="D1073" s="9">
        <v>45418</v>
      </c>
      <c r="E1073" s="13" t="str">
        <f>+HYPERLINK("http://trademark.i-assist.jp/data/china/image_1886th/76872966.pdf","76872966")</f>
        <v>76872966</v>
      </c>
      <c r="F1073" s="7" t="s">
        <v>2921</v>
      </c>
      <c r="G1073" s="7" t="s">
        <v>2922</v>
      </c>
      <c r="H1073" s="7" t="s">
        <v>2923</v>
      </c>
      <c r="I1073" s="9">
        <v>45342</v>
      </c>
    </row>
    <row r="1074" spans="1:9" x14ac:dyDescent="0.15">
      <c r="A1074" s="6">
        <v>1073</v>
      </c>
      <c r="B1074" s="7" t="s">
        <v>9</v>
      </c>
      <c r="C1074" s="8">
        <v>1886</v>
      </c>
      <c r="D1074" s="9">
        <v>45418</v>
      </c>
      <c r="E1074" s="13" t="str">
        <f>+HYPERLINK("http://trademark.i-assist.jp/data/china/image_1886th/76873250.pdf","76873250")</f>
        <v>76873250</v>
      </c>
      <c r="F1074" s="7" t="s">
        <v>2924</v>
      </c>
      <c r="G1074" s="7" t="s">
        <v>2925</v>
      </c>
      <c r="H1074" s="7" t="s">
        <v>2926</v>
      </c>
      <c r="I1074" s="9">
        <v>45342</v>
      </c>
    </row>
    <row r="1075" spans="1:9" x14ac:dyDescent="0.15">
      <c r="A1075" s="6">
        <v>1074</v>
      </c>
      <c r="B1075" s="7" t="s">
        <v>9</v>
      </c>
      <c r="C1075" s="8">
        <v>1886</v>
      </c>
      <c r="D1075" s="9">
        <v>45418</v>
      </c>
      <c r="E1075" s="13" t="str">
        <f>+HYPERLINK("http://trademark.i-assist.jp/data/china/image_1886th/76873339.pdf","76873339")</f>
        <v>76873339</v>
      </c>
      <c r="F1075" s="7" t="s">
        <v>2927</v>
      </c>
      <c r="G1075" s="7" t="s">
        <v>2880</v>
      </c>
      <c r="H1075" s="7" t="s">
        <v>2928</v>
      </c>
      <c r="I1075" s="9">
        <v>45342</v>
      </c>
    </row>
    <row r="1076" spans="1:9" x14ac:dyDescent="0.15">
      <c r="A1076" s="6">
        <v>1075</v>
      </c>
      <c r="B1076" s="7" t="s">
        <v>9</v>
      </c>
      <c r="C1076" s="8">
        <v>1886</v>
      </c>
      <c r="D1076" s="9">
        <v>45418</v>
      </c>
      <c r="E1076" s="13" t="str">
        <f>+HYPERLINK("http://trademark.i-assist.jp/data/china/image_1886th/76873417.pdf","76873417")</f>
        <v>76873417</v>
      </c>
      <c r="F1076" s="7" t="s">
        <v>2929</v>
      </c>
      <c r="G1076" s="7" t="s">
        <v>2930</v>
      </c>
      <c r="H1076" s="7" t="s">
        <v>2931</v>
      </c>
      <c r="I1076" s="9">
        <v>45342</v>
      </c>
    </row>
    <row r="1077" spans="1:9" x14ac:dyDescent="0.15">
      <c r="A1077" s="6">
        <v>1076</v>
      </c>
      <c r="B1077" s="7" t="s">
        <v>9</v>
      </c>
      <c r="C1077" s="8">
        <v>1886</v>
      </c>
      <c r="D1077" s="9">
        <v>45418</v>
      </c>
      <c r="E1077" s="13" t="str">
        <f>+HYPERLINK("http://trademark.i-assist.jp/data/china/image_1886th/76873722.pdf","76873722")</f>
        <v>76873722</v>
      </c>
      <c r="F1077" s="7" t="s">
        <v>2932</v>
      </c>
      <c r="G1077" s="7" t="s">
        <v>2779</v>
      </c>
      <c r="H1077" s="7" t="s">
        <v>2933</v>
      </c>
      <c r="I1077" s="9">
        <v>45342</v>
      </c>
    </row>
    <row r="1078" spans="1:9" x14ac:dyDescent="0.15">
      <c r="A1078" s="6">
        <v>1077</v>
      </c>
      <c r="B1078" s="7" t="s">
        <v>9</v>
      </c>
      <c r="C1078" s="8">
        <v>1886</v>
      </c>
      <c r="D1078" s="9">
        <v>45418</v>
      </c>
      <c r="E1078" s="13" t="str">
        <f>+HYPERLINK("http://trademark.i-assist.jp/data/china/image_1886th/76874138.pdf","76874138")</f>
        <v>76874138</v>
      </c>
      <c r="F1078" s="7" t="s">
        <v>2934</v>
      </c>
      <c r="G1078" s="7" t="s">
        <v>2935</v>
      </c>
      <c r="H1078" s="7" t="s">
        <v>2936</v>
      </c>
      <c r="I1078" s="9">
        <v>45342</v>
      </c>
    </row>
    <row r="1079" spans="1:9" ht="27" x14ac:dyDescent="0.15">
      <c r="A1079" s="6">
        <v>1078</v>
      </c>
      <c r="B1079" s="7" t="s">
        <v>9</v>
      </c>
      <c r="C1079" s="8">
        <v>1886</v>
      </c>
      <c r="D1079" s="9">
        <v>45418</v>
      </c>
      <c r="E1079" s="13" t="str">
        <f>+HYPERLINK("http://trademark.i-assist.jp/data/china/image_1886th/76874758.pdf","76874758")</f>
        <v>76874758</v>
      </c>
      <c r="F1079" s="7" t="s">
        <v>2937</v>
      </c>
      <c r="G1079" s="7" t="s">
        <v>2938</v>
      </c>
      <c r="H1079" s="7" t="s">
        <v>2939</v>
      </c>
      <c r="I1079" s="9">
        <v>45342</v>
      </c>
    </row>
    <row r="1080" spans="1:9" x14ac:dyDescent="0.15">
      <c r="A1080" s="6">
        <v>1079</v>
      </c>
      <c r="B1080" s="7" t="s">
        <v>9</v>
      </c>
      <c r="C1080" s="8">
        <v>1886</v>
      </c>
      <c r="D1080" s="9">
        <v>45418</v>
      </c>
      <c r="E1080" s="13" t="str">
        <f>+HYPERLINK("http://trademark.i-assist.jp/data/china/image_1886th/76875077.pdf","76875077")</f>
        <v>76875077</v>
      </c>
      <c r="F1080" s="7" t="s">
        <v>2940</v>
      </c>
      <c r="G1080" s="7" t="s">
        <v>2941</v>
      </c>
      <c r="H1080" s="7" t="s">
        <v>2942</v>
      </c>
      <c r="I1080" s="9">
        <v>45342</v>
      </c>
    </row>
    <row r="1081" spans="1:9" x14ac:dyDescent="0.15">
      <c r="A1081" s="6">
        <v>1080</v>
      </c>
      <c r="B1081" s="7" t="s">
        <v>9</v>
      </c>
      <c r="C1081" s="8">
        <v>1886</v>
      </c>
      <c r="D1081" s="9">
        <v>45418</v>
      </c>
      <c r="E1081" s="13" t="str">
        <f>+HYPERLINK("http://trademark.i-assist.jp/data/china/image_1886th/76875270.pdf","76875270")</f>
        <v>76875270</v>
      </c>
      <c r="F1081" s="7" t="s">
        <v>2943</v>
      </c>
      <c r="G1081" s="7" t="s">
        <v>2808</v>
      </c>
      <c r="H1081" s="7" t="s">
        <v>2944</v>
      </c>
      <c r="I1081" s="9">
        <v>45342</v>
      </c>
    </row>
    <row r="1082" spans="1:9" x14ac:dyDescent="0.15">
      <c r="A1082" s="6">
        <v>1081</v>
      </c>
      <c r="B1082" s="7" t="s">
        <v>9</v>
      </c>
      <c r="C1082" s="8">
        <v>1886</v>
      </c>
      <c r="D1082" s="9">
        <v>45418</v>
      </c>
      <c r="E1082" s="13" t="str">
        <f>+HYPERLINK("http://trademark.i-assist.jp/data/china/image_1886th/76875573.pdf","76875573")</f>
        <v>76875573</v>
      </c>
      <c r="F1082" s="7" t="s">
        <v>2945</v>
      </c>
      <c r="G1082" s="7" t="s">
        <v>2946</v>
      </c>
      <c r="H1082" s="7" t="s">
        <v>2947</v>
      </c>
      <c r="I1082" s="9">
        <v>45342</v>
      </c>
    </row>
    <row r="1083" spans="1:9" x14ac:dyDescent="0.15">
      <c r="A1083" s="6">
        <v>1082</v>
      </c>
      <c r="B1083" s="7" t="s">
        <v>9</v>
      </c>
      <c r="C1083" s="8">
        <v>1886</v>
      </c>
      <c r="D1083" s="9">
        <v>45418</v>
      </c>
      <c r="E1083" s="13" t="str">
        <f>+HYPERLINK("http://trademark.i-assist.jp/data/china/image_1886th/76875805.pdf","76875805")</f>
        <v>76875805</v>
      </c>
      <c r="F1083" s="7" t="s">
        <v>2948</v>
      </c>
      <c r="G1083" s="7" t="s">
        <v>2949</v>
      </c>
      <c r="H1083" s="7" t="s">
        <v>2950</v>
      </c>
      <c r="I1083" s="9">
        <v>45342</v>
      </c>
    </row>
    <row r="1084" spans="1:9" x14ac:dyDescent="0.15">
      <c r="A1084" s="6">
        <v>1083</v>
      </c>
      <c r="B1084" s="7" t="s">
        <v>9</v>
      </c>
      <c r="C1084" s="8">
        <v>1886</v>
      </c>
      <c r="D1084" s="9">
        <v>45418</v>
      </c>
      <c r="E1084" s="13" t="str">
        <f>+HYPERLINK("http://trademark.i-assist.jp/data/china/image_1886th/76876073.pdf","76876073")</f>
        <v>76876073</v>
      </c>
      <c r="F1084" s="7" t="s">
        <v>2951</v>
      </c>
      <c r="G1084" s="7" t="s">
        <v>2952</v>
      </c>
      <c r="H1084" s="7" t="s">
        <v>2953</v>
      </c>
      <c r="I1084" s="9">
        <v>45342</v>
      </c>
    </row>
    <row r="1085" spans="1:9" ht="27" x14ac:dyDescent="0.15">
      <c r="A1085" s="6">
        <v>1084</v>
      </c>
      <c r="B1085" s="7" t="s">
        <v>9</v>
      </c>
      <c r="C1085" s="8">
        <v>1886</v>
      </c>
      <c r="D1085" s="9">
        <v>45418</v>
      </c>
      <c r="E1085" s="13" t="str">
        <f>+HYPERLINK("http://trademark.i-assist.jp/data/china/image_1886th/76876074.pdf","76876074")</f>
        <v>76876074</v>
      </c>
      <c r="F1085" s="7" t="s">
        <v>2954</v>
      </c>
      <c r="G1085" s="7" t="s">
        <v>2955</v>
      </c>
      <c r="H1085" s="7" t="s">
        <v>2956</v>
      </c>
      <c r="I1085" s="9">
        <v>45342</v>
      </c>
    </row>
    <row r="1086" spans="1:9" ht="27" x14ac:dyDescent="0.15">
      <c r="A1086" s="6">
        <v>1085</v>
      </c>
      <c r="B1086" s="7" t="s">
        <v>9</v>
      </c>
      <c r="C1086" s="8">
        <v>1886</v>
      </c>
      <c r="D1086" s="9">
        <v>45418</v>
      </c>
      <c r="E1086" s="13" t="str">
        <f>+HYPERLINK("http://trademark.i-assist.jp/data/china/image_1886th/76876138.pdf","76876138")</f>
        <v>76876138</v>
      </c>
      <c r="F1086" s="7" t="s">
        <v>2957</v>
      </c>
      <c r="G1086" s="7" t="s">
        <v>2958</v>
      </c>
      <c r="H1086" s="7" t="s">
        <v>2959</v>
      </c>
      <c r="I1086" s="9">
        <v>45342</v>
      </c>
    </row>
    <row r="1087" spans="1:9" x14ac:dyDescent="0.15">
      <c r="A1087" s="6">
        <v>1086</v>
      </c>
      <c r="B1087" s="7" t="s">
        <v>9</v>
      </c>
      <c r="C1087" s="8">
        <v>1886</v>
      </c>
      <c r="D1087" s="9">
        <v>45418</v>
      </c>
      <c r="E1087" s="13" t="str">
        <f>+HYPERLINK("http://trademark.i-assist.jp/data/china/image_1886th/76876176.pdf","76876176")</f>
        <v>76876176</v>
      </c>
      <c r="F1087" s="7" t="s">
        <v>2960</v>
      </c>
      <c r="G1087" s="7" t="s">
        <v>2808</v>
      </c>
      <c r="H1087" s="7" t="s">
        <v>2961</v>
      </c>
      <c r="I1087" s="9">
        <v>45342</v>
      </c>
    </row>
    <row r="1088" spans="1:9" x14ac:dyDescent="0.15">
      <c r="A1088" s="6">
        <v>1087</v>
      </c>
      <c r="B1088" s="7" t="s">
        <v>9</v>
      </c>
      <c r="C1088" s="8">
        <v>1886</v>
      </c>
      <c r="D1088" s="9">
        <v>45418</v>
      </c>
      <c r="E1088" s="13" t="str">
        <f>+HYPERLINK("http://trademark.i-assist.jp/data/china/image_1886th/76876317.pdf","76876317")</f>
        <v>76876317</v>
      </c>
      <c r="F1088" s="7" t="s">
        <v>2962</v>
      </c>
      <c r="G1088" s="7" t="s">
        <v>2813</v>
      </c>
      <c r="H1088" s="7" t="s">
        <v>2963</v>
      </c>
      <c r="I1088" s="9">
        <v>45342</v>
      </c>
    </row>
    <row r="1089" spans="1:9" x14ac:dyDescent="0.15">
      <c r="A1089" s="6">
        <v>1088</v>
      </c>
      <c r="B1089" s="7" t="s">
        <v>9</v>
      </c>
      <c r="C1089" s="8">
        <v>1886</v>
      </c>
      <c r="D1089" s="9">
        <v>45418</v>
      </c>
      <c r="E1089" s="13" t="str">
        <f>+HYPERLINK("http://trademark.i-assist.jp/data/china/image_1886th/76876441.pdf","76876441")</f>
        <v>76876441</v>
      </c>
      <c r="F1089" s="7" t="s">
        <v>2964</v>
      </c>
      <c r="G1089" s="7" t="s">
        <v>2965</v>
      </c>
      <c r="H1089" s="7" t="s">
        <v>2966</v>
      </c>
      <c r="I1089" s="9">
        <v>45342</v>
      </c>
    </row>
    <row r="1090" spans="1:9" x14ac:dyDescent="0.15">
      <c r="A1090" s="6">
        <v>1089</v>
      </c>
      <c r="B1090" s="7" t="s">
        <v>9</v>
      </c>
      <c r="C1090" s="8">
        <v>1886</v>
      </c>
      <c r="D1090" s="9">
        <v>45418</v>
      </c>
      <c r="E1090" s="13" t="str">
        <f>+HYPERLINK("http://trademark.i-assist.jp/data/china/image_1886th/76876467.pdf","76876467")</f>
        <v>76876467</v>
      </c>
      <c r="F1090" s="7" t="s">
        <v>2967</v>
      </c>
      <c r="G1090" s="7" t="s">
        <v>2968</v>
      </c>
      <c r="H1090" s="7" t="s">
        <v>2969</v>
      </c>
      <c r="I1090" s="9">
        <v>45342</v>
      </c>
    </row>
    <row r="1091" spans="1:9" x14ac:dyDescent="0.15">
      <c r="A1091" s="6">
        <v>1090</v>
      </c>
      <c r="B1091" s="7" t="s">
        <v>9</v>
      </c>
      <c r="C1091" s="8">
        <v>1886</v>
      </c>
      <c r="D1091" s="9">
        <v>45418</v>
      </c>
      <c r="E1091" s="13" t="str">
        <f>+HYPERLINK("http://trademark.i-assist.jp/data/china/image_1886th/76876798.pdf","76876798")</f>
        <v>76876798</v>
      </c>
      <c r="F1091" s="7" t="s">
        <v>2970</v>
      </c>
      <c r="G1091" s="7" t="s">
        <v>2834</v>
      </c>
      <c r="H1091" s="7" t="s">
        <v>2971</v>
      </c>
      <c r="I1091" s="9">
        <v>45342</v>
      </c>
    </row>
    <row r="1092" spans="1:9" ht="27" x14ac:dyDescent="0.15">
      <c r="A1092" s="6">
        <v>1091</v>
      </c>
      <c r="B1092" s="7" t="s">
        <v>9</v>
      </c>
      <c r="C1092" s="8">
        <v>1886</v>
      </c>
      <c r="D1092" s="9">
        <v>45418</v>
      </c>
      <c r="E1092" s="13" t="str">
        <f>+HYPERLINK("http://trademark.i-assist.jp/data/china/image_1886th/76876812.pdf","76876812")</f>
        <v>76876812</v>
      </c>
      <c r="F1092" s="7" t="s">
        <v>2972</v>
      </c>
      <c r="G1092" s="7" t="s">
        <v>2973</v>
      </c>
      <c r="H1092" s="7" t="s">
        <v>2974</v>
      </c>
      <c r="I1092" s="9">
        <v>45342</v>
      </c>
    </row>
    <row r="1093" spans="1:9" x14ac:dyDescent="0.15">
      <c r="A1093" s="6">
        <v>1092</v>
      </c>
      <c r="B1093" s="7" t="s">
        <v>9</v>
      </c>
      <c r="C1093" s="8">
        <v>1886</v>
      </c>
      <c r="D1093" s="9">
        <v>45418</v>
      </c>
      <c r="E1093" s="13" t="str">
        <f>+HYPERLINK("http://trademark.i-assist.jp/data/china/image_1886th/76876855.pdf","76876855")</f>
        <v>76876855</v>
      </c>
      <c r="F1093" s="7" t="s">
        <v>2975</v>
      </c>
      <c r="G1093" s="7" t="s">
        <v>2808</v>
      </c>
      <c r="H1093" s="7" t="s">
        <v>2976</v>
      </c>
      <c r="I1093" s="9">
        <v>45342</v>
      </c>
    </row>
    <row r="1094" spans="1:9" ht="27" x14ac:dyDescent="0.15">
      <c r="A1094" s="6">
        <v>1093</v>
      </c>
      <c r="B1094" s="7" t="s">
        <v>9</v>
      </c>
      <c r="C1094" s="8">
        <v>1886</v>
      </c>
      <c r="D1094" s="9">
        <v>45418</v>
      </c>
      <c r="E1094" s="13" t="str">
        <f>+HYPERLINK("http://trademark.i-assist.jp/data/china/image_1886th/76876895.pdf","76876895")</f>
        <v>76876895</v>
      </c>
      <c r="F1094" s="7" t="s">
        <v>2977</v>
      </c>
      <c r="G1094" s="7" t="s">
        <v>2978</v>
      </c>
      <c r="H1094" s="7" t="s">
        <v>2979</v>
      </c>
      <c r="I1094" s="9">
        <v>45342</v>
      </c>
    </row>
    <row r="1095" spans="1:9" x14ac:dyDescent="0.15">
      <c r="A1095" s="6">
        <v>1094</v>
      </c>
      <c r="B1095" s="7" t="s">
        <v>9</v>
      </c>
      <c r="C1095" s="8">
        <v>1886</v>
      </c>
      <c r="D1095" s="9">
        <v>45418</v>
      </c>
      <c r="E1095" s="13" t="str">
        <f>+HYPERLINK("http://trademark.i-assist.jp/data/china/image_1886th/76877294.pdf","76877294")</f>
        <v>76877294</v>
      </c>
      <c r="F1095" s="7" t="s">
        <v>2980</v>
      </c>
      <c r="G1095" s="7" t="s">
        <v>2981</v>
      </c>
      <c r="H1095" s="7" t="s">
        <v>2982</v>
      </c>
      <c r="I1095" s="9">
        <v>45342</v>
      </c>
    </row>
    <row r="1096" spans="1:9" x14ac:dyDescent="0.15">
      <c r="A1096" s="6">
        <v>1095</v>
      </c>
      <c r="B1096" s="7" t="s">
        <v>9</v>
      </c>
      <c r="C1096" s="8">
        <v>1886</v>
      </c>
      <c r="D1096" s="9">
        <v>45418</v>
      </c>
      <c r="E1096" s="13" t="str">
        <f>+HYPERLINK("http://trademark.i-assist.jp/data/china/image_1886th/76877391.pdf","76877391")</f>
        <v>76877391</v>
      </c>
      <c r="F1096" s="7" t="s">
        <v>2983</v>
      </c>
      <c r="G1096" s="7" t="s">
        <v>2984</v>
      </c>
      <c r="H1096" s="7" t="s">
        <v>2985</v>
      </c>
      <c r="I1096" s="9">
        <v>45342</v>
      </c>
    </row>
    <row r="1097" spans="1:9" x14ac:dyDescent="0.15">
      <c r="A1097" s="6">
        <v>1096</v>
      </c>
      <c r="B1097" s="7" t="s">
        <v>9</v>
      </c>
      <c r="C1097" s="8">
        <v>1886</v>
      </c>
      <c r="D1097" s="9">
        <v>45418</v>
      </c>
      <c r="E1097" s="13" t="str">
        <f>+HYPERLINK("http://trademark.i-assist.jp/data/china/image_1886th/76877621.pdf","76877621")</f>
        <v>76877621</v>
      </c>
      <c r="F1097" s="7" t="s">
        <v>2986</v>
      </c>
      <c r="G1097" s="7" t="s">
        <v>2987</v>
      </c>
      <c r="H1097" s="7" t="s">
        <v>2988</v>
      </c>
      <c r="I1097" s="9">
        <v>45342</v>
      </c>
    </row>
    <row r="1098" spans="1:9" x14ac:dyDescent="0.15">
      <c r="A1098" s="6">
        <v>1097</v>
      </c>
      <c r="B1098" s="7" t="s">
        <v>9</v>
      </c>
      <c r="C1098" s="8">
        <v>1886</v>
      </c>
      <c r="D1098" s="9">
        <v>45418</v>
      </c>
      <c r="E1098" s="13" t="str">
        <f>+HYPERLINK("http://trademark.i-assist.jp/data/china/image_1886th/76878435.pdf","76878435")</f>
        <v>76878435</v>
      </c>
      <c r="F1098" s="7" t="s">
        <v>2989</v>
      </c>
      <c r="G1098" s="7" t="s">
        <v>2990</v>
      </c>
      <c r="H1098" s="7" t="s">
        <v>2991</v>
      </c>
      <c r="I1098" s="9">
        <v>45342</v>
      </c>
    </row>
    <row r="1099" spans="1:9" x14ac:dyDescent="0.15">
      <c r="A1099" s="6">
        <v>1098</v>
      </c>
      <c r="B1099" s="7" t="s">
        <v>9</v>
      </c>
      <c r="C1099" s="8">
        <v>1886</v>
      </c>
      <c r="D1099" s="9">
        <v>45418</v>
      </c>
      <c r="E1099" s="13" t="str">
        <f>+HYPERLINK("http://trademark.i-assist.jp/data/china/image_1886th/76878860.pdf","76878860")</f>
        <v>76878860</v>
      </c>
      <c r="F1099" s="7" t="s">
        <v>2992</v>
      </c>
      <c r="G1099" s="7" t="s">
        <v>2993</v>
      </c>
      <c r="H1099" s="7" t="s">
        <v>2994</v>
      </c>
      <c r="I1099" s="9">
        <v>45342</v>
      </c>
    </row>
    <row r="1100" spans="1:9" x14ac:dyDescent="0.15">
      <c r="A1100" s="6">
        <v>1099</v>
      </c>
      <c r="B1100" s="7" t="s">
        <v>9</v>
      </c>
      <c r="C1100" s="8">
        <v>1886</v>
      </c>
      <c r="D1100" s="9">
        <v>45418</v>
      </c>
      <c r="E1100" s="13" t="str">
        <f>+HYPERLINK("http://trademark.i-assist.jp/data/china/image_1886th/76878896.pdf","76878896")</f>
        <v>76878896</v>
      </c>
      <c r="F1100" s="7" t="s">
        <v>2995</v>
      </c>
      <c r="G1100" s="7" t="s">
        <v>2813</v>
      </c>
      <c r="H1100" s="7" t="s">
        <v>2996</v>
      </c>
      <c r="I1100" s="9">
        <v>45342</v>
      </c>
    </row>
    <row r="1101" spans="1:9" x14ac:dyDescent="0.15">
      <c r="A1101" s="6">
        <v>1100</v>
      </c>
      <c r="B1101" s="7" t="s">
        <v>9</v>
      </c>
      <c r="C1101" s="8">
        <v>1886</v>
      </c>
      <c r="D1101" s="9">
        <v>45418</v>
      </c>
      <c r="E1101" s="13" t="str">
        <f>+HYPERLINK("http://trademark.i-assist.jp/data/china/image_1886th/76879121.pdf","76879121")</f>
        <v>76879121</v>
      </c>
      <c r="F1101" s="7" t="s">
        <v>2997</v>
      </c>
      <c r="G1101" s="7" t="s">
        <v>2998</v>
      </c>
      <c r="H1101" s="7" t="s">
        <v>2999</v>
      </c>
      <c r="I1101" s="9">
        <v>45342</v>
      </c>
    </row>
    <row r="1102" spans="1:9" ht="27" x14ac:dyDescent="0.15">
      <c r="A1102" s="6">
        <v>1101</v>
      </c>
      <c r="B1102" s="7" t="s">
        <v>9</v>
      </c>
      <c r="C1102" s="8">
        <v>1886</v>
      </c>
      <c r="D1102" s="9">
        <v>45418</v>
      </c>
      <c r="E1102" s="13" t="str">
        <f>+HYPERLINK("http://trademark.i-assist.jp/data/china/image_1886th/76879267.pdf","76879267")</f>
        <v>76879267</v>
      </c>
      <c r="F1102" s="7" t="s">
        <v>3000</v>
      </c>
      <c r="G1102" s="7" t="s">
        <v>3001</v>
      </c>
      <c r="H1102" s="7" t="s">
        <v>3002</v>
      </c>
      <c r="I1102" s="9">
        <v>45342</v>
      </c>
    </row>
    <row r="1103" spans="1:9" x14ac:dyDescent="0.15">
      <c r="A1103" s="6">
        <v>1102</v>
      </c>
      <c r="B1103" s="7" t="s">
        <v>9</v>
      </c>
      <c r="C1103" s="8">
        <v>1886</v>
      </c>
      <c r="D1103" s="9">
        <v>45418</v>
      </c>
      <c r="E1103" s="13" t="str">
        <f>+HYPERLINK("http://trademark.i-assist.jp/data/china/image_1886th/76879349.pdf","76879349")</f>
        <v>76879349</v>
      </c>
      <c r="F1103" s="7" t="s">
        <v>3003</v>
      </c>
      <c r="G1103" s="7" t="s">
        <v>3004</v>
      </c>
      <c r="H1103" s="7" t="s">
        <v>3005</v>
      </c>
      <c r="I1103" s="9">
        <v>45342</v>
      </c>
    </row>
    <row r="1104" spans="1:9" x14ac:dyDescent="0.15">
      <c r="A1104" s="6">
        <v>1103</v>
      </c>
      <c r="B1104" s="7" t="s">
        <v>9</v>
      </c>
      <c r="C1104" s="8">
        <v>1886</v>
      </c>
      <c r="D1104" s="9">
        <v>45418</v>
      </c>
      <c r="E1104" s="13" t="str">
        <f>+HYPERLINK("http://trademark.i-assist.jp/data/china/image_1886th/76879357.pdf","76879357")</f>
        <v>76879357</v>
      </c>
      <c r="F1104" s="7" t="s">
        <v>33</v>
      </c>
      <c r="G1104" s="7" t="s">
        <v>1842</v>
      </c>
      <c r="H1104" s="7" t="s">
        <v>3006</v>
      </c>
      <c r="I1104" s="9">
        <v>45342</v>
      </c>
    </row>
    <row r="1105" spans="1:9" x14ac:dyDescent="0.15">
      <c r="A1105" s="6">
        <v>1104</v>
      </c>
      <c r="B1105" s="7" t="s">
        <v>9</v>
      </c>
      <c r="C1105" s="8">
        <v>1886</v>
      </c>
      <c r="D1105" s="9">
        <v>45418</v>
      </c>
      <c r="E1105" s="13" t="str">
        <f>+HYPERLINK("http://trademark.i-assist.jp/data/china/image_1886th/76879427.pdf","76879427")</f>
        <v>76879427</v>
      </c>
      <c r="F1105" s="7" t="s">
        <v>33</v>
      </c>
      <c r="G1105" s="7" t="s">
        <v>3007</v>
      </c>
      <c r="H1105" s="7" t="s">
        <v>3008</v>
      </c>
      <c r="I1105" s="9">
        <v>45342</v>
      </c>
    </row>
    <row r="1106" spans="1:9" x14ac:dyDescent="0.15">
      <c r="A1106" s="6">
        <v>1105</v>
      </c>
      <c r="B1106" s="7" t="s">
        <v>9</v>
      </c>
      <c r="C1106" s="8">
        <v>1886</v>
      </c>
      <c r="D1106" s="9">
        <v>45418</v>
      </c>
      <c r="E1106" s="13" t="str">
        <f>+HYPERLINK("http://trademark.i-assist.jp/data/china/image_1886th/76880033.pdf","76880033")</f>
        <v>76880033</v>
      </c>
      <c r="F1106" s="7" t="s">
        <v>3009</v>
      </c>
      <c r="G1106" s="7" t="s">
        <v>3010</v>
      </c>
      <c r="H1106" s="7" t="s">
        <v>3011</v>
      </c>
      <c r="I1106" s="9">
        <v>45342</v>
      </c>
    </row>
    <row r="1107" spans="1:9" x14ac:dyDescent="0.15">
      <c r="A1107" s="6">
        <v>1106</v>
      </c>
      <c r="B1107" s="7" t="s">
        <v>9</v>
      </c>
      <c r="C1107" s="8">
        <v>1886</v>
      </c>
      <c r="D1107" s="9">
        <v>45418</v>
      </c>
      <c r="E1107" s="13" t="str">
        <f>+HYPERLINK("http://trademark.i-assist.jp/data/china/image_1886th/76880255.pdf","76880255")</f>
        <v>76880255</v>
      </c>
      <c r="F1107" s="7" t="s">
        <v>3012</v>
      </c>
      <c r="G1107" s="7" t="s">
        <v>2808</v>
      </c>
      <c r="H1107" s="7" t="s">
        <v>3013</v>
      </c>
      <c r="I1107" s="9">
        <v>45342</v>
      </c>
    </row>
    <row r="1108" spans="1:9" x14ac:dyDescent="0.15">
      <c r="A1108" s="6">
        <v>1107</v>
      </c>
      <c r="B1108" s="7" t="s">
        <v>9</v>
      </c>
      <c r="C1108" s="8">
        <v>1886</v>
      </c>
      <c r="D1108" s="9">
        <v>45418</v>
      </c>
      <c r="E1108" s="13" t="str">
        <f>+HYPERLINK("http://trademark.i-assist.jp/data/china/image_1886th/76880419.pdf","76880419")</f>
        <v>76880419</v>
      </c>
      <c r="F1108" s="7" t="s">
        <v>3014</v>
      </c>
      <c r="G1108" s="7" t="s">
        <v>2813</v>
      </c>
      <c r="H1108" s="7" t="s">
        <v>3015</v>
      </c>
      <c r="I1108" s="9">
        <v>45342</v>
      </c>
    </row>
    <row r="1109" spans="1:9" x14ac:dyDescent="0.15">
      <c r="A1109" s="6">
        <v>1108</v>
      </c>
      <c r="B1109" s="7" t="s">
        <v>9</v>
      </c>
      <c r="C1109" s="8">
        <v>1886</v>
      </c>
      <c r="D1109" s="9">
        <v>45418</v>
      </c>
      <c r="E1109" s="13" t="str">
        <f>+HYPERLINK("http://trademark.i-assist.jp/data/china/image_1886th/76880426.pdf","76880426")</f>
        <v>76880426</v>
      </c>
      <c r="F1109" s="7" t="s">
        <v>3016</v>
      </c>
      <c r="G1109" s="7" t="s">
        <v>3017</v>
      </c>
      <c r="H1109" s="7" t="s">
        <v>3018</v>
      </c>
      <c r="I1109" s="9">
        <v>45342</v>
      </c>
    </row>
    <row r="1110" spans="1:9" x14ac:dyDescent="0.15">
      <c r="A1110" s="6">
        <v>1109</v>
      </c>
      <c r="B1110" s="7" t="s">
        <v>9</v>
      </c>
      <c r="C1110" s="8">
        <v>1886</v>
      </c>
      <c r="D1110" s="9">
        <v>45418</v>
      </c>
      <c r="E1110" s="13" t="str">
        <f>+HYPERLINK("http://trademark.i-assist.jp/data/china/image_1886th/76880709.pdf","76880709")</f>
        <v>76880709</v>
      </c>
      <c r="F1110" s="7" t="s">
        <v>3019</v>
      </c>
      <c r="G1110" s="7" t="s">
        <v>2891</v>
      </c>
      <c r="H1110" s="7" t="s">
        <v>3020</v>
      </c>
      <c r="I1110" s="9">
        <v>45342</v>
      </c>
    </row>
    <row r="1111" spans="1:9" ht="27" x14ac:dyDescent="0.15">
      <c r="A1111" s="6">
        <v>1110</v>
      </c>
      <c r="B1111" s="7" t="s">
        <v>9</v>
      </c>
      <c r="C1111" s="8">
        <v>1886</v>
      </c>
      <c r="D1111" s="9">
        <v>45418</v>
      </c>
      <c r="E1111" s="13" t="str">
        <f>+HYPERLINK("http://trademark.i-assist.jp/data/china/image_1886th/76880935.pdf","76880935")</f>
        <v>76880935</v>
      </c>
      <c r="F1111" s="7" t="s">
        <v>3021</v>
      </c>
      <c r="G1111" s="7" t="s">
        <v>3022</v>
      </c>
      <c r="H1111" s="7" t="s">
        <v>3023</v>
      </c>
      <c r="I1111" s="9">
        <v>45342</v>
      </c>
    </row>
    <row r="1112" spans="1:9" ht="27" x14ac:dyDescent="0.15">
      <c r="A1112" s="6">
        <v>1111</v>
      </c>
      <c r="B1112" s="7" t="s">
        <v>9</v>
      </c>
      <c r="C1112" s="8">
        <v>1886</v>
      </c>
      <c r="D1112" s="9">
        <v>45418</v>
      </c>
      <c r="E1112" s="13" t="str">
        <f>+HYPERLINK("http://trademark.i-assist.jp/data/china/image_1886th/76881036.pdf","76881036")</f>
        <v>76881036</v>
      </c>
      <c r="F1112" s="7" t="s">
        <v>3024</v>
      </c>
      <c r="G1112" s="7" t="s">
        <v>3025</v>
      </c>
      <c r="H1112" s="7" t="s">
        <v>3026</v>
      </c>
      <c r="I1112" s="9">
        <v>45342</v>
      </c>
    </row>
    <row r="1113" spans="1:9" x14ac:dyDescent="0.15">
      <c r="A1113" s="6">
        <v>1112</v>
      </c>
      <c r="B1113" s="7" t="s">
        <v>9</v>
      </c>
      <c r="C1113" s="8">
        <v>1886</v>
      </c>
      <c r="D1113" s="9">
        <v>45418</v>
      </c>
      <c r="E1113" s="13" t="str">
        <f>+HYPERLINK("http://trademark.i-assist.jp/data/china/image_1886th/76881173.pdf","76881173")</f>
        <v>76881173</v>
      </c>
      <c r="F1113" s="7" t="s">
        <v>3027</v>
      </c>
      <c r="G1113" s="7" t="s">
        <v>2779</v>
      </c>
      <c r="H1113" s="7" t="s">
        <v>3028</v>
      </c>
      <c r="I1113" s="9">
        <v>45342</v>
      </c>
    </row>
    <row r="1114" spans="1:9" x14ac:dyDescent="0.15">
      <c r="A1114" s="6">
        <v>1113</v>
      </c>
      <c r="B1114" s="7" t="s">
        <v>9</v>
      </c>
      <c r="C1114" s="8">
        <v>1886</v>
      </c>
      <c r="D1114" s="9">
        <v>45418</v>
      </c>
      <c r="E1114" s="13" t="str">
        <f>+HYPERLINK("http://trademark.i-assist.jp/data/china/image_1886th/76881393.pdf","76881393")</f>
        <v>76881393</v>
      </c>
      <c r="F1114" s="7" t="s">
        <v>3029</v>
      </c>
      <c r="G1114" s="7" t="s">
        <v>3030</v>
      </c>
      <c r="H1114" s="7" t="s">
        <v>3031</v>
      </c>
      <c r="I1114" s="9">
        <v>45342</v>
      </c>
    </row>
    <row r="1115" spans="1:9" x14ac:dyDescent="0.15">
      <c r="A1115" s="6">
        <v>1114</v>
      </c>
      <c r="B1115" s="7" t="s">
        <v>9</v>
      </c>
      <c r="C1115" s="8">
        <v>1886</v>
      </c>
      <c r="D1115" s="9">
        <v>45418</v>
      </c>
      <c r="E1115" s="13" t="str">
        <f>+HYPERLINK("http://trademark.i-assist.jp/data/china/image_1886th/76881680.pdf","76881680")</f>
        <v>76881680</v>
      </c>
      <c r="F1115" s="7" t="s">
        <v>3032</v>
      </c>
      <c r="G1115" s="7" t="s">
        <v>1907</v>
      </c>
      <c r="H1115" s="7" t="s">
        <v>3033</v>
      </c>
      <c r="I1115" s="9">
        <v>45343</v>
      </c>
    </row>
    <row r="1116" spans="1:9" ht="27" x14ac:dyDescent="0.15">
      <c r="A1116" s="6">
        <v>1115</v>
      </c>
      <c r="B1116" s="7" t="s">
        <v>9</v>
      </c>
      <c r="C1116" s="8">
        <v>1886</v>
      </c>
      <c r="D1116" s="9">
        <v>45418</v>
      </c>
      <c r="E1116" s="13" t="str">
        <f>+HYPERLINK("http://trademark.i-assist.jp/data/china/image_1886th/76882055.pdf","76882055")</f>
        <v>76882055</v>
      </c>
      <c r="F1116" s="7" t="s">
        <v>3034</v>
      </c>
      <c r="G1116" s="7" t="s">
        <v>3035</v>
      </c>
      <c r="H1116" s="7" t="s">
        <v>3036</v>
      </c>
      <c r="I1116" s="9">
        <v>45343</v>
      </c>
    </row>
    <row r="1117" spans="1:9" ht="27" x14ac:dyDescent="0.15">
      <c r="A1117" s="6">
        <v>1116</v>
      </c>
      <c r="B1117" s="7" t="s">
        <v>9</v>
      </c>
      <c r="C1117" s="8">
        <v>1886</v>
      </c>
      <c r="D1117" s="9">
        <v>45418</v>
      </c>
      <c r="E1117" s="13" t="str">
        <f>+HYPERLINK("http://trademark.i-assist.jp/data/china/image_1886th/76882152.pdf","76882152")</f>
        <v>76882152</v>
      </c>
      <c r="F1117" s="7" t="s">
        <v>3037</v>
      </c>
      <c r="G1117" s="7" t="s">
        <v>3038</v>
      </c>
      <c r="H1117" s="7" t="s">
        <v>3039</v>
      </c>
      <c r="I1117" s="9">
        <v>45343</v>
      </c>
    </row>
    <row r="1118" spans="1:9" x14ac:dyDescent="0.15">
      <c r="A1118" s="6">
        <v>1117</v>
      </c>
      <c r="B1118" s="7" t="s">
        <v>9</v>
      </c>
      <c r="C1118" s="8">
        <v>1886</v>
      </c>
      <c r="D1118" s="9">
        <v>45418</v>
      </c>
      <c r="E1118" s="13" t="str">
        <f>+HYPERLINK("http://trademark.i-assist.jp/data/china/image_1886th/76882276.pdf","76882276")</f>
        <v>76882276</v>
      </c>
      <c r="F1118" s="7" t="s">
        <v>3040</v>
      </c>
      <c r="G1118" s="7" t="s">
        <v>3041</v>
      </c>
      <c r="H1118" s="7" t="s">
        <v>3042</v>
      </c>
      <c r="I1118" s="9">
        <v>45343</v>
      </c>
    </row>
    <row r="1119" spans="1:9" ht="27" x14ac:dyDescent="0.15">
      <c r="A1119" s="6">
        <v>1118</v>
      </c>
      <c r="B1119" s="7" t="s">
        <v>9</v>
      </c>
      <c r="C1119" s="8">
        <v>1886</v>
      </c>
      <c r="D1119" s="9">
        <v>45418</v>
      </c>
      <c r="E1119" s="13" t="str">
        <f>+HYPERLINK("http://trademark.i-assist.jp/data/china/image_1886th/76882553.pdf","76882553")</f>
        <v>76882553</v>
      </c>
      <c r="F1119" s="7" t="s">
        <v>3043</v>
      </c>
      <c r="G1119" s="7" t="s">
        <v>3044</v>
      </c>
      <c r="H1119" s="7" t="s">
        <v>3045</v>
      </c>
      <c r="I1119" s="9">
        <v>45343</v>
      </c>
    </row>
    <row r="1120" spans="1:9" x14ac:dyDescent="0.15">
      <c r="A1120" s="6">
        <v>1119</v>
      </c>
      <c r="B1120" s="7" t="s">
        <v>9</v>
      </c>
      <c r="C1120" s="8">
        <v>1886</v>
      </c>
      <c r="D1120" s="9">
        <v>45418</v>
      </c>
      <c r="E1120" s="13" t="str">
        <f>+HYPERLINK("http://trademark.i-assist.jp/data/china/image_1886th/76883180.pdf","76883180")</f>
        <v>76883180</v>
      </c>
      <c r="F1120" s="7" t="s">
        <v>3046</v>
      </c>
      <c r="G1120" s="7" t="s">
        <v>3047</v>
      </c>
      <c r="H1120" s="7" t="s">
        <v>3048</v>
      </c>
      <c r="I1120" s="9">
        <v>45343</v>
      </c>
    </row>
    <row r="1121" spans="1:9" x14ac:dyDescent="0.15">
      <c r="A1121" s="6">
        <v>1120</v>
      </c>
      <c r="B1121" s="7" t="s">
        <v>9</v>
      </c>
      <c r="C1121" s="8">
        <v>1886</v>
      </c>
      <c r="D1121" s="9">
        <v>45418</v>
      </c>
      <c r="E1121" s="13" t="str">
        <f>+HYPERLINK("http://trademark.i-assist.jp/data/china/image_1886th/76883221.pdf","76883221")</f>
        <v>76883221</v>
      </c>
      <c r="F1121" s="7" t="s">
        <v>3049</v>
      </c>
      <c r="G1121" s="7" t="s">
        <v>3050</v>
      </c>
      <c r="H1121" s="7" t="s">
        <v>3051</v>
      </c>
      <c r="I1121" s="9">
        <v>45343</v>
      </c>
    </row>
    <row r="1122" spans="1:9" x14ac:dyDescent="0.15">
      <c r="A1122" s="6">
        <v>1121</v>
      </c>
      <c r="B1122" s="7" t="s">
        <v>9</v>
      </c>
      <c r="C1122" s="8">
        <v>1886</v>
      </c>
      <c r="D1122" s="9">
        <v>45418</v>
      </c>
      <c r="E1122" s="13" t="str">
        <f>+HYPERLINK("http://trademark.i-assist.jp/data/china/image_1886th/76883266.pdf","76883266")</f>
        <v>76883266</v>
      </c>
      <c r="F1122" s="7" t="s">
        <v>3052</v>
      </c>
      <c r="G1122" s="7" t="s">
        <v>3053</v>
      </c>
      <c r="H1122" s="7" t="s">
        <v>3054</v>
      </c>
      <c r="I1122" s="9">
        <v>45343</v>
      </c>
    </row>
    <row r="1123" spans="1:9" x14ac:dyDescent="0.15">
      <c r="A1123" s="6">
        <v>1122</v>
      </c>
      <c r="B1123" s="7" t="s">
        <v>9</v>
      </c>
      <c r="C1123" s="8">
        <v>1886</v>
      </c>
      <c r="D1123" s="9">
        <v>45418</v>
      </c>
      <c r="E1123" s="13" t="str">
        <f>+HYPERLINK("http://trademark.i-assist.jp/data/china/image_1886th/76883383.pdf","76883383")</f>
        <v>76883383</v>
      </c>
      <c r="F1123" s="7" t="s">
        <v>3055</v>
      </c>
      <c r="G1123" s="7" t="s">
        <v>3056</v>
      </c>
      <c r="H1123" s="7" t="s">
        <v>3057</v>
      </c>
      <c r="I1123" s="9">
        <v>45343</v>
      </c>
    </row>
    <row r="1124" spans="1:9" x14ac:dyDescent="0.15">
      <c r="A1124" s="6">
        <v>1123</v>
      </c>
      <c r="B1124" s="7" t="s">
        <v>9</v>
      </c>
      <c r="C1124" s="8">
        <v>1886</v>
      </c>
      <c r="D1124" s="9">
        <v>45418</v>
      </c>
      <c r="E1124" s="13" t="str">
        <f>+HYPERLINK("http://trademark.i-assist.jp/data/china/image_1886th/76884465.pdf","76884465")</f>
        <v>76884465</v>
      </c>
      <c r="F1124" s="7" t="s">
        <v>33</v>
      </c>
      <c r="G1124" s="7" t="s">
        <v>3058</v>
      </c>
      <c r="H1124" s="7" t="s">
        <v>3059</v>
      </c>
      <c r="I1124" s="9">
        <v>45343</v>
      </c>
    </row>
    <row r="1125" spans="1:9" x14ac:dyDescent="0.15">
      <c r="A1125" s="6">
        <v>1124</v>
      </c>
      <c r="B1125" s="7" t="s">
        <v>9</v>
      </c>
      <c r="C1125" s="8">
        <v>1886</v>
      </c>
      <c r="D1125" s="9">
        <v>45418</v>
      </c>
      <c r="E1125" s="13" t="str">
        <f>+HYPERLINK("http://trademark.i-assist.jp/data/china/image_1886th/76884589.pdf","76884589")</f>
        <v>76884589</v>
      </c>
      <c r="F1125" s="7" t="s">
        <v>3060</v>
      </c>
      <c r="G1125" s="7" t="s">
        <v>3061</v>
      </c>
      <c r="H1125" s="7" t="s">
        <v>3062</v>
      </c>
      <c r="I1125" s="9">
        <v>45343</v>
      </c>
    </row>
    <row r="1126" spans="1:9" x14ac:dyDescent="0.15">
      <c r="A1126" s="6">
        <v>1125</v>
      </c>
      <c r="B1126" s="7" t="s">
        <v>9</v>
      </c>
      <c r="C1126" s="8">
        <v>1886</v>
      </c>
      <c r="D1126" s="9">
        <v>45418</v>
      </c>
      <c r="E1126" s="13" t="str">
        <f>+HYPERLINK("http://trademark.i-assist.jp/data/china/image_1886th/76884696.pdf","76884696")</f>
        <v>76884696</v>
      </c>
      <c r="F1126" s="7" t="s">
        <v>33</v>
      </c>
      <c r="G1126" s="7" t="s">
        <v>3063</v>
      </c>
      <c r="H1126" s="7" t="s">
        <v>3064</v>
      </c>
      <c r="I1126" s="9">
        <v>45343</v>
      </c>
    </row>
    <row r="1127" spans="1:9" x14ac:dyDescent="0.15">
      <c r="A1127" s="6">
        <v>1126</v>
      </c>
      <c r="B1127" s="7" t="s">
        <v>9</v>
      </c>
      <c r="C1127" s="8">
        <v>1886</v>
      </c>
      <c r="D1127" s="9">
        <v>45418</v>
      </c>
      <c r="E1127" s="13" t="str">
        <f>+HYPERLINK("http://trademark.i-assist.jp/data/china/image_1886th/76884775.pdf","76884775")</f>
        <v>76884775</v>
      </c>
      <c r="F1127" s="7" t="s">
        <v>3065</v>
      </c>
      <c r="G1127" s="7" t="s">
        <v>3066</v>
      </c>
      <c r="H1127" s="7" t="s">
        <v>3067</v>
      </c>
      <c r="I1127" s="9">
        <v>45343</v>
      </c>
    </row>
    <row r="1128" spans="1:9" x14ac:dyDescent="0.15">
      <c r="A1128" s="6">
        <v>1127</v>
      </c>
      <c r="B1128" s="7" t="s">
        <v>9</v>
      </c>
      <c r="C1128" s="8">
        <v>1886</v>
      </c>
      <c r="D1128" s="9">
        <v>45418</v>
      </c>
      <c r="E1128" s="13" t="str">
        <f>+HYPERLINK("http://trademark.i-assist.jp/data/china/image_1886th/76884778.pdf","76884778")</f>
        <v>76884778</v>
      </c>
      <c r="F1128" s="7" t="s">
        <v>3068</v>
      </c>
      <c r="G1128" s="7" t="s">
        <v>2326</v>
      </c>
      <c r="H1128" s="7" t="s">
        <v>3069</v>
      </c>
      <c r="I1128" s="9">
        <v>45343</v>
      </c>
    </row>
    <row r="1129" spans="1:9" x14ac:dyDescent="0.15">
      <c r="A1129" s="6">
        <v>1128</v>
      </c>
      <c r="B1129" s="7" t="s">
        <v>9</v>
      </c>
      <c r="C1129" s="8">
        <v>1886</v>
      </c>
      <c r="D1129" s="9">
        <v>45418</v>
      </c>
      <c r="E1129" s="13" t="str">
        <f>+HYPERLINK("http://trademark.i-assist.jp/data/china/image_1886th/76885485.pdf","76885485")</f>
        <v>76885485</v>
      </c>
      <c r="F1129" s="7" t="s">
        <v>33</v>
      </c>
      <c r="G1129" s="7" t="s">
        <v>3070</v>
      </c>
      <c r="H1129" s="7" t="s">
        <v>3071</v>
      </c>
      <c r="I1129" s="9">
        <v>45343</v>
      </c>
    </row>
    <row r="1130" spans="1:9" x14ac:dyDescent="0.15">
      <c r="A1130" s="6">
        <v>1129</v>
      </c>
      <c r="B1130" s="7" t="s">
        <v>9</v>
      </c>
      <c r="C1130" s="8">
        <v>1886</v>
      </c>
      <c r="D1130" s="9">
        <v>45418</v>
      </c>
      <c r="E1130" s="13" t="str">
        <f>+HYPERLINK("http://trademark.i-assist.jp/data/china/image_1886th/76886569.pdf","76886569")</f>
        <v>76886569</v>
      </c>
      <c r="F1130" s="7" t="s">
        <v>3055</v>
      </c>
      <c r="G1130" s="7" t="s">
        <v>3056</v>
      </c>
      <c r="H1130" s="7" t="s">
        <v>3072</v>
      </c>
      <c r="I1130" s="9">
        <v>45343</v>
      </c>
    </row>
    <row r="1131" spans="1:9" ht="27" x14ac:dyDescent="0.15">
      <c r="A1131" s="6">
        <v>1130</v>
      </c>
      <c r="B1131" s="7" t="s">
        <v>9</v>
      </c>
      <c r="C1131" s="8">
        <v>1886</v>
      </c>
      <c r="D1131" s="9">
        <v>45418</v>
      </c>
      <c r="E1131" s="13" t="str">
        <f>+HYPERLINK("http://trademark.i-assist.jp/data/china/image_1886th/76887492.pdf","76887492")</f>
        <v>76887492</v>
      </c>
      <c r="F1131" s="7" t="s">
        <v>3073</v>
      </c>
      <c r="G1131" s="7" t="s">
        <v>3074</v>
      </c>
      <c r="H1131" s="7" t="s">
        <v>3075</v>
      </c>
      <c r="I1131" s="9">
        <v>45343</v>
      </c>
    </row>
    <row r="1132" spans="1:9" x14ac:dyDescent="0.15">
      <c r="A1132" s="6">
        <v>1131</v>
      </c>
      <c r="B1132" s="7" t="s">
        <v>9</v>
      </c>
      <c r="C1132" s="8">
        <v>1886</v>
      </c>
      <c r="D1132" s="9">
        <v>45418</v>
      </c>
      <c r="E1132" s="13" t="str">
        <f>+HYPERLINK("http://trademark.i-assist.jp/data/china/image_1886th/76887493.pdf","76887493")</f>
        <v>76887493</v>
      </c>
      <c r="F1132" s="7" t="s">
        <v>3076</v>
      </c>
      <c r="G1132" s="7" t="s">
        <v>2843</v>
      </c>
      <c r="H1132" s="7" t="s">
        <v>3077</v>
      </c>
      <c r="I1132" s="9">
        <v>45343</v>
      </c>
    </row>
    <row r="1133" spans="1:9" x14ac:dyDescent="0.15">
      <c r="A1133" s="6">
        <v>1132</v>
      </c>
      <c r="B1133" s="7" t="s">
        <v>9</v>
      </c>
      <c r="C1133" s="8">
        <v>1886</v>
      </c>
      <c r="D1133" s="9">
        <v>45418</v>
      </c>
      <c r="E1133" s="13" t="str">
        <f>+HYPERLINK("http://trademark.i-assist.jp/data/china/image_1886th/76887846.pdf","76887846")</f>
        <v>76887846</v>
      </c>
      <c r="F1133" s="7" t="s">
        <v>3078</v>
      </c>
      <c r="G1133" s="7" t="s">
        <v>3079</v>
      </c>
      <c r="H1133" s="7" t="s">
        <v>3080</v>
      </c>
      <c r="I1133" s="9">
        <v>45343</v>
      </c>
    </row>
    <row r="1134" spans="1:9" ht="27" x14ac:dyDescent="0.15">
      <c r="A1134" s="6">
        <v>1133</v>
      </c>
      <c r="B1134" s="7" t="s">
        <v>9</v>
      </c>
      <c r="C1134" s="8">
        <v>1886</v>
      </c>
      <c r="D1134" s="9">
        <v>45418</v>
      </c>
      <c r="E1134" s="13" t="str">
        <f>+HYPERLINK("http://trademark.i-assist.jp/data/china/image_1886th/76888534.pdf","76888534")</f>
        <v>76888534</v>
      </c>
      <c r="F1134" s="7" t="s">
        <v>3081</v>
      </c>
      <c r="G1134" s="7" t="s">
        <v>3082</v>
      </c>
      <c r="H1134" s="7" t="s">
        <v>3083</v>
      </c>
      <c r="I1134" s="9">
        <v>45343</v>
      </c>
    </row>
    <row r="1135" spans="1:9" x14ac:dyDescent="0.15">
      <c r="A1135" s="6">
        <v>1134</v>
      </c>
      <c r="B1135" s="7" t="s">
        <v>9</v>
      </c>
      <c r="C1135" s="8">
        <v>1886</v>
      </c>
      <c r="D1135" s="9">
        <v>45418</v>
      </c>
      <c r="E1135" s="13" t="str">
        <f>+HYPERLINK("http://trademark.i-assist.jp/data/china/image_1886th/76888557.pdf","76888557")</f>
        <v>76888557</v>
      </c>
      <c r="F1135" s="7" t="s">
        <v>33</v>
      </c>
      <c r="G1135" s="7" t="s">
        <v>3084</v>
      </c>
      <c r="H1135" s="7" t="s">
        <v>3085</v>
      </c>
      <c r="I1135" s="9">
        <v>45343</v>
      </c>
    </row>
    <row r="1136" spans="1:9" ht="27" x14ac:dyDescent="0.15">
      <c r="A1136" s="6">
        <v>1135</v>
      </c>
      <c r="B1136" s="7" t="s">
        <v>9</v>
      </c>
      <c r="C1136" s="8">
        <v>1886</v>
      </c>
      <c r="D1136" s="9">
        <v>45418</v>
      </c>
      <c r="E1136" s="13" t="str">
        <f>+HYPERLINK("http://trademark.i-assist.jp/data/china/image_1886th/76888819.pdf","76888819")</f>
        <v>76888819</v>
      </c>
      <c r="F1136" s="7" t="s">
        <v>3086</v>
      </c>
      <c r="G1136" s="7" t="s">
        <v>3087</v>
      </c>
      <c r="H1136" s="7" t="s">
        <v>3088</v>
      </c>
      <c r="I1136" s="9">
        <v>45343</v>
      </c>
    </row>
    <row r="1137" spans="1:9" x14ac:dyDescent="0.15">
      <c r="A1137" s="6">
        <v>1136</v>
      </c>
      <c r="B1137" s="7" t="s">
        <v>9</v>
      </c>
      <c r="C1137" s="8">
        <v>1886</v>
      </c>
      <c r="D1137" s="9">
        <v>45418</v>
      </c>
      <c r="E1137" s="13" t="str">
        <f>+HYPERLINK("http://trademark.i-assist.jp/data/china/image_1886th/76889107.pdf","76889107")</f>
        <v>76889107</v>
      </c>
      <c r="F1137" s="7" t="s">
        <v>3055</v>
      </c>
      <c r="G1137" s="7" t="s">
        <v>3056</v>
      </c>
      <c r="H1137" s="7" t="s">
        <v>3089</v>
      </c>
      <c r="I1137" s="9">
        <v>45343</v>
      </c>
    </row>
    <row r="1138" spans="1:9" x14ac:dyDescent="0.15">
      <c r="A1138" s="6">
        <v>1137</v>
      </c>
      <c r="B1138" s="7" t="s">
        <v>9</v>
      </c>
      <c r="C1138" s="8">
        <v>1886</v>
      </c>
      <c r="D1138" s="9">
        <v>45418</v>
      </c>
      <c r="E1138" s="13" t="str">
        <f>+HYPERLINK("http://trademark.i-assist.jp/data/china/image_1886th/76889440.pdf","76889440")</f>
        <v>76889440</v>
      </c>
      <c r="F1138" s="7" t="s">
        <v>3090</v>
      </c>
      <c r="G1138" s="7" t="s">
        <v>3091</v>
      </c>
      <c r="H1138" s="7" t="s">
        <v>10</v>
      </c>
      <c r="I1138" s="9">
        <v>45343</v>
      </c>
    </row>
    <row r="1139" spans="1:9" ht="27" x14ac:dyDescent="0.15">
      <c r="A1139" s="6">
        <v>1138</v>
      </c>
      <c r="B1139" s="7" t="s">
        <v>9</v>
      </c>
      <c r="C1139" s="8">
        <v>1886</v>
      </c>
      <c r="D1139" s="9">
        <v>45418</v>
      </c>
      <c r="E1139" s="13" t="str">
        <f>+HYPERLINK("http://trademark.i-assist.jp/data/china/image_1886th/76889969.pdf","76889969")</f>
        <v>76889969</v>
      </c>
      <c r="F1139" s="7" t="s">
        <v>3092</v>
      </c>
      <c r="G1139" s="7" t="s">
        <v>3093</v>
      </c>
      <c r="H1139" s="7" t="s">
        <v>3094</v>
      </c>
      <c r="I1139" s="9">
        <v>45343</v>
      </c>
    </row>
    <row r="1140" spans="1:9" ht="27" x14ac:dyDescent="0.15">
      <c r="A1140" s="6">
        <v>1139</v>
      </c>
      <c r="B1140" s="7" t="s">
        <v>9</v>
      </c>
      <c r="C1140" s="8">
        <v>1886</v>
      </c>
      <c r="D1140" s="9">
        <v>45418</v>
      </c>
      <c r="E1140" s="13" t="str">
        <f>+HYPERLINK("http://trademark.i-assist.jp/data/china/image_1886th/76889992.pdf","76889992")</f>
        <v>76889992</v>
      </c>
      <c r="F1140" s="7" t="s">
        <v>3095</v>
      </c>
      <c r="G1140" s="7" t="s">
        <v>3096</v>
      </c>
      <c r="H1140" s="7" t="s">
        <v>3097</v>
      </c>
      <c r="I1140" s="9">
        <v>45343</v>
      </c>
    </row>
    <row r="1141" spans="1:9" x14ac:dyDescent="0.15">
      <c r="A1141" s="6">
        <v>1140</v>
      </c>
      <c r="B1141" s="7" t="s">
        <v>9</v>
      </c>
      <c r="C1141" s="8">
        <v>1886</v>
      </c>
      <c r="D1141" s="9">
        <v>45418</v>
      </c>
      <c r="E1141" s="13" t="str">
        <f>+HYPERLINK("http://trademark.i-assist.jp/data/china/image_1886th/76890068.pdf","76890068")</f>
        <v>76890068</v>
      </c>
      <c r="F1141" s="7" t="s">
        <v>3098</v>
      </c>
      <c r="G1141" s="7" t="s">
        <v>1916</v>
      </c>
      <c r="H1141" s="7" t="s">
        <v>3099</v>
      </c>
      <c r="I1141" s="9">
        <v>45343</v>
      </c>
    </row>
    <row r="1142" spans="1:9" x14ac:dyDescent="0.15">
      <c r="A1142" s="6">
        <v>1141</v>
      </c>
      <c r="B1142" s="7" t="s">
        <v>9</v>
      </c>
      <c r="C1142" s="8">
        <v>1886</v>
      </c>
      <c r="D1142" s="9">
        <v>45418</v>
      </c>
      <c r="E1142" s="13" t="str">
        <f>+HYPERLINK("http://trademark.i-assist.jp/data/china/image_1886th/76890130.pdf","76890130")</f>
        <v>76890130</v>
      </c>
      <c r="F1142" s="7" t="s">
        <v>3100</v>
      </c>
      <c r="G1142" s="7" t="s">
        <v>3101</v>
      </c>
      <c r="H1142" s="7" t="s">
        <v>3102</v>
      </c>
      <c r="I1142" s="9">
        <v>45343</v>
      </c>
    </row>
    <row r="1143" spans="1:9" x14ac:dyDescent="0.15">
      <c r="A1143" s="6">
        <v>1142</v>
      </c>
      <c r="B1143" s="7" t="s">
        <v>9</v>
      </c>
      <c r="C1143" s="8">
        <v>1886</v>
      </c>
      <c r="D1143" s="9">
        <v>45418</v>
      </c>
      <c r="E1143" s="13" t="str">
        <f>+HYPERLINK("http://trademark.i-assist.jp/data/china/image_1886th/76890291.pdf","76890291")</f>
        <v>76890291</v>
      </c>
      <c r="F1143" s="7" t="s">
        <v>33</v>
      </c>
      <c r="G1143" s="7" t="s">
        <v>3103</v>
      </c>
      <c r="H1143" s="7" t="s">
        <v>3104</v>
      </c>
      <c r="I1143" s="9">
        <v>45343</v>
      </c>
    </row>
    <row r="1144" spans="1:9" ht="27" x14ac:dyDescent="0.15">
      <c r="A1144" s="6">
        <v>1143</v>
      </c>
      <c r="B1144" s="7" t="s">
        <v>9</v>
      </c>
      <c r="C1144" s="8">
        <v>1886</v>
      </c>
      <c r="D1144" s="9">
        <v>45418</v>
      </c>
      <c r="E1144" s="13" t="str">
        <f>+HYPERLINK("http://trademark.i-assist.jp/data/china/image_1886th/76890492.pdf","76890492")</f>
        <v>76890492</v>
      </c>
      <c r="F1144" s="7" t="s">
        <v>3105</v>
      </c>
      <c r="G1144" s="7" t="s">
        <v>3106</v>
      </c>
      <c r="H1144" s="7" t="s">
        <v>3107</v>
      </c>
      <c r="I1144" s="9">
        <v>45343</v>
      </c>
    </row>
    <row r="1145" spans="1:9" x14ac:dyDescent="0.15">
      <c r="A1145" s="6">
        <v>1144</v>
      </c>
      <c r="B1145" s="7" t="s">
        <v>9</v>
      </c>
      <c r="C1145" s="8">
        <v>1886</v>
      </c>
      <c r="D1145" s="9">
        <v>45418</v>
      </c>
      <c r="E1145" s="13" t="str">
        <f>+HYPERLINK("http://trademark.i-assist.jp/data/china/image_1886th/76890681.pdf","76890681")</f>
        <v>76890681</v>
      </c>
      <c r="F1145" s="7" t="s">
        <v>3108</v>
      </c>
      <c r="G1145" s="7" t="s">
        <v>3109</v>
      </c>
      <c r="H1145" s="7" t="s">
        <v>3110</v>
      </c>
      <c r="I1145" s="9">
        <v>45343</v>
      </c>
    </row>
    <row r="1146" spans="1:9" x14ac:dyDescent="0.15">
      <c r="A1146" s="6">
        <v>1145</v>
      </c>
      <c r="B1146" s="7" t="s">
        <v>9</v>
      </c>
      <c r="C1146" s="8">
        <v>1886</v>
      </c>
      <c r="D1146" s="9">
        <v>45418</v>
      </c>
      <c r="E1146" s="13" t="str">
        <f>+HYPERLINK("http://trademark.i-assist.jp/data/china/image_1886th/76891455.pdf","76891455")</f>
        <v>76891455</v>
      </c>
      <c r="F1146" s="7" t="s">
        <v>3111</v>
      </c>
      <c r="G1146" s="7" t="s">
        <v>3112</v>
      </c>
      <c r="H1146" s="7" t="s">
        <v>3113</v>
      </c>
      <c r="I1146" s="9">
        <v>45343</v>
      </c>
    </row>
    <row r="1147" spans="1:9" x14ac:dyDescent="0.15">
      <c r="A1147" s="6">
        <v>1146</v>
      </c>
      <c r="B1147" s="7" t="s">
        <v>9</v>
      </c>
      <c r="C1147" s="8">
        <v>1886</v>
      </c>
      <c r="D1147" s="9">
        <v>45418</v>
      </c>
      <c r="E1147" s="13" t="str">
        <f>+HYPERLINK("http://trademark.i-assist.jp/data/china/image_1886th/76891515.pdf","76891515")</f>
        <v>76891515</v>
      </c>
      <c r="F1147" s="7" t="s">
        <v>33</v>
      </c>
      <c r="G1147" s="7" t="s">
        <v>3114</v>
      </c>
      <c r="H1147" s="7" t="s">
        <v>3115</v>
      </c>
      <c r="I1147" s="9">
        <v>45343</v>
      </c>
    </row>
    <row r="1148" spans="1:9" ht="27" x14ac:dyDescent="0.15">
      <c r="A1148" s="6">
        <v>1147</v>
      </c>
      <c r="B1148" s="7" t="s">
        <v>9</v>
      </c>
      <c r="C1148" s="8">
        <v>1886</v>
      </c>
      <c r="D1148" s="9">
        <v>45418</v>
      </c>
      <c r="E1148" s="13" t="str">
        <f>+HYPERLINK("http://trademark.i-assist.jp/data/china/image_1886th/76891664.pdf","76891664")</f>
        <v>76891664</v>
      </c>
      <c r="F1148" s="7" t="s">
        <v>3116</v>
      </c>
      <c r="G1148" s="7" t="s">
        <v>3117</v>
      </c>
      <c r="H1148" s="7" t="s">
        <v>3118</v>
      </c>
      <c r="I1148" s="9">
        <v>45343</v>
      </c>
    </row>
    <row r="1149" spans="1:9" x14ac:dyDescent="0.15">
      <c r="A1149" s="6">
        <v>1148</v>
      </c>
      <c r="B1149" s="7" t="s">
        <v>9</v>
      </c>
      <c r="C1149" s="8">
        <v>1886</v>
      </c>
      <c r="D1149" s="9">
        <v>45418</v>
      </c>
      <c r="E1149" s="13" t="str">
        <f>+HYPERLINK("http://trademark.i-assist.jp/data/china/image_1886th/76891849.pdf","76891849")</f>
        <v>76891849</v>
      </c>
      <c r="F1149" s="7" t="s">
        <v>3119</v>
      </c>
      <c r="G1149" s="7" t="s">
        <v>3120</v>
      </c>
      <c r="H1149" s="7" t="s">
        <v>3121</v>
      </c>
      <c r="I1149" s="9">
        <v>45343</v>
      </c>
    </row>
    <row r="1150" spans="1:9" x14ac:dyDescent="0.15">
      <c r="A1150" s="6">
        <v>1149</v>
      </c>
      <c r="B1150" s="7" t="s">
        <v>9</v>
      </c>
      <c r="C1150" s="8">
        <v>1886</v>
      </c>
      <c r="D1150" s="9">
        <v>45418</v>
      </c>
      <c r="E1150" s="13" t="str">
        <f>+HYPERLINK("http://trademark.i-assist.jp/data/china/image_1886th/76892051.pdf","76892051")</f>
        <v>76892051</v>
      </c>
      <c r="F1150" s="7" t="s">
        <v>3122</v>
      </c>
      <c r="G1150" s="7" t="s">
        <v>3123</v>
      </c>
      <c r="H1150" s="7" t="s">
        <v>3124</v>
      </c>
      <c r="I1150" s="9">
        <v>45343</v>
      </c>
    </row>
    <row r="1151" spans="1:9" ht="27" x14ac:dyDescent="0.15">
      <c r="A1151" s="6">
        <v>1150</v>
      </c>
      <c r="B1151" s="7" t="s">
        <v>9</v>
      </c>
      <c r="C1151" s="8">
        <v>1886</v>
      </c>
      <c r="D1151" s="9">
        <v>45418</v>
      </c>
      <c r="E1151" s="13" t="str">
        <f>+HYPERLINK("http://trademark.i-assist.jp/data/china/image_1886th/76892213.pdf","76892213")</f>
        <v>76892213</v>
      </c>
      <c r="F1151" s="7" t="s">
        <v>33</v>
      </c>
      <c r="G1151" s="7" t="s">
        <v>3125</v>
      </c>
      <c r="H1151" s="7" t="s">
        <v>3126</v>
      </c>
      <c r="I1151" s="9">
        <v>45343</v>
      </c>
    </row>
    <row r="1152" spans="1:9" x14ac:dyDescent="0.15">
      <c r="A1152" s="6">
        <v>1151</v>
      </c>
      <c r="B1152" s="7" t="s">
        <v>9</v>
      </c>
      <c r="C1152" s="8">
        <v>1886</v>
      </c>
      <c r="D1152" s="9">
        <v>45418</v>
      </c>
      <c r="E1152" s="13" t="str">
        <f>+HYPERLINK("http://trademark.i-assist.jp/data/china/image_1886th/76892495.pdf","76892495")</f>
        <v>76892495</v>
      </c>
      <c r="F1152" s="7" t="s">
        <v>3127</v>
      </c>
      <c r="G1152" s="7" t="s">
        <v>3128</v>
      </c>
      <c r="H1152" s="7" t="s">
        <v>3129</v>
      </c>
      <c r="I1152" s="9">
        <v>45343</v>
      </c>
    </row>
    <row r="1153" spans="1:9" x14ac:dyDescent="0.15">
      <c r="A1153" s="6">
        <v>1152</v>
      </c>
      <c r="B1153" s="7" t="s">
        <v>9</v>
      </c>
      <c r="C1153" s="8">
        <v>1886</v>
      </c>
      <c r="D1153" s="9">
        <v>45418</v>
      </c>
      <c r="E1153" s="13" t="str">
        <f>+HYPERLINK("http://trademark.i-assist.jp/data/china/image_1886th/76892546.pdf","76892546")</f>
        <v>76892546</v>
      </c>
      <c r="F1153" s="7" t="s">
        <v>3130</v>
      </c>
      <c r="G1153" s="7" t="s">
        <v>2843</v>
      </c>
      <c r="H1153" s="7" t="s">
        <v>3131</v>
      </c>
      <c r="I1153" s="9">
        <v>45343</v>
      </c>
    </row>
    <row r="1154" spans="1:9" x14ac:dyDescent="0.15">
      <c r="A1154" s="6">
        <v>1153</v>
      </c>
      <c r="B1154" s="7" t="s">
        <v>9</v>
      </c>
      <c r="C1154" s="8">
        <v>1886</v>
      </c>
      <c r="D1154" s="9">
        <v>45418</v>
      </c>
      <c r="E1154" s="13" t="str">
        <f>+HYPERLINK("http://trademark.i-assist.jp/data/china/image_1886th/76892970.pdf","76892970")</f>
        <v>76892970</v>
      </c>
      <c r="F1154" s="7" t="s">
        <v>3132</v>
      </c>
      <c r="G1154" s="7" t="s">
        <v>3133</v>
      </c>
      <c r="H1154" s="7" t="s">
        <v>3134</v>
      </c>
      <c r="I1154" s="9">
        <v>45343</v>
      </c>
    </row>
    <row r="1155" spans="1:9" x14ac:dyDescent="0.15">
      <c r="A1155" s="6">
        <v>1154</v>
      </c>
      <c r="B1155" s="7" t="s">
        <v>9</v>
      </c>
      <c r="C1155" s="8">
        <v>1886</v>
      </c>
      <c r="D1155" s="9">
        <v>45418</v>
      </c>
      <c r="E1155" s="13" t="str">
        <f>+HYPERLINK("http://trademark.i-assist.jp/data/china/image_1886th/76893007.pdf","76893007")</f>
        <v>76893007</v>
      </c>
      <c r="F1155" s="7" t="s">
        <v>3135</v>
      </c>
      <c r="G1155" s="7" t="s">
        <v>3136</v>
      </c>
      <c r="H1155" s="7" t="s">
        <v>161</v>
      </c>
      <c r="I1155" s="9">
        <v>45343</v>
      </c>
    </row>
    <row r="1156" spans="1:9" x14ac:dyDescent="0.15">
      <c r="A1156" s="6">
        <v>1155</v>
      </c>
      <c r="B1156" s="7" t="s">
        <v>9</v>
      </c>
      <c r="C1156" s="8">
        <v>1886</v>
      </c>
      <c r="D1156" s="9">
        <v>45418</v>
      </c>
      <c r="E1156" s="13" t="str">
        <f>+HYPERLINK("http://trademark.i-assist.jp/data/china/image_1886th/76893240.pdf","76893240")</f>
        <v>76893240</v>
      </c>
      <c r="F1156" s="7" t="s">
        <v>3137</v>
      </c>
      <c r="G1156" s="7" t="s">
        <v>3138</v>
      </c>
      <c r="H1156" s="7" t="s">
        <v>3139</v>
      </c>
      <c r="I1156" s="9">
        <v>45343</v>
      </c>
    </row>
    <row r="1157" spans="1:9" x14ac:dyDescent="0.15">
      <c r="A1157" s="6">
        <v>1156</v>
      </c>
      <c r="B1157" s="7" t="s">
        <v>9</v>
      </c>
      <c r="C1157" s="8">
        <v>1886</v>
      </c>
      <c r="D1157" s="9">
        <v>45418</v>
      </c>
      <c r="E1157" s="13" t="str">
        <f>+HYPERLINK("http://trademark.i-assist.jp/data/china/image_1886th/76893505.pdf","76893505")</f>
        <v>76893505</v>
      </c>
      <c r="F1157" s="7" t="s">
        <v>3140</v>
      </c>
      <c r="G1157" s="7" t="s">
        <v>3141</v>
      </c>
      <c r="H1157" s="7" t="s">
        <v>3142</v>
      </c>
      <c r="I1157" s="9">
        <v>45343</v>
      </c>
    </row>
    <row r="1158" spans="1:9" x14ac:dyDescent="0.15">
      <c r="A1158" s="6">
        <v>1157</v>
      </c>
      <c r="B1158" s="7" t="s">
        <v>9</v>
      </c>
      <c r="C1158" s="8">
        <v>1886</v>
      </c>
      <c r="D1158" s="9">
        <v>45418</v>
      </c>
      <c r="E1158" s="13" t="str">
        <f>+HYPERLINK("http://trademark.i-assist.jp/data/china/image_1886th/76893517.pdf","76893517")</f>
        <v>76893517</v>
      </c>
      <c r="F1158" s="7" t="s">
        <v>3143</v>
      </c>
      <c r="G1158" s="7" t="s">
        <v>3144</v>
      </c>
      <c r="H1158" s="7" t="s">
        <v>3145</v>
      </c>
      <c r="I1158" s="9">
        <v>45343</v>
      </c>
    </row>
    <row r="1159" spans="1:9" ht="27" x14ac:dyDescent="0.15">
      <c r="A1159" s="6">
        <v>1158</v>
      </c>
      <c r="B1159" s="7" t="s">
        <v>9</v>
      </c>
      <c r="C1159" s="8">
        <v>1886</v>
      </c>
      <c r="D1159" s="9">
        <v>45418</v>
      </c>
      <c r="E1159" s="13" t="str">
        <f>+HYPERLINK("http://trademark.i-assist.jp/data/china/image_1886th/76893566.pdf","76893566")</f>
        <v>76893566</v>
      </c>
      <c r="F1159" s="7" t="s">
        <v>3146</v>
      </c>
      <c r="G1159" s="7" t="s">
        <v>3147</v>
      </c>
      <c r="H1159" s="7" t="s">
        <v>3148</v>
      </c>
      <c r="I1159" s="9">
        <v>45343</v>
      </c>
    </row>
    <row r="1160" spans="1:9" ht="27" x14ac:dyDescent="0.15">
      <c r="A1160" s="6">
        <v>1159</v>
      </c>
      <c r="B1160" s="7" t="s">
        <v>9</v>
      </c>
      <c r="C1160" s="8">
        <v>1886</v>
      </c>
      <c r="D1160" s="9">
        <v>45418</v>
      </c>
      <c r="E1160" s="13" t="str">
        <f>+HYPERLINK("http://trademark.i-assist.jp/data/china/image_1886th/76893605.pdf","76893605")</f>
        <v>76893605</v>
      </c>
      <c r="F1160" s="7" t="s">
        <v>3149</v>
      </c>
      <c r="G1160" s="7" t="s">
        <v>3150</v>
      </c>
      <c r="H1160" s="7" t="s">
        <v>3151</v>
      </c>
      <c r="I1160" s="9">
        <v>45343</v>
      </c>
    </row>
    <row r="1161" spans="1:9" x14ac:dyDescent="0.15">
      <c r="A1161" s="6">
        <v>1160</v>
      </c>
      <c r="B1161" s="7" t="s">
        <v>9</v>
      </c>
      <c r="C1161" s="8">
        <v>1886</v>
      </c>
      <c r="D1161" s="9">
        <v>45418</v>
      </c>
      <c r="E1161" s="13" t="str">
        <f>+HYPERLINK("http://trademark.i-assist.jp/data/china/image_1886th/76894042.pdf","76894042")</f>
        <v>76894042</v>
      </c>
      <c r="F1161" s="7" t="s">
        <v>3152</v>
      </c>
      <c r="G1161" s="7" t="s">
        <v>3153</v>
      </c>
      <c r="H1161" s="7" t="s">
        <v>3154</v>
      </c>
      <c r="I1161" s="9">
        <v>45343</v>
      </c>
    </row>
    <row r="1162" spans="1:9" x14ac:dyDescent="0.15">
      <c r="A1162" s="6">
        <v>1161</v>
      </c>
      <c r="B1162" s="7" t="s">
        <v>9</v>
      </c>
      <c r="C1162" s="8">
        <v>1886</v>
      </c>
      <c r="D1162" s="9">
        <v>45418</v>
      </c>
      <c r="E1162" s="13" t="str">
        <f>+HYPERLINK("http://trademark.i-assist.jp/data/china/image_1886th/76894170.pdf","76894170")</f>
        <v>76894170</v>
      </c>
      <c r="F1162" s="7" t="s">
        <v>3155</v>
      </c>
      <c r="G1162" s="7" t="s">
        <v>3156</v>
      </c>
      <c r="H1162" s="7" t="s">
        <v>3157</v>
      </c>
      <c r="I1162" s="9">
        <v>45343</v>
      </c>
    </row>
    <row r="1163" spans="1:9" x14ac:dyDescent="0.15">
      <c r="A1163" s="6">
        <v>1162</v>
      </c>
      <c r="B1163" s="7" t="s">
        <v>9</v>
      </c>
      <c r="C1163" s="8">
        <v>1886</v>
      </c>
      <c r="D1163" s="9">
        <v>45418</v>
      </c>
      <c r="E1163" s="13" t="str">
        <f>+HYPERLINK("http://trademark.i-assist.jp/data/china/image_1886th/76894180.pdf","76894180")</f>
        <v>76894180</v>
      </c>
      <c r="F1163" s="7" t="s">
        <v>3158</v>
      </c>
      <c r="G1163" s="7" t="s">
        <v>3159</v>
      </c>
      <c r="H1163" s="7" t="s">
        <v>3160</v>
      </c>
      <c r="I1163" s="9">
        <v>45343</v>
      </c>
    </row>
    <row r="1164" spans="1:9" x14ac:dyDescent="0.15">
      <c r="A1164" s="6">
        <v>1163</v>
      </c>
      <c r="B1164" s="7" t="s">
        <v>9</v>
      </c>
      <c r="C1164" s="8">
        <v>1886</v>
      </c>
      <c r="D1164" s="9">
        <v>45418</v>
      </c>
      <c r="E1164" s="13" t="str">
        <f>+HYPERLINK("http://trademark.i-assist.jp/data/china/image_1886th/76894435.pdf","76894435")</f>
        <v>76894435</v>
      </c>
      <c r="F1164" s="7" t="s">
        <v>3161</v>
      </c>
      <c r="G1164" s="7" t="s">
        <v>3162</v>
      </c>
      <c r="H1164" s="7" t="s">
        <v>3163</v>
      </c>
      <c r="I1164" s="9">
        <v>45343</v>
      </c>
    </row>
    <row r="1165" spans="1:9" x14ac:dyDescent="0.15">
      <c r="A1165" s="6">
        <v>1164</v>
      </c>
      <c r="B1165" s="7" t="s">
        <v>9</v>
      </c>
      <c r="C1165" s="8">
        <v>1886</v>
      </c>
      <c r="D1165" s="9">
        <v>45418</v>
      </c>
      <c r="E1165" s="13" t="str">
        <f>+HYPERLINK("http://trademark.i-assist.jp/data/china/image_1886th/76894724.pdf","76894724")</f>
        <v>76894724</v>
      </c>
      <c r="F1165" s="7" t="s">
        <v>3164</v>
      </c>
      <c r="G1165" s="7" t="s">
        <v>3165</v>
      </c>
      <c r="H1165" s="7" t="s">
        <v>3166</v>
      </c>
      <c r="I1165" s="9">
        <v>45343</v>
      </c>
    </row>
    <row r="1166" spans="1:9" ht="27" x14ac:dyDescent="0.15">
      <c r="A1166" s="6">
        <v>1165</v>
      </c>
      <c r="B1166" s="7" t="s">
        <v>9</v>
      </c>
      <c r="C1166" s="8">
        <v>1886</v>
      </c>
      <c r="D1166" s="9">
        <v>45418</v>
      </c>
      <c r="E1166" s="13" t="str">
        <f>+HYPERLINK("http://trademark.i-assist.jp/data/china/image_1886th/76894759.pdf","76894759")</f>
        <v>76894759</v>
      </c>
      <c r="F1166" s="7" t="s">
        <v>3167</v>
      </c>
      <c r="G1166" s="7" t="s">
        <v>3044</v>
      </c>
      <c r="H1166" s="7" t="s">
        <v>3168</v>
      </c>
      <c r="I1166" s="9">
        <v>45343</v>
      </c>
    </row>
    <row r="1167" spans="1:9" x14ac:dyDescent="0.15">
      <c r="A1167" s="6">
        <v>1166</v>
      </c>
      <c r="B1167" s="7" t="s">
        <v>9</v>
      </c>
      <c r="C1167" s="8">
        <v>1886</v>
      </c>
      <c r="D1167" s="9">
        <v>45418</v>
      </c>
      <c r="E1167" s="13" t="str">
        <f>+HYPERLINK("http://trademark.i-assist.jp/data/china/image_1886th/76895110.pdf","76895110")</f>
        <v>76895110</v>
      </c>
      <c r="F1167" s="7" t="s">
        <v>3169</v>
      </c>
      <c r="G1167" s="7" t="s">
        <v>3170</v>
      </c>
      <c r="H1167" s="7" t="s">
        <v>3171</v>
      </c>
      <c r="I1167" s="9">
        <v>45343</v>
      </c>
    </row>
    <row r="1168" spans="1:9" x14ac:dyDescent="0.15">
      <c r="A1168" s="6">
        <v>1167</v>
      </c>
      <c r="B1168" s="7" t="s">
        <v>9</v>
      </c>
      <c r="C1168" s="8">
        <v>1886</v>
      </c>
      <c r="D1168" s="9">
        <v>45418</v>
      </c>
      <c r="E1168" s="13" t="str">
        <f>+HYPERLINK("http://trademark.i-assist.jp/data/china/image_1886th/76895137.pdf","76895137")</f>
        <v>76895137</v>
      </c>
      <c r="F1168" s="7" t="s">
        <v>3172</v>
      </c>
      <c r="G1168" s="7" t="s">
        <v>3173</v>
      </c>
      <c r="H1168" s="7" t="s">
        <v>3174</v>
      </c>
      <c r="I1168" s="9">
        <v>45343</v>
      </c>
    </row>
    <row r="1169" spans="1:9" x14ac:dyDescent="0.15">
      <c r="A1169" s="6">
        <v>1168</v>
      </c>
      <c r="B1169" s="7" t="s">
        <v>9</v>
      </c>
      <c r="C1169" s="8">
        <v>1886</v>
      </c>
      <c r="D1169" s="9">
        <v>45418</v>
      </c>
      <c r="E1169" s="13" t="str">
        <f>+HYPERLINK("http://trademark.i-assist.jp/data/china/image_1886th/76895151.pdf","76895151")</f>
        <v>76895151</v>
      </c>
      <c r="F1169" s="7" t="s">
        <v>3175</v>
      </c>
      <c r="G1169" s="7" t="s">
        <v>2843</v>
      </c>
      <c r="H1169" s="7" t="s">
        <v>3176</v>
      </c>
      <c r="I1169" s="9">
        <v>45343</v>
      </c>
    </row>
    <row r="1170" spans="1:9" x14ac:dyDescent="0.15">
      <c r="A1170" s="6">
        <v>1169</v>
      </c>
      <c r="B1170" s="7" t="s">
        <v>9</v>
      </c>
      <c r="C1170" s="8">
        <v>1886</v>
      </c>
      <c r="D1170" s="9">
        <v>45418</v>
      </c>
      <c r="E1170" s="13" t="str">
        <f>+HYPERLINK("http://trademark.i-assist.jp/data/china/image_1886th/76896013.pdf","76896013")</f>
        <v>76896013</v>
      </c>
      <c r="F1170" s="7" t="s">
        <v>3177</v>
      </c>
      <c r="G1170" s="7" t="s">
        <v>3178</v>
      </c>
      <c r="H1170" s="7" t="s">
        <v>3179</v>
      </c>
      <c r="I1170" s="9">
        <v>45343</v>
      </c>
    </row>
    <row r="1171" spans="1:9" x14ac:dyDescent="0.15">
      <c r="A1171" s="6">
        <v>1170</v>
      </c>
      <c r="B1171" s="7" t="s">
        <v>9</v>
      </c>
      <c r="C1171" s="8">
        <v>1886</v>
      </c>
      <c r="D1171" s="9">
        <v>45418</v>
      </c>
      <c r="E1171" s="13" t="str">
        <f>+HYPERLINK("http://trademark.i-assist.jp/data/china/image_1886th/76896165.pdf","76896165")</f>
        <v>76896165</v>
      </c>
      <c r="F1171" s="7" t="s">
        <v>3180</v>
      </c>
      <c r="G1171" s="7" t="s">
        <v>3133</v>
      </c>
      <c r="H1171" s="7" t="s">
        <v>3181</v>
      </c>
      <c r="I1171" s="9">
        <v>45343</v>
      </c>
    </row>
    <row r="1172" spans="1:9" ht="27" x14ac:dyDescent="0.15">
      <c r="A1172" s="6">
        <v>1171</v>
      </c>
      <c r="B1172" s="7" t="s">
        <v>9</v>
      </c>
      <c r="C1172" s="8">
        <v>1886</v>
      </c>
      <c r="D1172" s="9">
        <v>45418</v>
      </c>
      <c r="E1172" s="13" t="str">
        <f>+HYPERLINK("http://trademark.i-assist.jp/data/china/image_1886th/76896212.pdf","76896212")</f>
        <v>76896212</v>
      </c>
      <c r="F1172" s="7" t="s">
        <v>3182</v>
      </c>
      <c r="G1172" s="7" t="s">
        <v>3183</v>
      </c>
      <c r="H1172" s="7" t="s">
        <v>3184</v>
      </c>
      <c r="I1172" s="9">
        <v>45343</v>
      </c>
    </row>
    <row r="1173" spans="1:9" x14ac:dyDescent="0.15">
      <c r="A1173" s="6">
        <v>1172</v>
      </c>
      <c r="B1173" s="7" t="s">
        <v>9</v>
      </c>
      <c r="C1173" s="8">
        <v>1886</v>
      </c>
      <c r="D1173" s="9">
        <v>45418</v>
      </c>
      <c r="E1173" s="13" t="str">
        <f>+HYPERLINK("http://trademark.i-assist.jp/data/china/image_1886th/76897443.pdf","76897443")</f>
        <v>76897443</v>
      </c>
      <c r="F1173" s="7" t="s">
        <v>3185</v>
      </c>
      <c r="G1173" s="7" t="s">
        <v>3186</v>
      </c>
      <c r="H1173" s="7" t="s">
        <v>3187</v>
      </c>
      <c r="I1173" s="9">
        <v>45343</v>
      </c>
    </row>
    <row r="1174" spans="1:9" x14ac:dyDescent="0.15">
      <c r="A1174" s="6">
        <v>1173</v>
      </c>
      <c r="B1174" s="7" t="s">
        <v>9</v>
      </c>
      <c r="C1174" s="8">
        <v>1886</v>
      </c>
      <c r="D1174" s="9">
        <v>45418</v>
      </c>
      <c r="E1174" s="13" t="str">
        <f>+HYPERLINK("http://trademark.i-assist.jp/data/china/image_1886th/76897545.pdf","76897545")</f>
        <v>76897545</v>
      </c>
      <c r="F1174" s="7" t="s">
        <v>3188</v>
      </c>
      <c r="G1174" s="7" t="s">
        <v>3189</v>
      </c>
      <c r="H1174" s="7" t="s">
        <v>3190</v>
      </c>
      <c r="I1174" s="9">
        <v>45343</v>
      </c>
    </row>
    <row r="1175" spans="1:9" x14ac:dyDescent="0.15">
      <c r="A1175" s="6">
        <v>1174</v>
      </c>
      <c r="B1175" s="7" t="s">
        <v>9</v>
      </c>
      <c r="C1175" s="8">
        <v>1886</v>
      </c>
      <c r="D1175" s="9">
        <v>45418</v>
      </c>
      <c r="E1175" s="13" t="str">
        <f>+HYPERLINK("http://trademark.i-assist.jp/data/china/image_1886th/76897602.pdf","76897602")</f>
        <v>76897602</v>
      </c>
      <c r="F1175" s="7" t="s">
        <v>3191</v>
      </c>
      <c r="G1175" s="7" t="s">
        <v>3192</v>
      </c>
      <c r="H1175" s="7" t="s">
        <v>3193</v>
      </c>
      <c r="I1175" s="9">
        <v>45343</v>
      </c>
    </row>
    <row r="1176" spans="1:9" x14ac:dyDescent="0.15">
      <c r="A1176" s="6">
        <v>1175</v>
      </c>
      <c r="B1176" s="7" t="s">
        <v>9</v>
      </c>
      <c r="C1176" s="8">
        <v>1886</v>
      </c>
      <c r="D1176" s="9">
        <v>45418</v>
      </c>
      <c r="E1176" s="13" t="str">
        <f>+HYPERLINK("http://trademark.i-assist.jp/data/china/image_1886th/76897674.pdf","76897674")</f>
        <v>76897674</v>
      </c>
      <c r="F1176" s="7" t="s">
        <v>3194</v>
      </c>
      <c r="G1176" s="7" t="s">
        <v>3195</v>
      </c>
      <c r="H1176" s="7" t="s">
        <v>3196</v>
      </c>
      <c r="I1176" s="9">
        <v>45343</v>
      </c>
    </row>
    <row r="1177" spans="1:9" x14ac:dyDescent="0.15">
      <c r="A1177" s="6">
        <v>1176</v>
      </c>
      <c r="B1177" s="7" t="s">
        <v>9</v>
      </c>
      <c r="C1177" s="8">
        <v>1886</v>
      </c>
      <c r="D1177" s="9">
        <v>45418</v>
      </c>
      <c r="E1177" s="13" t="str">
        <f>+HYPERLINK("http://trademark.i-assist.jp/data/china/image_1886th/76897819.pdf","76897819")</f>
        <v>76897819</v>
      </c>
      <c r="F1177" s="7" t="s">
        <v>3197</v>
      </c>
      <c r="G1177" s="7" t="s">
        <v>3101</v>
      </c>
      <c r="H1177" s="7" t="s">
        <v>3198</v>
      </c>
      <c r="I1177" s="9">
        <v>45343</v>
      </c>
    </row>
    <row r="1178" spans="1:9" x14ac:dyDescent="0.15">
      <c r="A1178" s="6">
        <v>1177</v>
      </c>
      <c r="B1178" s="7" t="s">
        <v>9</v>
      </c>
      <c r="C1178" s="8">
        <v>1886</v>
      </c>
      <c r="D1178" s="9">
        <v>45418</v>
      </c>
      <c r="E1178" s="13" t="str">
        <f>+HYPERLINK("http://trademark.i-assist.jp/data/china/image_1886th/76897900.pdf","76897900")</f>
        <v>76897900</v>
      </c>
      <c r="F1178" s="7" t="s">
        <v>3199</v>
      </c>
      <c r="G1178" s="7" t="s">
        <v>3200</v>
      </c>
      <c r="H1178" s="7" t="s">
        <v>3201</v>
      </c>
      <c r="I1178" s="9">
        <v>45343</v>
      </c>
    </row>
    <row r="1179" spans="1:9" x14ac:dyDescent="0.15">
      <c r="A1179" s="6">
        <v>1178</v>
      </c>
      <c r="B1179" s="7" t="s">
        <v>9</v>
      </c>
      <c r="C1179" s="8">
        <v>1886</v>
      </c>
      <c r="D1179" s="9">
        <v>45418</v>
      </c>
      <c r="E1179" s="13" t="str">
        <f>+HYPERLINK("http://trademark.i-assist.jp/data/china/image_1886th/76898427.pdf","76898427")</f>
        <v>76898427</v>
      </c>
      <c r="F1179" s="7" t="s">
        <v>3202</v>
      </c>
      <c r="G1179" s="7" t="s">
        <v>3203</v>
      </c>
      <c r="H1179" s="7" t="s">
        <v>3204</v>
      </c>
      <c r="I1179" s="9">
        <v>45343</v>
      </c>
    </row>
    <row r="1180" spans="1:9" x14ac:dyDescent="0.15">
      <c r="A1180" s="6">
        <v>1179</v>
      </c>
      <c r="B1180" s="7" t="s">
        <v>9</v>
      </c>
      <c r="C1180" s="8">
        <v>1886</v>
      </c>
      <c r="D1180" s="9">
        <v>45418</v>
      </c>
      <c r="E1180" s="13" t="str">
        <f>+HYPERLINK("http://trademark.i-assist.jp/data/china/image_1886th/76898508.pdf","76898508")</f>
        <v>76898508</v>
      </c>
      <c r="F1180" s="7" t="s">
        <v>3205</v>
      </c>
      <c r="G1180" s="7" t="s">
        <v>3206</v>
      </c>
      <c r="H1180" s="7" t="s">
        <v>3207</v>
      </c>
      <c r="I1180" s="9">
        <v>45343</v>
      </c>
    </row>
    <row r="1181" spans="1:9" x14ac:dyDescent="0.15">
      <c r="A1181" s="6">
        <v>1180</v>
      </c>
      <c r="B1181" s="7" t="s">
        <v>9</v>
      </c>
      <c r="C1181" s="8">
        <v>1886</v>
      </c>
      <c r="D1181" s="9">
        <v>45418</v>
      </c>
      <c r="E1181" s="13" t="str">
        <f>+HYPERLINK("http://trademark.i-assist.jp/data/china/image_1886th/76898819.pdf","76898819")</f>
        <v>76898819</v>
      </c>
      <c r="F1181" s="7" t="s">
        <v>3208</v>
      </c>
      <c r="G1181" s="7" t="s">
        <v>2843</v>
      </c>
      <c r="H1181" s="7" t="s">
        <v>3209</v>
      </c>
      <c r="I1181" s="9">
        <v>45343</v>
      </c>
    </row>
    <row r="1182" spans="1:9" x14ac:dyDescent="0.15">
      <c r="A1182" s="6">
        <v>1181</v>
      </c>
      <c r="B1182" s="7" t="s">
        <v>9</v>
      </c>
      <c r="C1182" s="8">
        <v>1886</v>
      </c>
      <c r="D1182" s="9">
        <v>45418</v>
      </c>
      <c r="E1182" s="13" t="str">
        <f>+HYPERLINK("http://trademark.i-assist.jp/data/china/image_1886th/76899127.pdf","76899127")</f>
        <v>76899127</v>
      </c>
      <c r="F1182" s="7" t="s">
        <v>3210</v>
      </c>
      <c r="G1182" s="7" t="s">
        <v>3211</v>
      </c>
      <c r="H1182" s="7" t="s">
        <v>3212</v>
      </c>
      <c r="I1182" s="9">
        <v>45343</v>
      </c>
    </row>
    <row r="1183" spans="1:9" x14ac:dyDescent="0.15">
      <c r="A1183" s="6">
        <v>1182</v>
      </c>
      <c r="B1183" s="7" t="s">
        <v>9</v>
      </c>
      <c r="C1183" s="8">
        <v>1886</v>
      </c>
      <c r="D1183" s="9">
        <v>45418</v>
      </c>
      <c r="E1183" s="13" t="str">
        <f>+HYPERLINK("http://trademark.i-assist.jp/data/china/image_1886th/76899471.pdf","76899471")</f>
        <v>76899471</v>
      </c>
      <c r="F1183" s="7" t="s">
        <v>3213</v>
      </c>
      <c r="G1183" s="7" t="s">
        <v>3214</v>
      </c>
      <c r="H1183" s="7" t="s">
        <v>3215</v>
      </c>
      <c r="I1183" s="9">
        <v>45343</v>
      </c>
    </row>
    <row r="1184" spans="1:9" x14ac:dyDescent="0.15">
      <c r="A1184" s="6">
        <v>1183</v>
      </c>
      <c r="B1184" s="7" t="s">
        <v>9</v>
      </c>
      <c r="C1184" s="8">
        <v>1886</v>
      </c>
      <c r="D1184" s="9">
        <v>45418</v>
      </c>
      <c r="E1184" s="13" t="str">
        <f>+HYPERLINK("http://trademark.i-assist.jp/data/china/image_1886th/76899570.pdf","76899570")</f>
        <v>76899570</v>
      </c>
      <c r="F1184" s="7" t="s">
        <v>3216</v>
      </c>
      <c r="G1184" s="7" t="s">
        <v>3084</v>
      </c>
      <c r="H1184" s="7" t="s">
        <v>3217</v>
      </c>
      <c r="I1184" s="9">
        <v>45343</v>
      </c>
    </row>
    <row r="1185" spans="1:9" x14ac:dyDescent="0.15">
      <c r="A1185" s="6">
        <v>1184</v>
      </c>
      <c r="B1185" s="7" t="s">
        <v>9</v>
      </c>
      <c r="C1185" s="8">
        <v>1886</v>
      </c>
      <c r="D1185" s="9">
        <v>45418</v>
      </c>
      <c r="E1185" s="13" t="str">
        <f>+HYPERLINK("http://trademark.i-assist.jp/data/china/image_1886th/76900453.pdf","76900453")</f>
        <v>76900453</v>
      </c>
      <c r="F1185" s="7" t="s">
        <v>3218</v>
      </c>
      <c r="G1185" s="7" t="s">
        <v>3219</v>
      </c>
      <c r="H1185" s="7" t="s">
        <v>3220</v>
      </c>
      <c r="I1185" s="9">
        <v>45344</v>
      </c>
    </row>
    <row r="1186" spans="1:9" x14ac:dyDescent="0.15">
      <c r="A1186" s="6">
        <v>1185</v>
      </c>
      <c r="B1186" s="7" t="s">
        <v>9</v>
      </c>
      <c r="C1186" s="8">
        <v>1886</v>
      </c>
      <c r="D1186" s="9">
        <v>45418</v>
      </c>
      <c r="E1186" s="13" t="str">
        <f>+HYPERLINK("http://trademark.i-assist.jp/data/china/image_1886th/76900501.pdf","76900501")</f>
        <v>76900501</v>
      </c>
      <c r="F1186" s="7" t="s">
        <v>3221</v>
      </c>
      <c r="G1186" s="7" t="s">
        <v>3222</v>
      </c>
      <c r="H1186" s="7" t="s">
        <v>3223</v>
      </c>
      <c r="I1186" s="9">
        <v>45344</v>
      </c>
    </row>
    <row r="1187" spans="1:9" x14ac:dyDescent="0.15">
      <c r="A1187" s="6">
        <v>1186</v>
      </c>
      <c r="B1187" s="7" t="s">
        <v>9</v>
      </c>
      <c r="C1187" s="8">
        <v>1886</v>
      </c>
      <c r="D1187" s="9">
        <v>45418</v>
      </c>
      <c r="E1187" s="13" t="str">
        <f>+HYPERLINK("http://trademark.i-assist.jp/data/china/image_1886th/76900832.pdf","76900832")</f>
        <v>76900832</v>
      </c>
      <c r="F1187" s="7" t="s">
        <v>3224</v>
      </c>
      <c r="G1187" s="7" t="s">
        <v>3225</v>
      </c>
      <c r="H1187" s="7" t="s">
        <v>3226</v>
      </c>
      <c r="I1187" s="9">
        <v>45344</v>
      </c>
    </row>
    <row r="1188" spans="1:9" x14ac:dyDescent="0.15">
      <c r="A1188" s="6">
        <v>1187</v>
      </c>
      <c r="B1188" s="7" t="s">
        <v>9</v>
      </c>
      <c r="C1188" s="8">
        <v>1886</v>
      </c>
      <c r="D1188" s="9">
        <v>45418</v>
      </c>
      <c r="E1188" s="13" t="str">
        <f>+HYPERLINK("http://trademark.i-assist.jp/data/china/image_1886th/76900912.pdf","76900912")</f>
        <v>76900912</v>
      </c>
      <c r="F1188" s="7" t="s">
        <v>3227</v>
      </c>
      <c r="G1188" s="7" t="s">
        <v>3228</v>
      </c>
      <c r="H1188" s="7" t="s">
        <v>3229</v>
      </c>
      <c r="I1188" s="9">
        <v>45344</v>
      </c>
    </row>
    <row r="1189" spans="1:9" x14ac:dyDescent="0.15">
      <c r="A1189" s="6">
        <v>1188</v>
      </c>
      <c r="B1189" s="7" t="s">
        <v>9</v>
      </c>
      <c r="C1189" s="8">
        <v>1886</v>
      </c>
      <c r="D1189" s="9">
        <v>45418</v>
      </c>
      <c r="E1189" s="13" t="str">
        <f>+HYPERLINK("http://trademark.i-assist.jp/data/china/image_1886th/76900997.pdf","76900997")</f>
        <v>76900997</v>
      </c>
      <c r="F1189" s="7" t="s">
        <v>3230</v>
      </c>
      <c r="G1189" s="7" t="s">
        <v>3231</v>
      </c>
      <c r="H1189" s="7" t="s">
        <v>3232</v>
      </c>
      <c r="I1189" s="9">
        <v>45344</v>
      </c>
    </row>
    <row r="1190" spans="1:9" x14ac:dyDescent="0.15">
      <c r="A1190" s="6">
        <v>1189</v>
      </c>
      <c r="B1190" s="7" t="s">
        <v>9</v>
      </c>
      <c r="C1190" s="8">
        <v>1886</v>
      </c>
      <c r="D1190" s="9">
        <v>45418</v>
      </c>
      <c r="E1190" s="13" t="str">
        <f>+HYPERLINK("http://trademark.i-assist.jp/data/china/image_1886th/76901370.pdf","76901370")</f>
        <v>76901370</v>
      </c>
      <c r="F1190" s="7" t="s">
        <v>3233</v>
      </c>
      <c r="G1190" s="7" t="s">
        <v>3234</v>
      </c>
      <c r="H1190" s="7" t="s">
        <v>3235</v>
      </c>
      <c r="I1190" s="9">
        <v>45344</v>
      </c>
    </row>
    <row r="1191" spans="1:9" x14ac:dyDescent="0.15">
      <c r="A1191" s="6">
        <v>1190</v>
      </c>
      <c r="B1191" s="7" t="s">
        <v>9</v>
      </c>
      <c r="C1191" s="8">
        <v>1886</v>
      </c>
      <c r="D1191" s="9">
        <v>45418</v>
      </c>
      <c r="E1191" s="13" t="str">
        <f>+HYPERLINK("http://trademark.i-assist.jp/data/china/image_1886th/76901455.pdf","76901455")</f>
        <v>76901455</v>
      </c>
      <c r="F1191" s="7" t="s">
        <v>3236</v>
      </c>
      <c r="G1191" s="7" t="s">
        <v>3237</v>
      </c>
      <c r="H1191" s="7" t="s">
        <v>3238</v>
      </c>
      <c r="I1191" s="9">
        <v>45344</v>
      </c>
    </row>
    <row r="1192" spans="1:9" x14ac:dyDescent="0.15">
      <c r="A1192" s="6">
        <v>1191</v>
      </c>
      <c r="B1192" s="7" t="s">
        <v>9</v>
      </c>
      <c r="C1192" s="8">
        <v>1886</v>
      </c>
      <c r="D1192" s="9">
        <v>45418</v>
      </c>
      <c r="E1192" s="13" t="str">
        <f>+HYPERLINK("http://trademark.i-assist.jp/data/china/image_1886th/76901782.pdf","76901782")</f>
        <v>76901782</v>
      </c>
      <c r="F1192" s="7" t="s">
        <v>3239</v>
      </c>
      <c r="G1192" s="7" t="s">
        <v>3240</v>
      </c>
      <c r="H1192" s="7" t="s">
        <v>3241</v>
      </c>
      <c r="I1192" s="9">
        <v>45344</v>
      </c>
    </row>
    <row r="1193" spans="1:9" x14ac:dyDescent="0.15">
      <c r="A1193" s="6">
        <v>1192</v>
      </c>
      <c r="B1193" s="7" t="s">
        <v>9</v>
      </c>
      <c r="C1193" s="8">
        <v>1886</v>
      </c>
      <c r="D1193" s="9">
        <v>45418</v>
      </c>
      <c r="E1193" s="13" t="str">
        <f>+HYPERLINK("http://trademark.i-assist.jp/data/china/image_1886th/76901832.pdf","76901832")</f>
        <v>76901832</v>
      </c>
      <c r="F1193" s="7" t="s">
        <v>3242</v>
      </c>
      <c r="G1193" s="7" t="s">
        <v>3243</v>
      </c>
      <c r="H1193" s="7" t="s">
        <v>3244</v>
      </c>
      <c r="I1193" s="9">
        <v>45344</v>
      </c>
    </row>
    <row r="1194" spans="1:9" x14ac:dyDescent="0.15">
      <c r="A1194" s="6">
        <v>1193</v>
      </c>
      <c r="B1194" s="7" t="s">
        <v>9</v>
      </c>
      <c r="C1194" s="8">
        <v>1886</v>
      </c>
      <c r="D1194" s="9">
        <v>45418</v>
      </c>
      <c r="E1194" s="13" t="str">
        <f>+HYPERLINK("http://trademark.i-assist.jp/data/china/image_1886th/76901838.pdf","76901838")</f>
        <v>76901838</v>
      </c>
      <c r="F1194" s="7" t="s">
        <v>3245</v>
      </c>
      <c r="G1194" s="7" t="s">
        <v>3246</v>
      </c>
      <c r="H1194" s="7" t="s">
        <v>3247</v>
      </c>
      <c r="I1194" s="9">
        <v>45344</v>
      </c>
    </row>
    <row r="1195" spans="1:9" x14ac:dyDescent="0.15">
      <c r="A1195" s="6">
        <v>1194</v>
      </c>
      <c r="B1195" s="7" t="s">
        <v>9</v>
      </c>
      <c r="C1195" s="8">
        <v>1886</v>
      </c>
      <c r="D1195" s="9">
        <v>45418</v>
      </c>
      <c r="E1195" s="13" t="str">
        <f>+HYPERLINK("http://trademark.i-assist.jp/data/china/image_1886th/76902454.pdf","76902454")</f>
        <v>76902454</v>
      </c>
      <c r="F1195" s="7" t="s">
        <v>3248</v>
      </c>
      <c r="G1195" s="7" t="s">
        <v>3249</v>
      </c>
      <c r="H1195" s="7" t="s">
        <v>3250</v>
      </c>
      <c r="I1195" s="9">
        <v>45344</v>
      </c>
    </row>
    <row r="1196" spans="1:9" x14ac:dyDescent="0.15">
      <c r="A1196" s="6">
        <v>1195</v>
      </c>
      <c r="B1196" s="7" t="s">
        <v>9</v>
      </c>
      <c r="C1196" s="8">
        <v>1886</v>
      </c>
      <c r="D1196" s="9">
        <v>45418</v>
      </c>
      <c r="E1196" s="13" t="str">
        <f>+HYPERLINK("http://trademark.i-assist.jp/data/china/image_1886th/76902719.pdf","76902719")</f>
        <v>76902719</v>
      </c>
      <c r="F1196" s="7" t="s">
        <v>3251</v>
      </c>
      <c r="G1196" s="7" t="s">
        <v>3252</v>
      </c>
      <c r="H1196" s="7" t="s">
        <v>3253</v>
      </c>
      <c r="I1196" s="9">
        <v>45344</v>
      </c>
    </row>
    <row r="1197" spans="1:9" x14ac:dyDescent="0.15">
      <c r="A1197" s="6">
        <v>1196</v>
      </c>
      <c r="B1197" s="7" t="s">
        <v>9</v>
      </c>
      <c r="C1197" s="8">
        <v>1886</v>
      </c>
      <c r="D1197" s="9">
        <v>45418</v>
      </c>
      <c r="E1197" s="13" t="str">
        <f>+HYPERLINK("http://trademark.i-assist.jp/data/china/image_1886th/76902726.pdf","76902726")</f>
        <v>76902726</v>
      </c>
      <c r="F1197" s="7" t="s">
        <v>3254</v>
      </c>
      <c r="G1197" s="7" t="s">
        <v>3255</v>
      </c>
      <c r="H1197" s="7" t="s">
        <v>3256</v>
      </c>
      <c r="I1197" s="9">
        <v>45344</v>
      </c>
    </row>
    <row r="1198" spans="1:9" x14ac:dyDescent="0.15">
      <c r="A1198" s="6">
        <v>1197</v>
      </c>
      <c r="B1198" s="7" t="s">
        <v>9</v>
      </c>
      <c r="C1198" s="8">
        <v>1886</v>
      </c>
      <c r="D1198" s="9">
        <v>45418</v>
      </c>
      <c r="E1198" s="13" t="str">
        <f>+HYPERLINK("http://trademark.i-assist.jp/data/china/image_1886th/76902847.pdf","76902847")</f>
        <v>76902847</v>
      </c>
      <c r="F1198" s="7" t="s">
        <v>33</v>
      </c>
      <c r="G1198" s="7" t="s">
        <v>3257</v>
      </c>
      <c r="H1198" s="7" t="s">
        <v>3258</v>
      </c>
      <c r="I1198" s="9">
        <v>45344</v>
      </c>
    </row>
    <row r="1199" spans="1:9" ht="27" x14ac:dyDescent="0.15">
      <c r="A1199" s="6">
        <v>1198</v>
      </c>
      <c r="B1199" s="7" t="s">
        <v>9</v>
      </c>
      <c r="C1199" s="8">
        <v>1886</v>
      </c>
      <c r="D1199" s="9">
        <v>45418</v>
      </c>
      <c r="E1199" s="13" t="str">
        <f>+HYPERLINK("http://trademark.i-assist.jp/data/china/image_1886th/76903449.pdf","76903449")</f>
        <v>76903449</v>
      </c>
      <c r="F1199" s="7" t="s">
        <v>3259</v>
      </c>
      <c r="G1199" s="7" t="s">
        <v>3260</v>
      </c>
      <c r="H1199" s="7" t="s">
        <v>3261</v>
      </c>
      <c r="I1199" s="9">
        <v>45344</v>
      </c>
    </row>
    <row r="1200" spans="1:9" x14ac:dyDescent="0.15">
      <c r="A1200" s="6">
        <v>1199</v>
      </c>
      <c r="B1200" s="7" t="s">
        <v>9</v>
      </c>
      <c r="C1200" s="8">
        <v>1886</v>
      </c>
      <c r="D1200" s="9">
        <v>45418</v>
      </c>
      <c r="E1200" s="13" t="str">
        <f>+HYPERLINK("http://trademark.i-assist.jp/data/china/image_1886th/76903862.pdf","76903862")</f>
        <v>76903862</v>
      </c>
      <c r="F1200" s="7" t="s">
        <v>3262</v>
      </c>
      <c r="G1200" s="7" t="s">
        <v>3263</v>
      </c>
      <c r="H1200" s="7" t="s">
        <v>3264</v>
      </c>
      <c r="I1200" s="9">
        <v>45344</v>
      </c>
    </row>
    <row r="1201" spans="1:9" x14ac:dyDescent="0.15">
      <c r="A1201" s="6">
        <v>1200</v>
      </c>
      <c r="B1201" s="7" t="s">
        <v>9</v>
      </c>
      <c r="C1201" s="8">
        <v>1886</v>
      </c>
      <c r="D1201" s="9">
        <v>45418</v>
      </c>
      <c r="E1201" s="13" t="str">
        <f>+HYPERLINK("http://trademark.i-assist.jp/data/china/image_1886th/76903921.pdf","76903921")</f>
        <v>76903921</v>
      </c>
      <c r="F1201" s="7" t="s">
        <v>3265</v>
      </c>
      <c r="G1201" s="7" t="s">
        <v>3266</v>
      </c>
      <c r="H1201" s="7" t="s">
        <v>3267</v>
      </c>
      <c r="I1201" s="9">
        <v>45344</v>
      </c>
    </row>
    <row r="1202" spans="1:9" x14ac:dyDescent="0.15">
      <c r="A1202" s="6">
        <v>1201</v>
      </c>
      <c r="B1202" s="7" t="s">
        <v>9</v>
      </c>
      <c r="C1202" s="8">
        <v>1886</v>
      </c>
      <c r="D1202" s="9">
        <v>45418</v>
      </c>
      <c r="E1202" s="13" t="str">
        <f>+HYPERLINK("http://trademark.i-assist.jp/data/china/image_1886th/76904318.pdf","76904318")</f>
        <v>76904318</v>
      </c>
      <c r="F1202" s="7" t="s">
        <v>3268</v>
      </c>
      <c r="G1202" s="7" t="s">
        <v>3269</v>
      </c>
      <c r="H1202" s="7" t="s">
        <v>3270</v>
      </c>
      <c r="I1202" s="9">
        <v>45344</v>
      </c>
    </row>
    <row r="1203" spans="1:9" x14ac:dyDescent="0.15">
      <c r="A1203" s="6">
        <v>1202</v>
      </c>
      <c r="B1203" s="7" t="s">
        <v>9</v>
      </c>
      <c r="C1203" s="8">
        <v>1886</v>
      </c>
      <c r="D1203" s="9">
        <v>45418</v>
      </c>
      <c r="E1203" s="13" t="str">
        <f>+HYPERLINK("http://trademark.i-assist.jp/data/china/image_1886th/76904389.pdf","76904389")</f>
        <v>76904389</v>
      </c>
      <c r="F1203" s="7" t="s">
        <v>3271</v>
      </c>
      <c r="G1203" s="7" t="s">
        <v>3272</v>
      </c>
      <c r="H1203" s="7" t="s">
        <v>3273</v>
      </c>
      <c r="I1203" s="9">
        <v>45344</v>
      </c>
    </row>
    <row r="1204" spans="1:9" x14ac:dyDescent="0.15">
      <c r="A1204" s="6">
        <v>1203</v>
      </c>
      <c r="B1204" s="7" t="s">
        <v>9</v>
      </c>
      <c r="C1204" s="8">
        <v>1886</v>
      </c>
      <c r="D1204" s="9">
        <v>45418</v>
      </c>
      <c r="E1204" s="13" t="str">
        <f>+HYPERLINK("http://trademark.i-assist.jp/data/china/image_1886th/76904411.pdf","76904411")</f>
        <v>76904411</v>
      </c>
      <c r="F1204" s="7" t="s">
        <v>3274</v>
      </c>
      <c r="G1204" s="7" t="s">
        <v>3275</v>
      </c>
      <c r="H1204" s="7" t="s">
        <v>3276</v>
      </c>
      <c r="I1204" s="9">
        <v>45344</v>
      </c>
    </row>
    <row r="1205" spans="1:9" x14ac:dyDescent="0.15">
      <c r="A1205" s="6">
        <v>1204</v>
      </c>
      <c r="B1205" s="7" t="s">
        <v>9</v>
      </c>
      <c r="C1205" s="8">
        <v>1886</v>
      </c>
      <c r="D1205" s="9">
        <v>45418</v>
      </c>
      <c r="E1205" s="13" t="str">
        <f>+HYPERLINK("http://trademark.i-assist.jp/data/china/image_1886th/76904459.pdf","76904459")</f>
        <v>76904459</v>
      </c>
      <c r="F1205" s="7" t="s">
        <v>3277</v>
      </c>
      <c r="G1205" s="7" t="s">
        <v>3278</v>
      </c>
      <c r="H1205" s="7" t="s">
        <v>3279</v>
      </c>
      <c r="I1205" s="9">
        <v>45344</v>
      </c>
    </row>
    <row r="1206" spans="1:9" x14ac:dyDescent="0.15">
      <c r="A1206" s="6">
        <v>1205</v>
      </c>
      <c r="B1206" s="7" t="s">
        <v>9</v>
      </c>
      <c r="C1206" s="8">
        <v>1886</v>
      </c>
      <c r="D1206" s="9">
        <v>45418</v>
      </c>
      <c r="E1206" s="13" t="str">
        <f>+HYPERLINK("http://trademark.i-assist.jp/data/china/image_1886th/76904544.pdf","76904544")</f>
        <v>76904544</v>
      </c>
      <c r="F1206" s="7" t="s">
        <v>3280</v>
      </c>
      <c r="G1206" s="7" t="s">
        <v>3281</v>
      </c>
      <c r="H1206" s="7" t="s">
        <v>3282</v>
      </c>
      <c r="I1206" s="9">
        <v>45344</v>
      </c>
    </row>
    <row r="1207" spans="1:9" x14ac:dyDescent="0.15">
      <c r="A1207" s="6">
        <v>1206</v>
      </c>
      <c r="B1207" s="7" t="s">
        <v>9</v>
      </c>
      <c r="C1207" s="8">
        <v>1886</v>
      </c>
      <c r="D1207" s="9">
        <v>45418</v>
      </c>
      <c r="E1207" s="13" t="str">
        <f>+HYPERLINK("http://trademark.i-assist.jp/data/china/image_1886th/76905812.pdf","76905812")</f>
        <v>76905812</v>
      </c>
      <c r="F1207" s="7" t="s">
        <v>3283</v>
      </c>
      <c r="G1207" s="7" t="s">
        <v>3284</v>
      </c>
      <c r="H1207" s="7" t="s">
        <v>3285</v>
      </c>
      <c r="I1207" s="9">
        <v>45344</v>
      </c>
    </row>
    <row r="1208" spans="1:9" x14ac:dyDescent="0.15">
      <c r="A1208" s="6">
        <v>1207</v>
      </c>
      <c r="B1208" s="7" t="s">
        <v>9</v>
      </c>
      <c r="C1208" s="8">
        <v>1886</v>
      </c>
      <c r="D1208" s="9">
        <v>45418</v>
      </c>
      <c r="E1208" s="13" t="str">
        <f>+HYPERLINK("http://trademark.i-assist.jp/data/china/image_1886th/76905910.pdf","76905910")</f>
        <v>76905910</v>
      </c>
      <c r="F1208" s="7" t="s">
        <v>3286</v>
      </c>
      <c r="G1208" s="7" t="s">
        <v>3287</v>
      </c>
      <c r="H1208" s="7" t="s">
        <v>3288</v>
      </c>
      <c r="I1208" s="9">
        <v>45344</v>
      </c>
    </row>
    <row r="1209" spans="1:9" ht="27" x14ac:dyDescent="0.15">
      <c r="A1209" s="6">
        <v>1208</v>
      </c>
      <c r="B1209" s="7" t="s">
        <v>9</v>
      </c>
      <c r="C1209" s="8">
        <v>1886</v>
      </c>
      <c r="D1209" s="9">
        <v>45418</v>
      </c>
      <c r="E1209" s="13" t="str">
        <f>+HYPERLINK("http://trademark.i-assist.jp/data/china/image_1886th/76906070.pdf","76906070")</f>
        <v>76906070</v>
      </c>
      <c r="F1209" s="7" t="s">
        <v>3289</v>
      </c>
      <c r="G1209" s="7" t="s">
        <v>3290</v>
      </c>
      <c r="H1209" s="7" t="s">
        <v>3291</v>
      </c>
      <c r="I1209" s="9">
        <v>45344</v>
      </c>
    </row>
    <row r="1210" spans="1:9" x14ac:dyDescent="0.15">
      <c r="A1210" s="6">
        <v>1209</v>
      </c>
      <c r="B1210" s="7" t="s">
        <v>9</v>
      </c>
      <c r="C1210" s="8">
        <v>1886</v>
      </c>
      <c r="D1210" s="9">
        <v>45418</v>
      </c>
      <c r="E1210" s="13" t="str">
        <f>+HYPERLINK("http://trademark.i-assist.jp/data/china/image_1886th/76906132.pdf","76906132")</f>
        <v>76906132</v>
      </c>
      <c r="F1210" s="7" t="s">
        <v>3292</v>
      </c>
      <c r="G1210" s="7" t="s">
        <v>3293</v>
      </c>
      <c r="H1210" s="7" t="s">
        <v>3294</v>
      </c>
      <c r="I1210" s="9">
        <v>45344</v>
      </c>
    </row>
    <row r="1211" spans="1:9" x14ac:dyDescent="0.15">
      <c r="A1211" s="6">
        <v>1210</v>
      </c>
      <c r="B1211" s="7" t="s">
        <v>9</v>
      </c>
      <c r="C1211" s="8">
        <v>1886</v>
      </c>
      <c r="D1211" s="9">
        <v>45418</v>
      </c>
      <c r="E1211" s="13" t="str">
        <f>+HYPERLINK("http://trademark.i-assist.jp/data/china/image_1886th/76906334.pdf","76906334")</f>
        <v>76906334</v>
      </c>
      <c r="F1211" s="7" t="s">
        <v>3295</v>
      </c>
      <c r="G1211" s="7" t="s">
        <v>251</v>
      </c>
      <c r="H1211" s="7" t="s">
        <v>3296</v>
      </c>
      <c r="I1211" s="9">
        <v>45344</v>
      </c>
    </row>
    <row r="1212" spans="1:9" x14ac:dyDescent="0.15">
      <c r="A1212" s="6">
        <v>1211</v>
      </c>
      <c r="B1212" s="7" t="s">
        <v>9</v>
      </c>
      <c r="C1212" s="8">
        <v>1886</v>
      </c>
      <c r="D1212" s="9">
        <v>45418</v>
      </c>
      <c r="E1212" s="13" t="str">
        <f>+HYPERLINK("http://trademark.i-assist.jp/data/china/image_1886th/76906467.pdf","76906467")</f>
        <v>76906467</v>
      </c>
      <c r="F1212" s="7" t="s">
        <v>3297</v>
      </c>
      <c r="G1212" s="7" t="s">
        <v>3298</v>
      </c>
      <c r="H1212" s="7" t="s">
        <v>3299</v>
      </c>
      <c r="I1212" s="9">
        <v>45344</v>
      </c>
    </row>
    <row r="1213" spans="1:9" x14ac:dyDescent="0.15">
      <c r="A1213" s="6">
        <v>1212</v>
      </c>
      <c r="B1213" s="7" t="s">
        <v>9</v>
      </c>
      <c r="C1213" s="8">
        <v>1886</v>
      </c>
      <c r="D1213" s="9">
        <v>45418</v>
      </c>
      <c r="E1213" s="13" t="str">
        <f>+HYPERLINK("http://trademark.i-assist.jp/data/china/image_1886th/76906513.pdf","76906513")</f>
        <v>76906513</v>
      </c>
      <c r="F1213" s="7" t="s">
        <v>3300</v>
      </c>
      <c r="G1213" s="7" t="s">
        <v>3301</v>
      </c>
      <c r="H1213" s="7" t="s">
        <v>3302</v>
      </c>
      <c r="I1213" s="9">
        <v>45344</v>
      </c>
    </row>
    <row r="1214" spans="1:9" x14ac:dyDescent="0.15">
      <c r="A1214" s="6">
        <v>1213</v>
      </c>
      <c r="B1214" s="7" t="s">
        <v>9</v>
      </c>
      <c r="C1214" s="8">
        <v>1886</v>
      </c>
      <c r="D1214" s="9">
        <v>45418</v>
      </c>
      <c r="E1214" s="13" t="str">
        <f>+HYPERLINK("http://trademark.i-assist.jp/data/china/image_1886th/76906569.pdf","76906569")</f>
        <v>76906569</v>
      </c>
      <c r="F1214" s="7" t="s">
        <v>3303</v>
      </c>
      <c r="G1214" s="7" t="s">
        <v>3304</v>
      </c>
      <c r="H1214" s="7" t="s">
        <v>3305</v>
      </c>
      <c r="I1214" s="9">
        <v>45344</v>
      </c>
    </row>
    <row r="1215" spans="1:9" x14ac:dyDescent="0.15">
      <c r="A1215" s="6">
        <v>1214</v>
      </c>
      <c r="B1215" s="7" t="s">
        <v>9</v>
      </c>
      <c r="C1215" s="8">
        <v>1886</v>
      </c>
      <c r="D1215" s="9">
        <v>45418</v>
      </c>
      <c r="E1215" s="13" t="str">
        <f>+HYPERLINK("http://trademark.i-assist.jp/data/china/image_1886th/76906683.pdf","76906683")</f>
        <v>76906683</v>
      </c>
      <c r="F1215" s="7" t="s">
        <v>3306</v>
      </c>
      <c r="G1215" s="7" t="s">
        <v>3307</v>
      </c>
      <c r="H1215" s="7" t="s">
        <v>3308</v>
      </c>
      <c r="I1215" s="9">
        <v>45344</v>
      </c>
    </row>
    <row r="1216" spans="1:9" x14ac:dyDescent="0.15">
      <c r="A1216" s="6">
        <v>1215</v>
      </c>
      <c r="B1216" s="7" t="s">
        <v>9</v>
      </c>
      <c r="C1216" s="8">
        <v>1886</v>
      </c>
      <c r="D1216" s="9">
        <v>45418</v>
      </c>
      <c r="E1216" s="13" t="str">
        <f>+HYPERLINK("http://trademark.i-assist.jp/data/china/image_1886th/76906947.pdf","76906947")</f>
        <v>76906947</v>
      </c>
      <c r="F1216" s="7" t="s">
        <v>3309</v>
      </c>
      <c r="G1216" s="7" t="s">
        <v>3310</v>
      </c>
      <c r="H1216" s="7" t="s">
        <v>3311</v>
      </c>
      <c r="I1216" s="9">
        <v>45344</v>
      </c>
    </row>
    <row r="1217" spans="1:9" x14ac:dyDescent="0.15">
      <c r="A1217" s="6">
        <v>1216</v>
      </c>
      <c r="B1217" s="7" t="s">
        <v>9</v>
      </c>
      <c r="C1217" s="8">
        <v>1886</v>
      </c>
      <c r="D1217" s="9">
        <v>45418</v>
      </c>
      <c r="E1217" s="13" t="str">
        <f>+HYPERLINK("http://trademark.i-assist.jp/data/china/image_1886th/76908109.pdf","76908109")</f>
        <v>76908109</v>
      </c>
      <c r="F1217" s="7" t="s">
        <v>3312</v>
      </c>
      <c r="G1217" s="7" t="s">
        <v>3313</v>
      </c>
      <c r="H1217" s="7" t="s">
        <v>3314</v>
      </c>
      <c r="I1217" s="9">
        <v>45344</v>
      </c>
    </row>
    <row r="1218" spans="1:9" ht="27" x14ac:dyDescent="0.15">
      <c r="A1218" s="6">
        <v>1217</v>
      </c>
      <c r="B1218" s="7" t="s">
        <v>9</v>
      </c>
      <c r="C1218" s="8">
        <v>1886</v>
      </c>
      <c r="D1218" s="9">
        <v>45418</v>
      </c>
      <c r="E1218" s="13" t="str">
        <f>+HYPERLINK("http://trademark.i-assist.jp/data/china/image_1886th/76908169.pdf","76908169")</f>
        <v>76908169</v>
      </c>
      <c r="F1218" s="7" t="s">
        <v>3315</v>
      </c>
      <c r="G1218" s="7" t="s">
        <v>3316</v>
      </c>
      <c r="H1218" s="7" t="s">
        <v>3317</v>
      </c>
      <c r="I1218" s="9">
        <v>45344</v>
      </c>
    </row>
    <row r="1219" spans="1:9" x14ac:dyDescent="0.15">
      <c r="A1219" s="6">
        <v>1218</v>
      </c>
      <c r="B1219" s="7" t="s">
        <v>9</v>
      </c>
      <c r="C1219" s="8">
        <v>1886</v>
      </c>
      <c r="D1219" s="9">
        <v>45418</v>
      </c>
      <c r="E1219" s="13" t="str">
        <f>+HYPERLINK("http://trademark.i-assist.jp/data/china/image_1886th/76908272.pdf","76908272")</f>
        <v>76908272</v>
      </c>
      <c r="F1219" s="7" t="s">
        <v>3318</v>
      </c>
      <c r="G1219" s="7" t="s">
        <v>3319</v>
      </c>
      <c r="H1219" s="7" t="s">
        <v>3320</v>
      </c>
      <c r="I1219" s="9">
        <v>45344</v>
      </c>
    </row>
    <row r="1220" spans="1:9" x14ac:dyDescent="0.15">
      <c r="A1220" s="6">
        <v>1219</v>
      </c>
      <c r="B1220" s="7" t="s">
        <v>9</v>
      </c>
      <c r="C1220" s="8">
        <v>1886</v>
      </c>
      <c r="D1220" s="9">
        <v>45418</v>
      </c>
      <c r="E1220" s="13" t="str">
        <f>+HYPERLINK("http://trademark.i-assist.jp/data/china/image_1886th/76908452.pdf","76908452")</f>
        <v>76908452</v>
      </c>
      <c r="F1220" s="7" t="s">
        <v>3321</v>
      </c>
      <c r="G1220" s="7" t="s">
        <v>3322</v>
      </c>
      <c r="H1220" s="7" t="s">
        <v>3323</v>
      </c>
      <c r="I1220" s="9">
        <v>45344</v>
      </c>
    </row>
    <row r="1221" spans="1:9" x14ac:dyDescent="0.15">
      <c r="A1221" s="6">
        <v>1220</v>
      </c>
      <c r="B1221" s="7" t="s">
        <v>9</v>
      </c>
      <c r="C1221" s="8">
        <v>1886</v>
      </c>
      <c r="D1221" s="9">
        <v>45418</v>
      </c>
      <c r="E1221" s="13" t="str">
        <f>+HYPERLINK("http://trademark.i-assist.jp/data/china/image_1886th/76908895.pdf","76908895")</f>
        <v>76908895</v>
      </c>
      <c r="F1221" s="7" t="s">
        <v>3324</v>
      </c>
      <c r="G1221" s="7" t="s">
        <v>3324</v>
      </c>
      <c r="H1221" s="7" t="s">
        <v>3325</v>
      </c>
      <c r="I1221" s="9">
        <v>45344</v>
      </c>
    </row>
    <row r="1222" spans="1:9" x14ac:dyDescent="0.15">
      <c r="A1222" s="6">
        <v>1221</v>
      </c>
      <c r="B1222" s="7" t="s">
        <v>9</v>
      </c>
      <c r="C1222" s="8">
        <v>1886</v>
      </c>
      <c r="D1222" s="9">
        <v>45418</v>
      </c>
      <c r="E1222" s="13" t="str">
        <f>+HYPERLINK("http://trademark.i-assist.jp/data/china/image_1886th/76909026.pdf","76909026")</f>
        <v>76909026</v>
      </c>
      <c r="F1222" s="7" t="s">
        <v>3326</v>
      </c>
      <c r="G1222" s="7" t="s">
        <v>3327</v>
      </c>
      <c r="H1222" s="7" t="s">
        <v>3328</v>
      </c>
      <c r="I1222" s="9">
        <v>45344</v>
      </c>
    </row>
    <row r="1223" spans="1:9" x14ac:dyDescent="0.15">
      <c r="A1223" s="6">
        <v>1222</v>
      </c>
      <c r="B1223" s="7" t="s">
        <v>9</v>
      </c>
      <c r="C1223" s="8">
        <v>1886</v>
      </c>
      <c r="D1223" s="9">
        <v>45418</v>
      </c>
      <c r="E1223" s="13" t="str">
        <f>+HYPERLINK("http://trademark.i-assist.jp/data/china/image_1886th/76909040.pdf","76909040")</f>
        <v>76909040</v>
      </c>
      <c r="F1223" s="7" t="s">
        <v>3329</v>
      </c>
      <c r="G1223" s="7" t="s">
        <v>3330</v>
      </c>
      <c r="H1223" s="7" t="s">
        <v>3331</v>
      </c>
      <c r="I1223" s="9">
        <v>45344</v>
      </c>
    </row>
    <row r="1224" spans="1:9" x14ac:dyDescent="0.15">
      <c r="A1224" s="6">
        <v>1223</v>
      </c>
      <c r="B1224" s="7" t="s">
        <v>9</v>
      </c>
      <c r="C1224" s="8">
        <v>1886</v>
      </c>
      <c r="D1224" s="9">
        <v>45418</v>
      </c>
      <c r="E1224" s="13" t="str">
        <f>+HYPERLINK("http://trademark.i-assist.jp/data/china/image_1886th/76909173.pdf","76909173")</f>
        <v>76909173</v>
      </c>
      <c r="F1224" s="7" t="s">
        <v>3332</v>
      </c>
      <c r="G1224" s="7" t="s">
        <v>3333</v>
      </c>
      <c r="H1224" s="7" t="s">
        <v>3334</v>
      </c>
      <c r="I1224" s="9">
        <v>45344</v>
      </c>
    </row>
    <row r="1225" spans="1:9" x14ac:dyDescent="0.15">
      <c r="A1225" s="6">
        <v>1224</v>
      </c>
      <c r="B1225" s="7" t="s">
        <v>9</v>
      </c>
      <c r="C1225" s="8">
        <v>1886</v>
      </c>
      <c r="D1225" s="9">
        <v>45418</v>
      </c>
      <c r="E1225" s="13" t="str">
        <f>+HYPERLINK("http://trademark.i-assist.jp/data/china/image_1886th/76909324.pdf","76909324")</f>
        <v>76909324</v>
      </c>
      <c r="F1225" s="7" t="s">
        <v>3335</v>
      </c>
      <c r="G1225" s="7" t="s">
        <v>3298</v>
      </c>
      <c r="H1225" s="7" t="s">
        <v>3336</v>
      </c>
      <c r="I1225" s="9">
        <v>45344</v>
      </c>
    </row>
    <row r="1226" spans="1:9" x14ac:dyDescent="0.15">
      <c r="A1226" s="6">
        <v>1225</v>
      </c>
      <c r="B1226" s="7" t="s">
        <v>9</v>
      </c>
      <c r="C1226" s="8">
        <v>1886</v>
      </c>
      <c r="D1226" s="9">
        <v>45418</v>
      </c>
      <c r="E1226" s="13" t="str">
        <f>+HYPERLINK("http://trademark.i-assist.jp/data/china/image_1886th/76909615.pdf","76909615")</f>
        <v>76909615</v>
      </c>
      <c r="F1226" s="7" t="s">
        <v>3337</v>
      </c>
      <c r="G1226" s="7" t="s">
        <v>3338</v>
      </c>
      <c r="H1226" s="7" t="s">
        <v>3339</v>
      </c>
      <c r="I1226" s="9">
        <v>45344</v>
      </c>
    </row>
    <row r="1227" spans="1:9" x14ac:dyDescent="0.15">
      <c r="A1227" s="6">
        <v>1226</v>
      </c>
      <c r="B1227" s="7" t="s">
        <v>9</v>
      </c>
      <c r="C1227" s="8">
        <v>1886</v>
      </c>
      <c r="D1227" s="9">
        <v>45418</v>
      </c>
      <c r="E1227" s="13" t="str">
        <f>+HYPERLINK("http://trademark.i-assist.jp/data/china/image_1886th/76909649.pdf","76909649")</f>
        <v>76909649</v>
      </c>
      <c r="F1227" s="7" t="s">
        <v>3340</v>
      </c>
      <c r="G1227" s="7" t="s">
        <v>3330</v>
      </c>
      <c r="H1227" s="7" t="s">
        <v>3341</v>
      </c>
      <c r="I1227" s="9">
        <v>45344</v>
      </c>
    </row>
    <row r="1228" spans="1:9" ht="27" x14ac:dyDescent="0.15">
      <c r="A1228" s="6">
        <v>1227</v>
      </c>
      <c r="B1228" s="7" t="s">
        <v>9</v>
      </c>
      <c r="C1228" s="8">
        <v>1886</v>
      </c>
      <c r="D1228" s="9">
        <v>45418</v>
      </c>
      <c r="E1228" s="13" t="str">
        <f>+HYPERLINK("http://trademark.i-assist.jp/data/china/image_1886th/76909707.pdf","76909707")</f>
        <v>76909707</v>
      </c>
      <c r="F1228" s="7" t="s">
        <v>3342</v>
      </c>
      <c r="G1228" s="7" t="s">
        <v>3343</v>
      </c>
      <c r="H1228" s="7" t="s">
        <v>3344</v>
      </c>
      <c r="I1228" s="9">
        <v>45344</v>
      </c>
    </row>
    <row r="1229" spans="1:9" x14ac:dyDescent="0.15">
      <c r="A1229" s="6">
        <v>1228</v>
      </c>
      <c r="B1229" s="7" t="s">
        <v>9</v>
      </c>
      <c r="C1229" s="8">
        <v>1886</v>
      </c>
      <c r="D1229" s="9">
        <v>45418</v>
      </c>
      <c r="E1229" s="13" t="str">
        <f>+HYPERLINK("http://trademark.i-assist.jp/data/china/image_1886th/76909864.pdf","76909864")</f>
        <v>76909864</v>
      </c>
      <c r="F1229" s="7" t="s">
        <v>3345</v>
      </c>
      <c r="G1229" s="7" t="s">
        <v>3346</v>
      </c>
      <c r="H1229" s="7" t="s">
        <v>3347</v>
      </c>
      <c r="I1229" s="9">
        <v>45344</v>
      </c>
    </row>
    <row r="1230" spans="1:9" x14ac:dyDescent="0.15">
      <c r="A1230" s="6">
        <v>1229</v>
      </c>
      <c r="B1230" s="7" t="s">
        <v>9</v>
      </c>
      <c r="C1230" s="8">
        <v>1886</v>
      </c>
      <c r="D1230" s="9">
        <v>45418</v>
      </c>
      <c r="E1230" s="13" t="str">
        <f>+HYPERLINK("http://trademark.i-assist.jp/data/china/image_1886th/76910042.pdf","76910042")</f>
        <v>76910042</v>
      </c>
      <c r="F1230" s="7" t="s">
        <v>3348</v>
      </c>
      <c r="G1230" s="7" t="s">
        <v>3349</v>
      </c>
      <c r="H1230" s="7" t="s">
        <v>3350</v>
      </c>
      <c r="I1230" s="9">
        <v>45344</v>
      </c>
    </row>
    <row r="1231" spans="1:9" x14ac:dyDescent="0.15">
      <c r="A1231" s="6">
        <v>1230</v>
      </c>
      <c r="B1231" s="7" t="s">
        <v>9</v>
      </c>
      <c r="C1231" s="8">
        <v>1886</v>
      </c>
      <c r="D1231" s="9">
        <v>45418</v>
      </c>
      <c r="E1231" s="13" t="str">
        <f>+HYPERLINK("http://trademark.i-assist.jp/data/china/image_1886th/76910253.pdf","76910253")</f>
        <v>76910253</v>
      </c>
      <c r="F1231" s="7" t="s">
        <v>33</v>
      </c>
      <c r="G1231" s="7" t="s">
        <v>3351</v>
      </c>
      <c r="H1231" s="7" t="s">
        <v>3352</v>
      </c>
      <c r="I1231" s="9">
        <v>45344</v>
      </c>
    </row>
    <row r="1232" spans="1:9" ht="27" x14ac:dyDescent="0.15">
      <c r="A1232" s="6">
        <v>1231</v>
      </c>
      <c r="B1232" s="7" t="s">
        <v>9</v>
      </c>
      <c r="C1232" s="8">
        <v>1886</v>
      </c>
      <c r="D1232" s="9">
        <v>45418</v>
      </c>
      <c r="E1232" s="13" t="str">
        <f>+HYPERLINK("http://trademark.i-assist.jp/data/china/image_1886th/76910494.pdf","76910494")</f>
        <v>76910494</v>
      </c>
      <c r="F1232" s="7" t="s">
        <v>3353</v>
      </c>
      <c r="G1232" s="7" t="s">
        <v>3354</v>
      </c>
      <c r="H1232" s="7" t="s">
        <v>3355</v>
      </c>
      <c r="I1232" s="9">
        <v>45344</v>
      </c>
    </row>
    <row r="1233" spans="1:9" x14ac:dyDescent="0.15">
      <c r="A1233" s="6">
        <v>1232</v>
      </c>
      <c r="B1233" s="7" t="s">
        <v>9</v>
      </c>
      <c r="C1233" s="8">
        <v>1886</v>
      </c>
      <c r="D1233" s="9">
        <v>45418</v>
      </c>
      <c r="E1233" s="13" t="str">
        <f>+HYPERLINK("http://trademark.i-assist.jp/data/china/image_1886th/76910627.pdf","76910627")</f>
        <v>76910627</v>
      </c>
      <c r="F1233" s="7" t="s">
        <v>3356</v>
      </c>
      <c r="G1233" s="7" t="s">
        <v>3301</v>
      </c>
      <c r="H1233" s="7" t="s">
        <v>3357</v>
      </c>
      <c r="I1233" s="9">
        <v>45344</v>
      </c>
    </row>
    <row r="1234" spans="1:9" ht="27" x14ac:dyDescent="0.15">
      <c r="A1234" s="6">
        <v>1233</v>
      </c>
      <c r="B1234" s="7" t="s">
        <v>9</v>
      </c>
      <c r="C1234" s="8">
        <v>1886</v>
      </c>
      <c r="D1234" s="9">
        <v>45418</v>
      </c>
      <c r="E1234" s="13" t="str">
        <f>+HYPERLINK("http://trademark.i-assist.jp/data/china/image_1886th/76910758.pdf","76910758")</f>
        <v>76910758</v>
      </c>
      <c r="F1234" s="7" t="s">
        <v>3358</v>
      </c>
      <c r="G1234" s="7" t="s">
        <v>3359</v>
      </c>
      <c r="H1234" s="7" t="s">
        <v>3360</v>
      </c>
      <c r="I1234" s="9">
        <v>45344</v>
      </c>
    </row>
    <row r="1235" spans="1:9" ht="27" x14ac:dyDescent="0.15">
      <c r="A1235" s="6">
        <v>1234</v>
      </c>
      <c r="B1235" s="7" t="s">
        <v>9</v>
      </c>
      <c r="C1235" s="8">
        <v>1886</v>
      </c>
      <c r="D1235" s="9">
        <v>45418</v>
      </c>
      <c r="E1235" s="13" t="str">
        <f>+HYPERLINK("http://trademark.i-assist.jp/data/china/image_1886th/76910917.pdf","76910917")</f>
        <v>76910917</v>
      </c>
      <c r="F1235" s="7" t="s">
        <v>33</v>
      </c>
      <c r="G1235" s="7" t="s">
        <v>3361</v>
      </c>
      <c r="H1235" s="7" t="s">
        <v>3362</v>
      </c>
      <c r="I1235" s="9">
        <v>45344</v>
      </c>
    </row>
    <row r="1236" spans="1:9" ht="27" x14ac:dyDescent="0.15">
      <c r="A1236" s="6">
        <v>1235</v>
      </c>
      <c r="B1236" s="7" t="s">
        <v>9</v>
      </c>
      <c r="C1236" s="8">
        <v>1886</v>
      </c>
      <c r="D1236" s="9">
        <v>45418</v>
      </c>
      <c r="E1236" s="13" t="str">
        <f>+HYPERLINK("http://trademark.i-assist.jp/data/china/image_1886th/76910962.pdf","76910962")</f>
        <v>76910962</v>
      </c>
      <c r="F1236" s="7" t="s">
        <v>3363</v>
      </c>
      <c r="G1236" s="7" t="s">
        <v>3364</v>
      </c>
      <c r="H1236" s="7" t="s">
        <v>3365</v>
      </c>
      <c r="I1236" s="9">
        <v>45344</v>
      </c>
    </row>
    <row r="1237" spans="1:9" x14ac:dyDescent="0.15">
      <c r="A1237" s="6">
        <v>1236</v>
      </c>
      <c r="B1237" s="7" t="s">
        <v>9</v>
      </c>
      <c r="C1237" s="8">
        <v>1886</v>
      </c>
      <c r="D1237" s="9">
        <v>45418</v>
      </c>
      <c r="E1237" s="13" t="str">
        <f>+HYPERLINK("http://trademark.i-assist.jp/data/china/image_1886th/76910984.pdf","76910984")</f>
        <v>76910984</v>
      </c>
      <c r="F1237" s="7" t="s">
        <v>3366</v>
      </c>
      <c r="G1237" s="7" t="s">
        <v>3367</v>
      </c>
      <c r="H1237" s="7" t="s">
        <v>3368</v>
      </c>
      <c r="I1237" s="9">
        <v>45344</v>
      </c>
    </row>
    <row r="1238" spans="1:9" x14ac:dyDescent="0.15">
      <c r="A1238" s="6">
        <v>1237</v>
      </c>
      <c r="B1238" s="7" t="s">
        <v>9</v>
      </c>
      <c r="C1238" s="8">
        <v>1886</v>
      </c>
      <c r="D1238" s="9">
        <v>45418</v>
      </c>
      <c r="E1238" s="13" t="str">
        <f>+HYPERLINK("http://trademark.i-assist.jp/data/china/image_1886th/76911076.pdf","76911076")</f>
        <v>76911076</v>
      </c>
      <c r="F1238" s="7" t="s">
        <v>3369</v>
      </c>
      <c r="G1238" s="7" t="s">
        <v>3370</v>
      </c>
      <c r="H1238" s="7" t="s">
        <v>3371</v>
      </c>
      <c r="I1238" s="9">
        <v>45344</v>
      </c>
    </row>
    <row r="1239" spans="1:9" x14ac:dyDescent="0.15">
      <c r="A1239" s="6">
        <v>1238</v>
      </c>
      <c r="B1239" s="7" t="s">
        <v>9</v>
      </c>
      <c r="C1239" s="8">
        <v>1886</v>
      </c>
      <c r="D1239" s="9">
        <v>45418</v>
      </c>
      <c r="E1239" s="13" t="str">
        <f>+HYPERLINK("http://trademark.i-assist.jp/data/china/image_1886th/76911443.pdf","76911443")</f>
        <v>76911443</v>
      </c>
      <c r="F1239" s="7" t="s">
        <v>3372</v>
      </c>
      <c r="G1239" s="7" t="s">
        <v>1612</v>
      </c>
      <c r="H1239" s="7" t="s">
        <v>3373</v>
      </c>
      <c r="I1239" s="9">
        <v>45344</v>
      </c>
    </row>
    <row r="1240" spans="1:9" x14ac:dyDescent="0.15">
      <c r="A1240" s="6">
        <v>1239</v>
      </c>
      <c r="B1240" s="7" t="s">
        <v>9</v>
      </c>
      <c r="C1240" s="8">
        <v>1886</v>
      </c>
      <c r="D1240" s="9">
        <v>45418</v>
      </c>
      <c r="E1240" s="13" t="str">
        <f>+HYPERLINK("http://trademark.i-assist.jp/data/china/image_1886th/76911459.pdf","76911459")</f>
        <v>76911459</v>
      </c>
      <c r="F1240" s="7" t="s">
        <v>3374</v>
      </c>
      <c r="G1240" s="7" t="s">
        <v>1907</v>
      </c>
      <c r="H1240" s="7" t="s">
        <v>3375</v>
      </c>
      <c r="I1240" s="9">
        <v>45344</v>
      </c>
    </row>
    <row r="1241" spans="1:9" x14ac:dyDescent="0.15">
      <c r="A1241" s="6">
        <v>1240</v>
      </c>
      <c r="B1241" s="7" t="s">
        <v>9</v>
      </c>
      <c r="C1241" s="8">
        <v>1886</v>
      </c>
      <c r="D1241" s="9">
        <v>45418</v>
      </c>
      <c r="E1241" s="13" t="str">
        <f>+HYPERLINK("http://trademark.i-assist.jp/data/china/image_1886th/76911568.pdf","76911568")</f>
        <v>76911568</v>
      </c>
      <c r="F1241" s="7" t="s">
        <v>3376</v>
      </c>
      <c r="G1241" s="7" t="s">
        <v>3255</v>
      </c>
      <c r="H1241" s="7" t="s">
        <v>3377</v>
      </c>
      <c r="I1241" s="9">
        <v>45344</v>
      </c>
    </row>
    <row r="1242" spans="1:9" x14ac:dyDescent="0.15">
      <c r="A1242" s="6">
        <v>1241</v>
      </c>
      <c r="B1242" s="7" t="s">
        <v>9</v>
      </c>
      <c r="C1242" s="8">
        <v>1886</v>
      </c>
      <c r="D1242" s="9">
        <v>45418</v>
      </c>
      <c r="E1242" s="13" t="str">
        <f>+HYPERLINK("http://trademark.i-assist.jp/data/china/image_1886th/76911962.pdf","76911962")</f>
        <v>76911962</v>
      </c>
      <c r="F1242" s="7" t="s">
        <v>3378</v>
      </c>
      <c r="G1242" s="7" t="s">
        <v>3379</v>
      </c>
      <c r="H1242" s="7" t="s">
        <v>3380</v>
      </c>
      <c r="I1242" s="9">
        <v>45344</v>
      </c>
    </row>
    <row r="1243" spans="1:9" x14ac:dyDescent="0.15">
      <c r="A1243" s="6">
        <v>1242</v>
      </c>
      <c r="B1243" s="7" t="s">
        <v>9</v>
      </c>
      <c r="C1243" s="8">
        <v>1886</v>
      </c>
      <c r="D1243" s="9">
        <v>45418</v>
      </c>
      <c r="E1243" s="13" t="str">
        <f>+HYPERLINK("http://trademark.i-assist.jp/data/china/image_1886th/76912291.pdf","76912291")</f>
        <v>76912291</v>
      </c>
      <c r="F1243" s="7" t="s">
        <v>33</v>
      </c>
      <c r="G1243" s="7" t="s">
        <v>3257</v>
      </c>
      <c r="H1243" s="7" t="s">
        <v>3381</v>
      </c>
      <c r="I1243" s="9">
        <v>45344</v>
      </c>
    </row>
    <row r="1244" spans="1:9" x14ac:dyDescent="0.15">
      <c r="A1244" s="6">
        <v>1243</v>
      </c>
      <c r="B1244" s="7" t="s">
        <v>9</v>
      </c>
      <c r="C1244" s="8">
        <v>1886</v>
      </c>
      <c r="D1244" s="9">
        <v>45418</v>
      </c>
      <c r="E1244" s="13" t="str">
        <f>+HYPERLINK("http://trademark.i-assist.jp/data/china/image_1886th/76912454.pdf","76912454")</f>
        <v>76912454</v>
      </c>
      <c r="F1244" s="7" t="s">
        <v>3382</v>
      </c>
      <c r="G1244" s="7" t="s">
        <v>3383</v>
      </c>
      <c r="H1244" s="7" t="s">
        <v>3384</v>
      </c>
      <c r="I1244" s="9">
        <v>45344</v>
      </c>
    </row>
    <row r="1245" spans="1:9" ht="27" x14ac:dyDescent="0.15">
      <c r="A1245" s="6">
        <v>1244</v>
      </c>
      <c r="B1245" s="7" t="s">
        <v>9</v>
      </c>
      <c r="C1245" s="8">
        <v>1886</v>
      </c>
      <c r="D1245" s="9">
        <v>45418</v>
      </c>
      <c r="E1245" s="13" t="str">
        <f>+HYPERLINK("http://trademark.i-assist.jp/data/china/image_1886th/76913111.pdf","76913111")</f>
        <v>76913111</v>
      </c>
      <c r="F1245" s="7" t="s">
        <v>3385</v>
      </c>
      <c r="G1245" s="7" t="s">
        <v>3386</v>
      </c>
      <c r="H1245" s="7" t="s">
        <v>3387</v>
      </c>
      <c r="I1245" s="9">
        <v>45344</v>
      </c>
    </row>
    <row r="1246" spans="1:9" x14ac:dyDescent="0.15">
      <c r="A1246" s="6">
        <v>1245</v>
      </c>
      <c r="B1246" s="7" t="s">
        <v>9</v>
      </c>
      <c r="C1246" s="8">
        <v>1886</v>
      </c>
      <c r="D1246" s="9">
        <v>45418</v>
      </c>
      <c r="E1246" s="13" t="str">
        <f>+HYPERLINK("http://trademark.i-assist.jp/data/china/image_1886th/76913359.pdf","76913359")</f>
        <v>76913359</v>
      </c>
      <c r="F1246" s="7" t="s">
        <v>3388</v>
      </c>
      <c r="G1246" s="7" t="s">
        <v>3389</v>
      </c>
      <c r="H1246" s="7" t="s">
        <v>3390</v>
      </c>
      <c r="I1246" s="9">
        <v>45344</v>
      </c>
    </row>
    <row r="1247" spans="1:9" x14ac:dyDescent="0.15">
      <c r="A1247" s="6">
        <v>1246</v>
      </c>
      <c r="B1247" s="7" t="s">
        <v>9</v>
      </c>
      <c r="C1247" s="8">
        <v>1886</v>
      </c>
      <c r="D1247" s="9">
        <v>45418</v>
      </c>
      <c r="E1247" s="13" t="str">
        <f>+HYPERLINK("http://trademark.i-assist.jp/data/china/image_1886th/76913635.pdf","76913635")</f>
        <v>76913635</v>
      </c>
      <c r="F1247" s="7" t="s">
        <v>33</v>
      </c>
      <c r="G1247" s="7" t="s">
        <v>3257</v>
      </c>
      <c r="H1247" s="7" t="s">
        <v>3391</v>
      </c>
      <c r="I1247" s="9">
        <v>45344</v>
      </c>
    </row>
    <row r="1248" spans="1:9" x14ac:dyDescent="0.15">
      <c r="A1248" s="6">
        <v>1247</v>
      </c>
      <c r="B1248" s="7" t="s">
        <v>9</v>
      </c>
      <c r="C1248" s="8">
        <v>1886</v>
      </c>
      <c r="D1248" s="9">
        <v>45418</v>
      </c>
      <c r="E1248" s="13" t="str">
        <f>+HYPERLINK("http://trademark.i-assist.jp/data/china/image_1886th/76913927.pdf","76913927")</f>
        <v>76913927</v>
      </c>
      <c r="F1248" s="7" t="s">
        <v>3392</v>
      </c>
      <c r="G1248" s="7" t="s">
        <v>3393</v>
      </c>
      <c r="H1248" s="7" t="s">
        <v>3394</v>
      </c>
      <c r="I1248" s="9">
        <v>45344</v>
      </c>
    </row>
    <row r="1249" spans="1:9" x14ac:dyDescent="0.15">
      <c r="A1249" s="6">
        <v>1248</v>
      </c>
      <c r="B1249" s="7" t="s">
        <v>9</v>
      </c>
      <c r="C1249" s="8">
        <v>1886</v>
      </c>
      <c r="D1249" s="9">
        <v>45418</v>
      </c>
      <c r="E1249" s="13" t="str">
        <f>+HYPERLINK("http://trademark.i-assist.jp/data/china/image_1886th/76914181.pdf","76914181")</f>
        <v>76914181</v>
      </c>
      <c r="F1249" s="7" t="s">
        <v>3395</v>
      </c>
      <c r="G1249" s="7" t="s">
        <v>3396</v>
      </c>
      <c r="H1249" s="7" t="s">
        <v>3397</v>
      </c>
      <c r="I1249" s="9">
        <v>45344</v>
      </c>
    </row>
    <row r="1250" spans="1:9" x14ac:dyDescent="0.15">
      <c r="A1250" s="6">
        <v>1249</v>
      </c>
      <c r="B1250" s="7" t="s">
        <v>9</v>
      </c>
      <c r="C1250" s="8">
        <v>1886</v>
      </c>
      <c r="D1250" s="9">
        <v>45418</v>
      </c>
      <c r="E1250" s="13" t="str">
        <f>+HYPERLINK("http://trademark.i-assist.jp/data/china/image_1886th/76914413.pdf","76914413")</f>
        <v>76914413</v>
      </c>
      <c r="F1250" s="7" t="s">
        <v>3398</v>
      </c>
      <c r="G1250" s="7" t="s">
        <v>3399</v>
      </c>
      <c r="H1250" s="7" t="s">
        <v>3400</v>
      </c>
      <c r="I1250" s="9">
        <v>45344</v>
      </c>
    </row>
    <row r="1251" spans="1:9" x14ac:dyDescent="0.15">
      <c r="A1251" s="6">
        <v>1250</v>
      </c>
      <c r="B1251" s="7" t="s">
        <v>9</v>
      </c>
      <c r="C1251" s="8">
        <v>1886</v>
      </c>
      <c r="D1251" s="9">
        <v>45418</v>
      </c>
      <c r="E1251" s="13" t="str">
        <f>+HYPERLINK("http://trademark.i-assist.jp/data/china/image_1886th/76914459.pdf","76914459")</f>
        <v>76914459</v>
      </c>
      <c r="F1251" s="7" t="s">
        <v>3401</v>
      </c>
      <c r="G1251" s="7" t="s">
        <v>3402</v>
      </c>
      <c r="H1251" s="7" t="s">
        <v>3403</v>
      </c>
      <c r="I1251" s="9">
        <v>45344</v>
      </c>
    </row>
    <row r="1252" spans="1:9" x14ac:dyDescent="0.15">
      <c r="A1252" s="6">
        <v>1251</v>
      </c>
      <c r="B1252" s="7" t="s">
        <v>9</v>
      </c>
      <c r="C1252" s="8">
        <v>1886</v>
      </c>
      <c r="D1252" s="9">
        <v>45418</v>
      </c>
      <c r="E1252" s="13" t="str">
        <f>+HYPERLINK("http://trademark.i-assist.jp/data/china/image_1886th/76914493.pdf","76914493")</f>
        <v>76914493</v>
      </c>
      <c r="F1252" s="7" t="s">
        <v>3404</v>
      </c>
      <c r="G1252" s="7" t="s">
        <v>3330</v>
      </c>
      <c r="H1252" s="7" t="s">
        <v>3405</v>
      </c>
      <c r="I1252" s="9">
        <v>45344</v>
      </c>
    </row>
    <row r="1253" spans="1:9" x14ac:dyDescent="0.15">
      <c r="A1253" s="6">
        <v>1252</v>
      </c>
      <c r="B1253" s="7" t="s">
        <v>9</v>
      </c>
      <c r="C1253" s="8">
        <v>1886</v>
      </c>
      <c r="D1253" s="9">
        <v>45418</v>
      </c>
      <c r="E1253" s="13" t="str">
        <f>+HYPERLINK("http://trademark.i-assist.jp/data/china/image_1886th/76914590.pdf","76914590")</f>
        <v>76914590</v>
      </c>
      <c r="F1253" s="7" t="s">
        <v>3406</v>
      </c>
      <c r="G1253" s="7" t="s">
        <v>3407</v>
      </c>
      <c r="H1253" s="7" t="s">
        <v>3408</v>
      </c>
      <c r="I1253" s="9">
        <v>45344</v>
      </c>
    </row>
    <row r="1254" spans="1:9" ht="27" x14ac:dyDescent="0.15">
      <c r="A1254" s="6">
        <v>1253</v>
      </c>
      <c r="B1254" s="7" t="s">
        <v>9</v>
      </c>
      <c r="C1254" s="8">
        <v>1886</v>
      </c>
      <c r="D1254" s="9">
        <v>45418</v>
      </c>
      <c r="E1254" s="13" t="str">
        <f>+HYPERLINK("http://trademark.i-assist.jp/data/china/image_1886th/76914634.pdf","76914634")</f>
        <v>76914634</v>
      </c>
      <c r="F1254" s="7" t="s">
        <v>3409</v>
      </c>
      <c r="G1254" s="7" t="s">
        <v>3410</v>
      </c>
      <c r="H1254" s="7" t="s">
        <v>3411</v>
      </c>
      <c r="I1254" s="9">
        <v>45344</v>
      </c>
    </row>
    <row r="1255" spans="1:9" x14ac:dyDescent="0.15">
      <c r="A1255" s="6">
        <v>1254</v>
      </c>
      <c r="B1255" s="7" t="s">
        <v>9</v>
      </c>
      <c r="C1255" s="8">
        <v>1886</v>
      </c>
      <c r="D1255" s="9">
        <v>45418</v>
      </c>
      <c r="E1255" s="13" t="str">
        <f>+HYPERLINK("http://trademark.i-assist.jp/data/china/image_1886th/76914693.pdf","76914693")</f>
        <v>76914693</v>
      </c>
      <c r="F1255" s="7" t="s">
        <v>3412</v>
      </c>
      <c r="G1255" s="7" t="s">
        <v>3413</v>
      </c>
      <c r="H1255" s="7" t="s">
        <v>3414</v>
      </c>
      <c r="I1255" s="9">
        <v>45344</v>
      </c>
    </row>
    <row r="1256" spans="1:9" x14ac:dyDescent="0.15">
      <c r="A1256" s="6">
        <v>1255</v>
      </c>
      <c r="B1256" s="7" t="s">
        <v>9</v>
      </c>
      <c r="C1256" s="8">
        <v>1886</v>
      </c>
      <c r="D1256" s="9">
        <v>45418</v>
      </c>
      <c r="E1256" s="13" t="str">
        <f>+HYPERLINK("http://trademark.i-assist.jp/data/china/image_1886th/76915014.pdf","76915014")</f>
        <v>76915014</v>
      </c>
      <c r="F1256" s="7" t="s">
        <v>3415</v>
      </c>
      <c r="G1256" s="7" t="s">
        <v>3416</v>
      </c>
      <c r="H1256" s="7" t="s">
        <v>3417</v>
      </c>
      <c r="I1256" s="9">
        <v>45344</v>
      </c>
    </row>
    <row r="1257" spans="1:9" x14ac:dyDescent="0.15">
      <c r="A1257" s="6">
        <v>1256</v>
      </c>
      <c r="B1257" s="7" t="s">
        <v>9</v>
      </c>
      <c r="C1257" s="8">
        <v>1886</v>
      </c>
      <c r="D1257" s="9">
        <v>45418</v>
      </c>
      <c r="E1257" s="13" t="str">
        <f>+HYPERLINK("http://trademark.i-assist.jp/data/china/image_1886th/76915022.pdf","76915022")</f>
        <v>76915022</v>
      </c>
      <c r="F1257" s="7" t="s">
        <v>3418</v>
      </c>
      <c r="G1257" s="7" t="s">
        <v>3419</v>
      </c>
      <c r="H1257" s="7" t="s">
        <v>3420</v>
      </c>
      <c r="I1257" s="9">
        <v>45344</v>
      </c>
    </row>
    <row r="1258" spans="1:9" x14ac:dyDescent="0.15">
      <c r="A1258" s="6">
        <v>1257</v>
      </c>
      <c r="B1258" s="7" t="s">
        <v>9</v>
      </c>
      <c r="C1258" s="8">
        <v>1886</v>
      </c>
      <c r="D1258" s="9">
        <v>45418</v>
      </c>
      <c r="E1258" s="13" t="str">
        <f>+HYPERLINK("http://trademark.i-assist.jp/data/china/image_1886th/76915093.pdf","76915093")</f>
        <v>76915093</v>
      </c>
      <c r="F1258" s="7" t="s">
        <v>3421</v>
      </c>
      <c r="G1258" s="7" t="s">
        <v>3422</v>
      </c>
      <c r="H1258" s="7" t="s">
        <v>3423</v>
      </c>
      <c r="I1258" s="9">
        <v>45344</v>
      </c>
    </row>
    <row r="1259" spans="1:9" x14ac:dyDescent="0.15">
      <c r="A1259" s="6">
        <v>1258</v>
      </c>
      <c r="B1259" s="7" t="s">
        <v>9</v>
      </c>
      <c r="C1259" s="8">
        <v>1886</v>
      </c>
      <c r="D1259" s="9">
        <v>45418</v>
      </c>
      <c r="E1259" s="13" t="str">
        <f>+HYPERLINK("http://trademark.i-assist.jp/data/china/image_1886th/76915606.pdf","76915606")</f>
        <v>76915606</v>
      </c>
      <c r="F1259" s="7" t="s">
        <v>3424</v>
      </c>
      <c r="G1259" s="7" t="s">
        <v>3425</v>
      </c>
      <c r="H1259" s="7" t="s">
        <v>3426</v>
      </c>
      <c r="I1259" s="9">
        <v>45344</v>
      </c>
    </row>
    <row r="1260" spans="1:9" x14ac:dyDescent="0.15">
      <c r="A1260" s="6">
        <v>1259</v>
      </c>
      <c r="B1260" s="7" t="s">
        <v>9</v>
      </c>
      <c r="C1260" s="8">
        <v>1886</v>
      </c>
      <c r="D1260" s="9">
        <v>45418</v>
      </c>
      <c r="E1260" s="13" t="str">
        <f>+HYPERLINK("http://trademark.i-assist.jp/data/china/image_1886th/76916392.pdf","76916392")</f>
        <v>76916392</v>
      </c>
      <c r="F1260" s="7" t="s">
        <v>3427</v>
      </c>
      <c r="G1260" s="7" t="s">
        <v>3428</v>
      </c>
      <c r="H1260" s="7" t="s">
        <v>3429</v>
      </c>
      <c r="I1260" s="9">
        <v>45344</v>
      </c>
    </row>
    <row r="1261" spans="1:9" x14ac:dyDescent="0.15">
      <c r="A1261" s="6">
        <v>1260</v>
      </c>
      <c r="B1261" s="7" t="s">
        <v>9</v>
      </c>
      <c r="C1261" s="8">
        <v>1886</v>
      </c>
      <c r="D1261" s="9">
        <v>45418</v>
      </c>
      <c r="E1261" s="13" t="str">
        <f>+HYPERLINK("http://trademark.i-assist.jp/data/china/image_1886th/76916405.pdf","76916405")</f>
        <v>76916405</v>
      </c>
      <c r="F1261" s="7" t="s">
        <v>3430</v>
      </c>
      <c r="G1261" s="7" t="s">
        <v>3431</v>
      </c>
      <c r="H1261" s="7" t="s">
        <v>3432</v>
      </c>
      <c r="I1261" s="9">
        <v>45344</v>
      </c>
    </row>
    <row r="1262" spans="1:9" x14ac:dyDescent="0.15">
      <c r="A1262" s="6">
        <v>1261</v>
      </c>
      <c r="B1262" s="7" t="s">
        <v>9</v>
      </c>
      <c r="C1262" s="8">
        <v>1886</v>
      </c>
      <c r="D1262" s="9">
        <v>45418</v>
      </c>
      <c r="E1262" s="13" t="str">
        <f>+HYPERLINK("http://trademark.i-assist.jp/data/china/image_1886th/76916529.pdf","76916529")</f>
        <v>76916529</v>
      </c>
      <c r="F1262" s="7" t="s">
        <v>3433</v>
      </c>
      <c r="G1262" s="7" t="s">
        <v>3434</v>
      </c>
      <c r="H1262" s="7" t="s">
        <v>3435</v>
      </c>
      <c r="I1262" s="9">
        <v>45344</v>
      </c>
    </row>
    <row r="1263" spans="1:9" x14ac:dyDescent="0.15">
      <c r="A1263" s="6">
        <v>1262</v>
      </c>
      <c r="B1263" s="7" t="s">
        <v>9</v>
      </c>
      <c r="C1263" s="8">
        <v>1886</v>
      </c>
      <c r="D1263" s="9">
        <v>45418</v>
      </c>
      <c r="E1263" s="13" t="str">
        <f>+HYPERLINK("http://trademark.i-assist.jp/data/china/image_1886th/76916769.pdf","76916769")</f>
        <v>76916769</v>
      </c>
      <c r="F1263" s="7" t="s">
        <v>3436</v>
      </c>
      <c r="G1263" s="7" t="s">
        <v>3281</v>
      </c>
      <c r="H1263" s="7" t="s">
        <v>3437</v>
      </c>
      <c r="I1263" s="9">
        <v>45344</v>
      </c>
    </row>
    <row r="1264" spans="1:9" x14ac:dyDescent="0.15">
      <c r="A1264" s="6">
        <v>1263</v>
      </c>
      <c r="B1264" s="7" t="s">
        <v>9</v>
      </c>
      <c r="C1264" s="8">
        <v>1886</v>
      </c>
      <c r="D1264" s="9">
        <v>45418</v>
      </c>
      <c r="E1264" s="13" t="str">
        <f>+HYPERLINK("http://trademark.i-assist.jp/data/china/image_1886th/76917492.pdf","76917492")</f>
        <v>76917492</v>
      </c>
      <c r="F1264" s="7" t="s">
        <v>3438</v>
      </c>
      <c r="G1264" s="7" t="s">
        <v>3439</v>
      </c>
      <c r="H1264" s="7" t="s">
        <v>3440</v>
      </c>
      <c r="I1264" s="9">
        <v>45344</v>
      </c>
    </row>
    <row r="1265" spans="1:9" x14ac:dyDescent="0.15">
      <c r="A1265" s="6">
        <v>1264</v>
      </c>
      <c r="B1265" s="7" t="s">
        <v>9</v>
      </c>
      <c r="C1265" s="8">
        <v>1886</v>
      </c>
      <c r="D1265" s="9">
        <v>45418</v>
      </c>
      <c r="E1265" s="13" t="str">
        <f>+HYPERLINK("http://trademark.i-assist.jp/data/china/image_1886th/76917535.pdf","76917535")</f>
        <v>76917535</v>
      </c>
      <c r="F1265" s="7" t="s">
        <v>3441</v>
      </c>
      <c r="G1265" s="7" t="s">
        <v>1803</v>
      </c>
      <c r="H1265" s="7" t="s">
        <v>3442</v>
      </c>
      <c r="I1265" s="9">
        <v>45344</v>
      </c>
    </row>
    <row r="1266" spans="1:9" x14ac:dyDescent="0.15">
      <c r="A1266" s="6">
        <v>1265</v>
      </c>
      <c r="B1266" s="7" t="s">
        <v>9</v>
      </c>
      <c r="C1266" s="8">
        <v>1886</v>
      </c>
      <c r="D1266" s="9">
        <v>45418</v>
      </c>
      <c r="E1266" s="13" t="str">
        <f>+HYPERLINK("http://trademark.i-assist.jp/data/china/image_1886th/76917614.pdf","76917614")</f>
        <v>76917614</v>
      </c>
      <c r="F1266" s="7" t="s">
        <v>3443</v>
      </c>
      <c r="G1266" s="7" t="s">
        <v>3444</v>
      </c>
      <c r="H1266" s="7" t="s">
        <v>3445</v>
      </c>
      <c r="I1266" s="9">
        <v>45344</v>
      </c>
    </row>
    <row r="1267" spans="1:9" x14ac:dyDescent="0.15">
      <c r="A1267" s="6">
        <v>1266</v>
      </c>
      <c r="B1267" s="7" t="s">
        <v>9</v>
      </c>
      <c r="C1267" s="8">
        <v>1886</v>
      </c>
      <c r="D1267" s="9">
        <v>45418</v>
      </c>
      <c r="E1267" s="13" t="str">
        <f>+HYPERLINK("http://trademark.i-assist.jp/data/china/image_1886th/76917615.pdf","76917615")</f>
        <v>76917615</v>
      </c>
      <c r="F1267" s="7" t="s">
        <v>3446</v>
      </c>
      <c r="G1267" s="7" t="s">
        <v>3447</v>
      </c>
      <c r="H1267" s="7" t="s">
        <v>3448</v>
      </c>
      <c r="I1267" s="9">
        <v>45344</v>
      </c>
    </row>
    <row r="1268" spans="1:9" x14ac:dyDescent="0.15">
      <c r="A1268" s="6">
        <v>1267</v>
      </c>
      <c r="B1268" s="7" t="s">
        <v>9</v>
      </c>
      <c r="C1268" s="8">
        <v>1886</v>
      </c>
      <c r="D1268" s="9">
        <v>45418</v>
      </c>
      <c r="E1268" s="13" t="str">
        <f>+HYPERLINK("http://trademark.i-assist.jp/data/china/image_1886th/76917774.pdf","76917774")</f>
        <v>76917774</v>
      </c>
      <c r="F1268" s="7" t="s">
        <v>3449</v>
      </c>
      <c r="G1268" s="7" t="s">
        <v>3450</v>
      </c>
      <c r="H1268" s="7" t="s">
        <v>3451</v>
      </c>
      <c r="I1268" s="9">
        <v>45344</v>
      </c>
    </row>
    <row r="1269" spans="1:9" x14ac:dyDescent="0.15">
      <c r="A1269" s="6">
        <v>1268</v>
      </c>
      <c r="B1269" s="7" t="s">
        <v>9</v>
      </c>
      <c r="C1269" s="8">
        <v>1886</v>
      </c>
      <c r="D1269" s="9">
        <v>45418</v>
      </c>
      <c r="E1269" s="13" t="str">
        <f>+HYPERLINK("http://trademark.i-assist.jp/data/china/image_1886th/76918250.pdf","76918250")</f>
        <v>76918250</v>
      </c>
      <c r="F1269" s="7" t="s">
        <v>3452</v>
      </c>
      <c r="G1269" s="7" t="s">
        <v>3453</v>
      </c>
      <c r="H1269" s="7" t="s">
        <v>3454</v>
      </c>
      <c r="I1269" s="9">
        <v>45344</v>
      </c>
    </row>
    <row r="1270" spans="1:9" x14ac:dyDescent="0.15">
      <c r="A1270" s="6">
        <v>1269</v>
      </c>
      <c r="B1270" s="7" t="s">
        <v>9</v>
      </c>
      <c r="C1270" s="8">
        <v>1886</v>
      </c>
      <c r="D1270" s="9">
        <v>45418</v>
      </c>
      <c r="E1270" s="13" t="str">
        <f>+HYPERLINK("http://trademark.i-assist.jp/data/china/image_1886th/76918531.pdf","76918531")</f>
        <v>76918531</v>
      </c>
      <c r="F1270" s="7" t="s">
        <v>3455</v>
      </c>
      <c r="G1270" s="7" t="s">
        <v>3456</v>
      </c>
      <c r="H1270" s="7" t="s">
        <v>3457</v>
      </c>
      <c r="I1270" s="9">
        <v>45344</v>
      </c>
    </row>
    <row r="1271" spans="1:9" x14ac:dyDescent="0.15">
      <c r="A1271" s="6">
        <v>1270</v>
      </c>
      <c r="B1271" s="7" t="s">
        <v>9</v>
      </c>
      <c r="C1271" s="8">
        <v>1886</v>
      </c>
      <c r="D1271" s="9">
        <v>45418</v>
      </c>
      <c r="E1271" s="13" t="str">
        <f>+HYPERLINK("http://trademark.i-assist.jp/data/china/image_1886th/76919126.pdf","76919126")</f>
        <v>76919126</v>
      </c>
      <c r="F1271" s="7" t="s">
        <v>3458</v>
      </c>
      <c r="G1271" s="7" t="s">
        <v>3346</v>
      </c>
      <c r="H1271" s="7" t="s">
        <v>3459</v>
      </c>
      <c r="I1271" s="9">
        <v>45344</v>
      </c>
    </row>
    <row r="1272" spans="1:9" x14ac:dyDescent="0.15">
      <c r="A1272" s="6">
        <v>1271</v>
      </c>
      <c r="B1272" s="7" t="s">
        <v>9</v>
      </c>
      <c r="C1272" s="8">
        <v>1886</v>
      </c>
      <c r="D1272" s="9">
        <v>45418</v>
      </c>
      <c r="E1272" s="13" t="str">
        <f>+HYPERLINK("http://trademark.i-assist.jp/data/china/image_1886th/76919699.pdf","76919699")</f>
        <v>76919699</v>
      </c>
      <c r="F1272" s="7" t="s">
        <v>3460</v>
      </c>
      <c r="G1272" s="7" t="s">
        <v>3461</v>
      </c>
      <c r="H1272" s="7" t="s">
        <v>3462</v>
      </c>
      <c r="I1272" s="9">
        <v>45345</v>
      </c>
    </row>
    <row r="1273" spans="1:9" x14ac:dyDescent="0.15">
      <c r="A1273" s="6">
        <v>1272</v>
      </c>
      <c r="B1273" s="7" t="s">
        <v>9</v>
      </c>
      <c r="C1273" s="8">
        <v>1886</v>
      </c>
      <c r="D1273" s="9">
        <v>45418</v>
      </c>
      <c r="E1273" s="13" t="str">
        <f>+HYPERLINK("http://trademark.i-assist.jp/data/china/image_1886th/76919714.pdf","76919714")</f>
        <v>76919714</v>
      </c>
      <c r="F1273" s="7" t="s">
        <v>3463</v>
      </c>
      <c r="G1273" s="7" t="s">
        <v>3464</v>
      </c>
      <c r="H1273" s="7" t="s">
        <v>3465</v>
      </c>
      <c r="I1273" s="9">
        <v>45345</v>
      </c>
    </row>
    <row r="1274" spans="1:9" ht="27" x14ac:dyDescent="0.15">
      <c r="A1274" s="6">
        <v>1273</v>
      </c>
      <c r="B1274" s="7" t="s">
        <v>9</v>
      </c>
      <c r="C1274" s="8">
        <v>1886</v>
      </c>
      <c r="D1274" s="9">
        <v>45418</v>
      </c>
      <c r="E1274" s="13" t="str">
        <f>+HYPERLINK("http://trademark.i-assist.jp/data/china/image_1886th/76919856.pdf","76919856")</f>
        <v>76919856</v>
      </c>
      <c r="F1274" s="7" t="s">
        <v>33</v>
      </c>
      <c r="G1274" s="7" t="s">
        <v>3466</v>
      </c>
      <c r="H1274" s="7" t="s">
        <v>3467</v>
      </c>
      <c r="I1274" s="9">
        <v>45345</v>
      </c>
    </row>
    <row r="1275" spans="1:9" x14ac:dyDescent="0.15">
      <c r="A1275" s="6">
        <v>1274</v>
      </c>
      <c r="B1275" s="7" t="s">
        <v>9</v>
      </c>
      <c r="C1275" s="8">
        <v>1886</v>
      </c>
      <c r="D1275" s="9">
        <v>45418</v>
      </c>
      <c r="E1275" s="13" t="str">
        <f>+HYPERLINK("http://trademark.i-assist.jp/data/china/image_1886th/76919958.pdf","76919958")</f>
        <v>76919958</v>
      </c>
      <c r="F1275" s="7" t="s">
        <v>3468</v>
      </c>
      <c r="G1275" s="7" t="s">
        <v>3469</v>
      </c>
      <c r="H1275" s="7" t="s">
        <v>3470</v>
      </c>
      <c r="I1275" s="9">
        <v>45345</v>
      </c>
    </row>
    <row r="1276" spans="1:9" x14ac:dyDescent="0.15">
      <c r="A1276" s="6">
        <v>1275</v>
      </c>
      <c r="B1276" s="7" t="s">
        <v>9</v>
      </c>
      <c r="C1276" s="8">
        <v>1886</v>
      </c>
      <c r="D1276" s="9">
        <v>45418</v>
      </c>
      <c r="E1276" s="13" t="str">
        <f>+HYPERLINK("http://trademark.i-assist.jp/data/china/image_1886th/76919966.pdf","76919966")</f>
        <v>76919966</v>
      </c>
      <c r="F1276" s="7" t="s">
        <v>3471</v>
      </c>
      <c r="G1276" s="7" t="s">
        <v>3472</v>
      </c>
      <c r="H1276" s="7" t="s">
        <v>3473</v>
      </c>
      <c r="I1276" s="9">
        <v>45345</v>
      </c>
    </row>
    <row r="1277" spans="1:9" x14ac:dyDescent="0.15">
      <c r="A1277" s="6">
        <v>1276</v>
      </c>
      <c r="B1277" s="7" t="s">
        <v>9</v>
      </c>
      <c r="C1277" s="8">
        <v>1886</v>
      </c>
      <c r="D1277" s="9">
        <v>45418</v>
      </c>
      <c r="E1277" s="13" t="str">
        <f>+HYPERLINK("http://trademark.i-assist.jp/data/china/image_1886th/76920028.pdf","76920028")</f>
        <v>76920028</v>
      </c>
      <c r="F1277" s="7" t="s">
        <v>3474</v>
      </c>
      <c r="G1277" s="7" t="s">
        <v>3475</v>
      </c>
      <c r="H1277" s="7" t="s">
        <v>3476</v>
      </c>
      <c r="I1277" s="9">
        <v>45345</v>
      </c>
    </row>
    <row r="1278" spans="1:9" x14ac:dyDescent="0.15">
      <c r="A1278" s="6">
        <v>1277</v>
      </c>
      <c r="B1278" s="7" t="s">
        <v>9</v>
      </c>
      <c r="C1278" s="8">
        <v>1886</v>
      </c>
      <c r="D1278" s="9">
        <v>45418</v>
      </c>
      <c r="E1278" s="13" t="str">
        <f>+HYPERLINK("http://trademark.i-assist.jp/data/china/image_1886th/76920451.pdf","76920451")</f>
        <v>76920451</v>
      </c>
      <c r="F1278" s="7" t="s">
        <v>3477</v>
      </c>
      <c r="G1278" s="7" t="s">
        <v>3478</v>
      </c>
      <c r="H1278" s="7" t="s">
        <v>3479</v>
      </c>
      <c r="I1278" s="9">
        <v>45345</v>
      </c>
    </row>
    <row r="1279" spans="1:9" x14ac:dyDescent="0.15">
      <c r="A1279" s="6">
        <v>1278</v>
      </c>
      <c r="B1279" s="7" t="s">
        <v>9</v>
      </c>
      <c r="C1279" s="8">
        <v>1886</v>
      </c>
      <c r="D1279" s="9">
        <v>45418</v>
      </c>
      <c r="E1279" s="13" t="str">
        <f>+HYPERLINK("http://trademark.i-assist.jp/data/china/image_1886th/76920475.pdf","76920475")</f>
        <v>76920475</v>
      </c>
      <c r="F1279" s="7" t="s">
        <v>3480</v>
      </c>
      <c r="G1279" s="7" t="s">
        <v>3481</v>
      </c>
      <c r="H1279" s="7" t="s">
        <v>3482</v>
      </c>
      <c r="I1279" s="9">
        <v>45345</v>
      </c>
    </row>
    <row r="1280" spans="1:9" x14ac:dyDescent="0.15">
      <c r="A1280" s="6">
        <v>1279</v>
      </c>
      <c r="B1280" s="7" t="s">
        <v>9</v>
      </c>
      <c r="C1280" s="8">
        <v>1886</v>
      </c>
      <c r="D1280" s="9">
        <v>45418</v>
      </c>
      <c r="E1280" s="13" t="str">
        <f>+HYPERLINK("http://trademark.i-assist.jp/data/china/image_1886th/76920647.pdf","76920647")</f>
        <v>76920647</v>
      </c>
      <c r="F1280" s="7" t="s">
        <v>3483</v>
      </c>
      <c r="G1280" s="7" t="s">
        <v>3484</v>
      </c>
      <c r="H1280" s="7" t="s">
        <v>3485</v>
      </c>
      <c r="I1280" s="9">
        <v>45345</v>
      </c>
    </row>
    <row r="1281" spans="1:9" x14ac:dyDescent="0.15">
      <c r="A1281" s="6">
        <v>1280</v>
      </c>
      <c r="B1281" s="7" t="s">
        <v>9</v>
      </c>
      <c r="C1281" s="8">
        <v>1886</v>
      </c>
      <c r="D1281" s="9">
        <v>45418</v>
      </c>
      <c r="E1281" s="13" t="str">
        <f>+HYPERLINK("http://trademark.i-assist.jp/data/china/image_1886th/76920726.pdf","76920726")</f>
        <v>76920726</v>
      </c>
      <c r="F1281" s="7" t="s">
        <v>3486</v>
      </c>
      <c r="G1281" s="7" t="s">
        <v>3487</v>
      </c>
      <c r="H1281" s="7" t="s">
        <v>3488</v>
      </c>
      <c r="I1281" s="9">
        <v>45345</v>
      </c>
    </row>
    <row r="1282" spans="1:9" x14ac:dyDescent="0.15">
      <c r="A1282" s="6">
        <v>1281</v>
      </c>
      <c r="B1282" s="7" t="s">
        <v>9</v>
      </c>
      <c r="C1282" s="8">
        <v>1886</v>
      </c>
      <c r="D1282" s="9">
        <v>45418</v>
      </c>
      <c r="E1282" s="13" t="str">
        <f>+HYPERLINK("http://trademark.i-assist.jp/data/china/image_1886th/76920963.pdf","76920963")</f>
        <v>76920963</v>
      </c>
      <c r="F1282" s="7" t="s">
        <v>3489</v>
      </c>
      <c r="G1282" s="7" t="s">
        <v>1907</v>
      </c>
      <c r="H1282" s="7" t="s">
        <v>3490</v>
      </c>
      <c r="I1282" s="9">
        <v>45345</v>
      </c>
    </row>
    <row r="1283" spans="1:9" x14ac:dyDescent="0.15">
      <c r="A1283" s="6">
        <v>1282</v>
      </c>
      <c r="B1283" s="7" t="s">
        <v>9</v>
      </c>
      <c r="C1283" s="8">
        <v>1886</v>
      </c>
      <c r="D1283" s="9">
        <v>45418</v>
      </c>
      <c r="E1283" s="13" t="str">
        <f>+HYPERLINK("http://trademark.i-assist.jp/data/china/image_1886th/76921011.pdf","76921011")</f>
        <v>76921011</v>
      </c>
      <c r="F1283" s="7" t="s">
        <v>3491</v>
      </c>
      <c r="G1283" s="7" t="s">
        <v>3492</v>
      </c>
      <c r="H1283" s="7" t="s">
        <v>3493</v>
      </c>
      <c r="I1283" s="9">
        <v>45345</v>
      </c>
    </row>
    <row r="1284" spans="1:9" ht="27" x14ac:dyDescent="0.15">
      <c r="A1284" s="6">
        <v>1283</v>
      </c>
      <c r="B1284" s="7" t="s">
        <v>9</v>
      </c>
      <c r="C1284" s="8">
        <v>1886</v>
      </c>
      <c r="D1284" s="9">
        <v>45418</v>
      </c>
      <c r="E1284" s="13" t="str">
        <f>+HYPERLINK("http://trademark.i-assist.jp/data/china/image_1886th/76921082.pdf","76921082")</f>
        <v>76921082</v>
      </c>
      <c r="F1284" s="7" t="s">
        <v>33</v>
      </c>
      <c r="G1284" s="7" t="s">
        <v>3494</v>
      </c>
      <c r="H1284" s="7" t="s">
        <v>3495</v>
      </c>
      <c r="I1284" s="9">
        <v>45345</v>
      </c>
    </row>
    <row r="1285" spans="1:9" x14ac:dyDescent="0.15">
      <c r="A1285" s="6">
        <v>1284</v>
      </c>
      <c r="B1285" s="7" t="s">
        <v>9</v>
      </c>
      <c r="C1285" s="8">
        <v>1886</v>
      </c>
      <c r="D1285" s="9">
        <v>45418</v>
      </c>
      <c r="E1285" s="13" t="str">
        <f>+HYPERLINK("http://trademark.i-assist.jp/data/china/image_1886th/76921100.pdf","76921100")</f>
        <v>76921100</v>
      </c>
      <c r="F1285" s="7" t="s">
        <v>3496</v>
      </c>
      <c r="G1285" s="7" t="s">
        <v>3497</v>
      </c>
      <c r="H1285" s="7" t="s">
        <v>3498</v>
      </c>
      <c r="I1285" s="9">
        <v>45345</v>
      </c>
    </row>
    <row r="1286" spans="1:9" x14ac:dyDescent="0.15">
      <c r="A1286" s="6">
        <v>1285</v>
      </c>
      <c r="B1286" s="7" t="s">
        <v>9</v>
      </c>
      <c r="C1286" s="8">
        <v>1886</v>
      </c>
      <c r="D1286" s="9">
        <v>45418</v>
      </c>
      <c r="E1286" s="13" t="str">
        <f>+HYPERLINK("http://trademark.i-assist.jp/data/china/image_1886th/76921208.pdf","76921208")</f>
        <v>76921208</v>
      </c>
      <c r="F1286" s="7" t="s">
        <v>3499</v>
      </c>
      <c r="G1286" s="7" t="s">
        <v>3500</v>
      </c>
      <c r="H1286" s="7" t="s">
        <v>3501</v>
      </c>
      <c r="I1286" s="9">
        <v>45345</v>
      </c>
    </row>
    <row r="1287" spans="1:9" x14ac:dyDescent="0.15">
      <c r="A1287" s="6">
        <v>1286</v>
      </c>
      <c r="B1287" s="7" t="s">
        <v>9</v>
      </c>
      <c r="C1287" s="8">
        <v>1886</v>
      </c>
      <c r="D1287" s="9">
        <v>45418</v>
      </c>
      <c r="E1287" s="13" t="str">
        <f>+HYPERLINK("http://trademark.i-assist.jp/data/china/image_1886th/76921677.pdf","76921677")</f>
        <v>76921677</v>
      </c>
      <c r="F1287" s="7" t="s">
        <v>3502</v>
      </c>
      <c r="G1287" s="7" t="s">
        <v>3503</v>
      </c>
      <c r="H1287" s="7" t="s">
        <v>3504</v>
      </c>
      <c r="I1287" s="9">
        <v>45345</v>
      </c>
    </row>
    <row r="1288" spans="1:9" x14ac:dyDescent="0.15">
      <c r="A1288" s="6">
        <v>1287</v>
      </c>
      <c r="B1288" s="7" t="s">
        <v>9</v>
      </c>
      <c r="C1288" s="8">
        <v>1886</v>
      </c>
      <c r="D1288" s="9">
        <v>45418</v>
      </c>
      <c r="E1288" s="13" t="str">
        <f>+HYPERLINK("http://trademark.i-assist.jp/data/china/image_1886th/76921739.pdf","76921739")</f>
        <v>76921739</v>
      </c>
      <c r="F1288" s="7" t="s">
        <v>33</v>
      </c>
      <c r="G1288" s="7" t="s">
        <v>3505</v>
      </c>
      <c r="H1288" s="7" t="s">
        <v>3506</v>
      </c>
      <c r="I1288" s="9">
        <v>45345</v>
      </c>
    </row>
    <row r="1289" spans="1:9" x14ac:dyDescent="0.15">
      <c r="A1289" s="6">
        <v>1288</v>
      </c>
      <c r="B1289" s="7" t="s">
        <v>9</v>
      </c>
      <c r="C1289" s="8">
        <v>1886</v>
      </c>
      <c r="D1289" s="9">
        <v>45418</v>
      </c>
      <c r="E1289" s="13" t="str">
        <f>+HYPERLINK("http://trademark.i-assist.jp/data/china/image_1886th/76922096.pdf","76922096")</f>
        <v>76922096</v>
      </c>
      <c r="F1289" s="7" t="s">
        <v>3507</v>
      </c>
      <c r="G1289" s="7" t="s">
        <v>3508</v>
      </c>
      <c r="H1289" s="7" t="s">
        <v>3509</v>
      </c>
      <c r="I1289" s="9">
        <v>45345</v>
      </c>
    </row>
    <row r="1290" spans="1:9" x14ac:dyDescent="0.15">
      <c r="A1290" s="6">
        <v>1289</v>
      </c>
      <c r="B1290" s="7" t="s">
        <v>9</v>
      </c>
      <c r="C1290" s="8">
        <v>1886</v>
      </c>
      <c r="D1290" s="9">
        <v>45418</v>
      </c>
      <c r="E1290" s="13" t="str">
        <f>+HYPERLINK("http://trademark.i-assist.jp/data/china/image_1886th/76922112.pdf","76922112")</f>
        <v>76922112</v>
      </c>
      <c r="F1290" s="7" t="s">
        <v>3510</v>
      </c>
      <c r="G1290" s="7" t="s">
        <v>3511</v>
      </c>
      <c r="H1290" s="7" t="s">
        <v>3512</v>
      </c>
      <c r="I1290" s="9">
        <v>45345</v>
      </c>
    </row>
    <row r="1291" spans="1:9" x14ac:dyDescent="0.15">
      <c r="A1291" s="6">
        <v>1290</v>
      </c>
      <c r="B1291" s="7" t="s">
        <v>9</v>
      </c>
      <c r="C1291" s="8">
        <v>1886</v>
      </c>
      <c r="D1291" s="9">
        <v>45418</v>
      </c>
      <c r="E1291" s="13" t="str">
        <f>+HYPERLINK("http://trademark.i-assist.jp/data/china/image_1886th/76922140.pdf","76922140")</f>
        <v>76922140</v>
      </c>
      <c r="F1291" s="7" t="s">
        <v>3513</v>
      </c>
      <c r="G1291" s="7" t="s">
        <v>3484</v>
      </c>
      <c r="H1291" s="7" t="s">
        <v>3514</v>
      </c>
      <c r="I1291" s="9">
        <v>45345</v>
      </c>
    </row>
    <row r="1292" spans="1:9" x14ac:dyDescent="0.15">
      <c r="A1292" s="6">
        <v>1291</v>
      </c>
      <c r="B1292" s="7" t="s">
        <v>9</v>
      </c>
      <c r="C1292" s="8">
        <v>1886</v>
      </c>
      <c r="D1292" s="9">
        <v>45418</v>
      </c>
      <c r="E1292" s="13" t="str">
        <f>+HYPERLINK("http://trademark.i-assist.jp/data/china/image_1886th/76922146.pdf","76922146")</f>
        <v>76922146</v>
      </c>
      <c r="F1292" s="7" t="s">
        <v>3515</v>
      </c>
      <c r="G1292" s="7" t="s">
        <v>3516</v>
      </c>
      <c r="H1292" s="7" t="s">
        <v>3517</v>
      </c>
      <c r="I1292" s="9">
        <v>45345</v>
      </c>
    </row>
    <row r="1293" spans="1:9" x14ac:dyDescent="0.15">
      <c r="A1293" s="6">
        <v>1292</v>
      </c>
      <c r="B1293" s="7" t="s">
        <v>9</v>
      </c>
      <c r="C1293" s="8">
        <v>1886</v>
      </c>
      <c r="D1293" s="9">
        <v>45418</v>
      </c>
      <c r="E1293" s="13" t="str">
        <f>+HYPERLINK("http://trademark.i-assist.jp/data/china/image_1886th/76922148.pdf","76922148")</f>
        <v>76922148</v>
      </c>
      <c r="F1293" s="7" t="s">
        <v>33</v>
      </c>
      <c r="G1293" s="7" t="s">
        <v>3518</v>
      </c>
      <c r="H1293" s="7" t="s">
        <v>3519</v>
      </c>
      <c r="I1293" s="9">
        <v>45345</v>
      </c>
    </row>
    <row r="1294" spans="1:9" x14ac:dyDescent="0.15">
      <c r="A1294" s="6">
        <v>1293</v>
      </c>
      <c r="B1294" s="7" t="s">
        <v>9</v>
      </c>
      <c r="C1294" s="8">
        <v>1886</v>
      </c>
      <c r="D1294" s="9">
        <v>45418</v>
      </c>
      <c r="E1294" s="13" t="str">
        <f>+HYPERLINK("http://trademark.i-assist.jp/data/china/image_1886th/76922448.pdf","76922448")</f>
        <v>76922448</v>
      </c>
      <c r="F1294" s="7" t="s">
        <v>3520</v>
      </c>
      <c r="G1294" s="7" t="s">
        <v>3521</v>
      </c>
      <c r="H1294" s="7" t="s">
        <v>3522</v>
      </c>
      <c r="I1294" s="9">
        <v>45345</v>
      </c>
    </row>
    <row r="1295" spans="1:9" ht="27" x14ac:dyDescent="0.15">
      <c r="A1295" s="6">
        <v>1294</v>
      </c>
      <c r="B1295" s="7" t="s">
        <v>9</v>
      </c>
      <c r="C1295" s="8">
        <v>1886</v>
      </c>
      <c r="D1295" s="9">
        <v>45418</v>
      </c>
      <c r="E1295" s="13" t="str">
        <f>+HYPERLINK("http://trademark.i-assist.jp/data/china/image_1886th/76923375.pdf","76923375")</f>
        <v>76923375</v>
      </c>
      <c r="F1295" s="7" t="s">
        <v>3523</v>
      </c>
      <c r="G1295" s="7" t="s">
        <v>3524</v>
      </c>
      <c r="H1295" s="7" t="s">
        <v>3525</v>
      </c>
      <c r="I1295" s="9">
        <v>45345</v>
      </c>
    </row>
    <row r="1296" spans="1:9" x14ac:dyDescent="0.15">
      <c r="A1296" s="6">
        <v>1295</v>
      </c>
      <c r="B1296" s="7" t="s">
        <v>9</v>
      </c>
      <c r="C1296" s="8">
        <v>1886</v>
      </c>
      <c r="D1296" s="9">
        <v>45418</v>
      </c>
      <c r="E1296" s="13" t="str">
        <f>+HYPERLINK("http://trademark.i-assist.jp/data/china/image_1886th/76923383.pdf","76923383")</f>
        <v>76923383</v>
      </c>
      <c r="F1296" s="7" t="s">
        <v>3526</v>
      </c>
      <c r="G1296" s="7" t="s">
        <v>3527</v>
      </c>
      <c r="H1296" s="7" t="s">
        <v>3528</v>
      </c>
      <c r="I1296" s="9">
        <v>45345</v>
      </c>
    </row>
    <row r="1297" spans="1:9" x14ac:dyDescent="0.15">
      <c r="A1297" s="6">
        <v>1296</v>
      </c>
      <c r="B1297" s="7" t="s">
        <v>9</v>
      </c>
      <c r="C1297" s="8">
        <v>1886</v>
      </c>
      <c r="D1297" s="9">
        <v>45418</v>
      </c>
      <c r="E1297" s="13" t="str">
        <f>+HYPERLINK("http://trademark.i-assist.jp/data/china/image_1886th/76923483.pdf","76923483")</f>
        <v>76923483</v>
      </c>
      <c r="F1297" s="7" t="s">
        <v>3529</v>
      </c>
      <c r="G1297" s="7" t="s">
        <v>3461</v>
      </c>
      <c r="H1297" s="7" t="s">
        <v>3530</v>
      </c>
      <c r="I1297" s="9">
        <v>45345</v>
      </c>
    </row>
    <row r="1298" spans="1:9" x14ac:dyDescent="0.15">
      <c r="A1298" s="6">
        <v>1297</v>
      </c>
      <c r="B1298" s="7" t="s">
        <v>9</v>
      </c>
      <c r="C1298" s="8">
        <v>1886</v>
      </c>
      <c r="D1298" s="9">
        <v>45418</v>
      </c>
      <c r="E1298" s="13" t="str">
        <f>+HYPERLINK("http://trademark.i-assist.jp/data/china/image_1886th/76923583.pdf","76923583")</f>
        <v>76923583</v>
      </c>
      <c r="F1298" s="7" t="s">
        <v>3531</v>
      </c>
      <c r="G1298" s="7" t="s">
        <v>3532</v>
      </c>
      <c r="H1298" s="7" t="s">
        <v>3533</v>
      </c>
      <c r="I1298" s="9">
        <v>45345</v>
      </c>
    </row>
    <row r="1299" spans="1:9" x14ac:dyDescent="0.15">
      <c r="A1299" s="6">
        <v>1298</v>
      </c>
      <c r="B1299" s="7" t="s">
        <v>9</v>
      </c>
      <c r="C1299" s="8">
        <v>1886</v>
      </c>
      <c r="D1299" s="9">
        <v>45418</v>
      </c>
      <c r="E1299" s="13" t="str">
        <f>+HYPERLINK("http://trademark.i-assist.jp/data/china/image_1886th/76923599.pdf","76923599")</f>
        <v>76923599</v>
      </c>
      <c r="F1299" s="7" t="s">
        <v>3534</v>
      </c>
      <c r="G1299" s="7" t="s">
        <v>3535</v>
      </c>
      <c r="H1299" s="7" t="s">
        <v>3536</v>
      </c>
      <c r="I1299" s="9">
        <v>45345</v>
      </c>
    </row>
    <row r="1300" spans="1:9" ht="27" x14ac:dyDescent="0.15">
      <c r="A1300" s="6">
        <v>1299</v>
      </c>
      <c r="B1300" s="7" t="s">
        <v>9</v>
      </c>
      <c r="C1300" s="8">
        <v>1886</v>
      </c>
      <c r="D1300" s="9">
        <v>45418</v>
      </c>
      <c r="E1300" s="13" t="str">
        <f>+HYPERLINK("http://trademark.i-assist.jp/data/china/image_1886th/76923741.pdf","76923741")</f>
        <v>76923741</v>
      </c>
      <c r="F1300" s="7" t="s">
        <v>3537</v>
      </c>
      <c r="G1300" s="7" t="s">
        <v>3538</v>
      </c>
      <c r="H1300" s="7" t="s">
        <v>3539</v>
      </c>
      <c r="I1300" s="9">
        <v>45345</v>
      </c>
    </row>
    <row r="1301" spans="1:9" x14ac:dyDescent="0.15">
      <c r="A1301" s="6">
        <v>1300</v>
      </c>
      <c r="B1301" s="7" t="s">
        <v>9</v>
      </c>
      <c r="C1301" s="8">
        <v>1886</v>
      </c>
      <c r="D1301" s="9">
        <v>45418</v>
      </c>
      <c r="E1301" s="13" t="str">
        <f>+HYPERLINK("http://trademark.i-assist.jp/data/china/image_1886th/76924127.pdf","76924127")</f>
        <v>76924127</v>
      </c>
      <c r="F1301" s="7" t="s">
        <v>3540</v>
      </c>
      <c r="G1301" s="7" t="s">
        <v>3541</v>
      </c>
      <c r="H1301" s="7" t="s">
        <v>3542</v>
      </c>
      <c r="I1301" s="9">
        <v>45345</v>
      </c>
    </row>
    <row r="1302" spans="1:9" x14ac:dyDescent="0.15">
      <c r="A1302" s="6">
        <v>1301</v>
      </c>
      <c r="B1302" s="7" t="s">
        <v>9</v>
      </c>
      <c r="C1302" s="8">
        <v>1886</v>
      </c>
      <c r="D1302" s="9">
        <v>45418</v>
      </c>
      <c r="E1302" s="13" t="str">
        <f>+HYPERLINK("http://trademark.i-assist.jp/data/china/image_1886th/76924458.pdf","76924458")</f>
        <v>76924458</v>
      </c>
      <c r="F1302" s="7" t="s">
        <v>3543</v>
      </c>
      <c r="G1302" s="7" t="s">
        <v>3544</v>
      </c>
      <c r="H1302" s="7" t="s">
        <v>3545</v>
      </c>
      <c r="I1302" s="9">
        <v>45345</v>
      </c>
    </row>
    <row r="1303" spans="1:9" x14ac:dyDescent="0.15">
      <c r="A1303" s="6">
        <v>1302</v>
      </c>
      <c r="B1303" s="7" t="s">
        <v>9</v>
      </c>
      <c r="C1303" s="8">
        <v>1886</v>
      </c>
      <c r="D1303" s="9">
        <v>45418</v>
      </c>
      <c r="E1303" s="13" t="str">
        <f>+HYPERLINK("http://trademark.i-assist.jp/data/china/image_1886th/76924542.pdf","76924542")</f>
        <v>76924542</v>
      </c>
      <c r="F1303" s="7" t="s">
        <v>3546</v>
      </c>
      <c r="G1303" s="7" t="s">
        <v>1490</v>
      </c>
      <c r="H1303" s="7" t="s">
        <v>3547</v>
      </c>
      <c r="I1303" s="9">
        <v>45345</v>
      </c>
    </row>
    <row r="1304" spans="1:9" x14ac:dyDescent="0.15">
      <c r="A1304" s="6">
        <v>1303</v>
      </c>
      <c r="B1304" s="7" t="s">
        <v>9</v>
      </c>
      <c r="C1304" s="8">
        <v>1886</v>
      </c>
      <c r="D1304" s="9">
        <v>45418</v>
      </c>
      <c r="E1304" s="13" t="str">
        <f>+HYPERLINK("http://trademark.i-assist.jp/data/china/image_1886th/76925791.pdf","76925791")</f>
        <v>76925791</v>
      </c>
      <c r="F1304" s="7" t="s">
        <v>3548</v>
      </c>
      <c r="G1304" s="7" t="s">
        <v>1490</v>
      </c>
      <c r="H1304" s="7" t="s">
        <v>3549</v>
      </c>
      <c r="I1304" s="9">
        <v>45345</v>
      </c>
    </row>
    <row r="1305" spans="1:9" x14ac:dyDescent="0.15">
      <c r="A1305" s="6">
        <v>1304</v>
      </c>
      <c r="B1305" s="7" t="s">
        <v>9</v>
      </c>
      <c r="C1305" s="8">
        <v>1886</v>
      </c>
      <c r="D1305" s="9">
        <v>45418</v>
      </c>
      <c r="E1305" s="13" t="str">
        <f>+HYPERLINK("http://trademark.i-assist.jp/data/china/image_1886th/76925829.pdf","76925829")</f>
        <v>76925829</v>
      </c>
      <c r="F1305" s="7" t="s">
        <v>3550</v>
      </c>
      <c r="G1305" s="7" t="s">
        <v>3551</v>
      </c>
      <c r="H1305" s="7" t="s">
        <v>3552</v>
      </c>
      <c r="I1305" s="9">
        <v>45345</v>
      </c>
    </row>
    <row r="1306" spans="1:9" x14ac:dyDescent="0.15">
      <c r="A1306" s="6">
        <v>1305</v>
      </c>
      <c r="B1306" s="7" t="s">
        <v>9</v>
      </c>
      <c r="C1306" s="8">
        <v>1886</v>
      </c>
      <c r="D1306" s="9">
        <v>45418</v>
      </c>
      <c r="E1306" s="13" t="str">
        <f>+HYPERLINK("http://trademark.i-assist.jp/data/china/image_1886th/76926036.pdf","76926036")</f>
        <v>76926036</v>
      </c>
      <c r="F1306" s="7" t="s">
        <v>3553</v>
      </c>
      <c r="G1306" s="7" t="s">
        <v>1490</v>
      </c>
      <c r="H1306" s="7" t="s">
        <v>3554</v>
      </c>
      <c r="I1306" s="9">
        <v>45345</v>
      </c>
    </row>
    <row r="1307" spans="1:9" x14ac:dyDescent="0.15">
      <c r="A1307" s="6">
        <v>1306</v>
      </c>
      <c r="B1307" s="7" t="s">
        <v>9</v>
      </c>
      <c r="C1307" s="8">
        <v>1886</v>
      </c>
      <c r="D1307" s="9">
        <v>45418</v>
      </c>
      <c r="E1307" s="13" t="str">
        <f>+HYPERLINK("http://trademark.i-assist.jp/data/china/image_1886th/76926103.pdf","76926103")</f>
        <v>76926103</v>
      </c>
      <c r="F1307" s="7" t="s">
        <v>3555</v>
      </c>
      <c r="G1307" s="7" t="s">
        <v>3556</v>
      </c>
      <c r="H1307" s="7" t="s">
        <v>3557</v>
      </c>
      <c r="I1307" s="9">
        <v>45345</v>
      </c>
    </row>
    <row r="1308" spans="1:9" ht="27" x14ac:dyDescent="0.15">
      <c r="A1308" s="6">
        <v>1307</v>
      </c>
      <c r="B1308" s="7" t="s">
        <v>9</v>
      </c>
      <c r="C1308" s="8">
        <v>1886</v>
      </c>
      <c r="D1308" s="9">
        <v>45418</v>
      </c>
      <c r="E1308" s="13" t="str">
        <f>+HYPERLINK("http://trademark.i-assist.jp/data/china/image_1886th/76926263.pdf","76926263")</f>
        <v>76926263</v>
      </c>
      <c r="F1308" s="7" t="s">
        <v>3558</v>
      </c>
      <c r="G1308" s="7" t="s">
        <v>3559</v>
      </c>
      <c r="H1308" s="7" t="s">
        <v>3560</v>
      </c>
      <c r="I1308" s="9">
        <v>45345</v>
      </c>
    </row>
    <row r="1309" spans="1:9" x14ac:dyDescent="0.15">
      <c r="A1309" s="6">
        <v>1308</v>
      </c>
      <c r="B1309" s="7" t="s">
        <v>9</v>
      </c>
      <c r="C1309" s="8">
        <v>1886</v>
      </c>
      <c r="D1309" s="9">
        <v>45418</v>
      </c>
      <c r="E1309" s="13" t="str">
        <f>+HYPERLINK("http://trademark.i-assist.jp/data/china/image_1886th/76926540.pdf","76926540")</f>
        <v>76926540</v>
      </c>
      <c r="F1309" s="7" t="s">
        <v>3561</v>
      </c>
      <c r="G1309" s="7" t="s">
        <v>3562</v>
      </c>
      <c r="H1309" s="7" t="s">
        <v>3563</v>
      </c>
      <c r="I1309" s="9">
        <v>45345</v>
      </c>
    </row>
    <row r="1310" spans="1:9" x14ac:dyDescent="0.15">
      <c r="A1310" s="6">
        <v>1309</v>
      </c>
      <c r="B1310" s="7" t="s">
        <v>9</v>
      </c>
      <c r="C1310" s="8">
        <v>1886</v>
      </c>
      <c r="D1310" s="9">
        <v>45418</v>
      </c>
      <c r="E1310" s="13" t="str">
        <f>+HYPERLINK("http://trademark.i-assist.jp/data/china/image_1886th/76926669.pdf","76926669")</f>
        <v>76926669</v>
      </c>
      <c r="F1310" s="7" t="s">
        <v>3564</v>
      </c>
      <c r="G1310" s="7" t="s">
        <v>3565</v>
      </c>
      <c r="H1310" s="7" t="s">
        <v>3566</v>
      </c>
      <c r="I1310" s="9">
        <v>45345</v>
      </c>
    </row>
    <row r="1311" spans="1:9" x14ac:dyDescent="0.15">
      <c r="A1311" s="6">
        <v>1310</v>
      </c>
      <c r="B1311" s="7" t="s">
        <v>9</v>
      </c>
      <c r="C1311" s="8">
        <v>1886</v>
      </c>
      <c r="D1311" s="9">
        <v>45418</v>
      </c>
      <c r="E1311" s="13" t="str">
        <f>+HYPERLINK("http://trademark.i-assist.jp/data/china/image_1886th/76926723.pdf","76926723")</f>
        <v>76926723</v>
      </c>
      <c r="F1311" s="7" t="s">
        <v>3567</v>
      </c>
      <c r="G1311" s="7" t="s">
        <v>3568</v>
      </c>
      <c r="H1311" s="7" t="s">
        <v>3569</v>
      </c>
      <c r="I1311" s="9">
        <v>45345</v>
      </c>
    </row>
    <row r="1312" spans="1:9" ht="27" x14ac:dyDescent="0.15">
      <c r="A1312" s="6">
        <v>1311</v>
      </c>
      <c r="B1312" s="7" t="s">
        <v>9</v>
      </c>
      <c r="C1312" s="8">
        <v>1886</v>
      </c>
      <c r="D1312" s="9">
        <v>45418</v>
      </c>
      <c r="E1312" s="13" t="str">
        <f>+HYPERLINK("http://trademark.i-assist.jp/data/china/image_1886th/76926909.pdf","76926909")</f>
        <v>76926909</v>
      </c>
      <c r="F1312" s="7" t="s">
        <v>3570</v>
      </c>
      <c r="G1312" s="7" t="s">
        <v>3571</v>
      </c>
      <c r="H1312" s="7" t="s">
        <v>3572</v>
      </c>
      <c r="I1312" s="9">
        <v>45345</v>
      </c>
    </row>
    <row r="1313" spans="1:9" x14ac:dyDescent="0.15">
      <c r="A1313" s="6">
        <v>1312</v>
      </c>
      <c r="B1313" s="7" t="s">
        <v>9</v>
      </c>
      <c r="C1313" s="8">
        <v>1886</v>
      </c>
      <c r="D1313" s="9">
        <v>45418</v>
      </c>
      <c r="E1313" s="13" t="str">
        <f>+HYPERLINK("http://trademark.i-assist.jp/data/china/image_1886th/76927064.pdf","76927064")</f>
        <v>76927064</v>
      </c>
      <c r="F1313" s="7" t="s">
        <v>33</v>
      </c>
      <c r="G1313" s="7" t="s">
        <v>3573</v>
      </c>
      <c r="H1313" s="7" t="s">
        <v>3574</v>
      </c>
      <c r="I1313" s="9">
        <v>45345</v>
      </c>
    </row>
    <row r="1314" spans="1:9" x14ac:dyDescent="0.15">
      <c r="A1314" s="6">
        <v>1313</v>
      </c>
      <c r="B1314" s="7" t="s">
        <v>9</v>
      </c>
      <c r="C1314" s="8">
        <v>1886</v>
      </c>
      <c r="D1314" s="9">
        <v>45418</v>
      </c>
      <c r="E1314" s="13" t="str">
        <f>+HYPERLINK("http://trademark.i-assist.jp/data/china/image_1886th/76927183.pdf","76927183")</f>
        <v>76927183</v>
      </c>
      <c r="F1314" s="7" t="s">
        <v>3575</v>
      </c>
      <c r="G1314" s="7" t="s">
        <v>3576</v>
      </c>
      <c r="H1314" s="7" t="s">
        <v>3577</v>
      </c>
      <c r="I1314" s="9">
        <v>45345</v>
      </c>
    </row>
    <row r="1315" spans="1:9" x14ac:dyDescent="0.15">
      <c r="A1315" s="6">
        <v>1314</v>
      </c>
      <c r="B1315" s="7" t="s">
        <v>9</v>
      </c>
      <c r="C1315" s="8">
        <v>1886</v>
      </c>
      <c r="D1315" s="9">
        <v>45418</v>
      </c>
      <c r="E1315" s="13" t="str">
        <f>+HYPERLINK("http://trademark.i-assist.jp/data/china/image_1886th/76927221.pdf","76927221")</f>
        <v>76927221</v>
      </c>
      <c r="F1315" s="7" t="s">
        <v>3578</v>
      </c>
      <c r="G1315" s="7" t="s">
        <v>3579</v>
      </c>
      <c r="H1315" s="7" t="s">
        <v>3580</v>
      </c>
      <c r="I1315" s="9">
        <v>45345</v>
      </c>
    </row>
    <row r="1316" spans="1:9" x14ac:dyDescent="0.15">
      <c r="A1316" s="6">
        <v>1315</v>
      </c>
      <c r="B1316" s="7" t="s">
        <v>9</v>
      </c>
      <c r="C1316" s="8">
        <v>1886</v>
      </c>
      <c r="D1316" s="9">
        <v>45418</v>
      </c>
      <c r="E1316" s="13" t="str">
        <f>+HYPERLINK("http://trademark.i-assist.jp/data/china/image_1886th/76927509.pdf","76927509")</f>
        <v>76927509</v>
      </c>
      <c r="F1316" s="7" t="s">
        <v>3581</v>
      </c>
      <c r="G1316" s="7" t="s">
        <v>3582</v>
      </c>
      <c r="H1316" s="7" t="s">
        <v>3583</v>
      </c>
      <c r="I1316" s="9">
        <v>45345</v>
      </c>
    </row>
    <row r="1317" spans="1:9" x14ac:dyDescent="0.15">
      <c r="A1317" s="6">
        <v>1316</v>
      </c>
      <c r="B1317" s="7" t="s">
        <v>9</v>
      </c>
      <c r="C1317" s="8">
        <v>1886</v>
      </c>
      <c r="D1317" s="9">
        <v>45418</v>
      </c>
      <c r="E1317" s="13" t="str">
        <f>+HYPERLINK("http://trademark.i-assist.jp/data/china/image_1886th/76927819.pdf","76927819")</f>
        <v>76927819</v>
      </c>
      <c r="F1317" s="7" t="s">
        <v>3584</v>
      </c>
      <c r="G1317" s="7" t="s">
        <v>3585</v>
      </c>
      <c r="H1317" s="7" t="s">
        <v>3586</v>
      </c>
      <c r="I1317" s="9">
        <v>45345</v>
      </c>
    </row>
    <row r="1318" spans="1:9" x14ac:dyDescent="0.15">
      <c r="A1318" s="6">
        <v>1317</v>
      </c>
      <c r="B1318" s="7" t="s">
        <v>9</v>
      </c>
      <c r="C1318" s="8">
        <v>1886</v>
      </c>
      <c r="D1318" s="9">
        <v>45418</v>
      </c>
      <c r="E1318" s="13" t="str">
        <f>+HYPERLINK("http://trademark.i-assist.jp/data/china/image_1886th/76927887.pdf","76927887")</f>
        <v>76927887</v>
      </c>
      <c r="F1318" s="7" t="s">
        <v>3587</v>
      </c>
      <c r="G1318" s="7" t="s">
        <v>3588</v>
      </c>
      <c r="H1318" s="7" t="s">
        <v>3589</v>
      </c>
      <c r="I1318" s="9">
        <v>45345</v>
      </c>
    </row>
    <row r="1319" spans="1:9" x14ac:dyDescent="0.15">
      <c r="A1319" s="6">
        <v>1318</v>
      </c>
      <c r="B1319" s="7" t="s">
        <v>9</v>
      </c>
      <c r="C1319" s="8">
        <v>1886</v>
      </c>
      <c r="D1319" s="9">
        <v>45418</v>
      </c>
      <c r="E1319" s="13" t="str">
        <f>+HYPERLINK("http://trademark.i-assist.jp/data/china/image_1886th/76928021.pdf","76928021")</f>
        <v>76928021</v>
      </c>
      <c r="F1319" s="7" t="s">
        <v>3590</v>
      </c>
      <c r="G1319" s="7" t="s">
        <v>3492</v>
      </c>
      <c r="H1319" s="7" t="s">
        <v>3591</v>
      </c>
      <c r="I1319" s="9">
        <v>45345</v>
      </c>
    </row>
    <row r="1320" spans="1:9" x14ac:dyDescent="0.15">
      <c r="A1320" s="6">
        <v>1319</v>
      </c>
      <c r="B1320" s="7" t="s">
        <v>9</v>
      </c>
      <c r="C1320" s="8">
        <v>1886</v>
      </c>
      <c r="D1320" s="9">
        <v>45418</v>
      </c>
      <c r="E1320" s="13" t="str">
        <f>+HYPERLINK("http://trademark.i-assist.jp/data/china/image_1886th/76928223.pdf","76928223")</f>
        <v>76928223</v>
      </c>
      <c r="F1320" s="7" t="s">
        <v>3592</v>
      </c>
      <c r="G1320" s="7" t="s">
        <v>3593</v>
      </c>
      <c r="H1320" s="7" t="s">
        <v>3594</v>
      </c>
      <c r="I1320" s="9">
        <v>45345</v>
      </c>
    </row>
    <row r="1321" spans="1:9" ht="27" x14ac:dyDescent="0.15">
      <c r="A1321" s="6">
        <v>1320</v>
      </c>
      <c r="B1321" s="7" t="s">
        <v>9</v>
      </c>
      <c r="C1321" s="8">
        <v>1886</v>
      </c>
      <c r="D1321" s="9">
        <v>45418</v>
      </c>
      <c r="E1321" s="13" t="str">
        <f>+HYPERLINK("http://trademark.i-assist.jp/data/china/image_1886th/76928238.pdf","76928238")</f>
        <v>76928238</v>
      </c>
      <c r="F1321" s="7" t="s">
        <v>3595</v>
      </c>
      <c r="G1321" s="7" t="s">
        <v>3596</v>
      </c>
      <c r="H1321" s="7" t="s">
        <v>3597</v>
      </c>
      <c r="I1321" s="9">
        <v>45345</v>
      </c>
    </row>
    <row r="1322" spans="1:9" x14ac:dyDescent="0.15">
      <c r="A1322" s="6">
        <v>1321</v>
      </c>
      <c r="B1322" s="7" t="s">
        <v>9</v>
      </c>
      <c r="C1322" s="8">
        <v>1886</v>
      </c>
      <c r="D1322" s="9">
        <v>45418</v>
      </c>
      <c r="E1322" s="13" t="str">
        <f>+HYPERLINK("http://trademark.i-assist.jp/data/china/image_1886th/76928272.pdf","76928272")</f>
        <v>76928272</v>
      </c>
      <c r="F1322" s="7" t="s">
        <v>3598</v>
      </c>
      <c r="G1322" s="7" t="s">
        <v>3599</v>
      </c>
      <c r="H1322" s="7" t="s">
        <v>3600</v>
      </c>
      <c r="I1322" s="9">
        <v>45345</v>
      </c>
    </row>
    <row r="1323" spans="1:9" x14ac:dyDescent="0.15">
      <c r="A1323" s="6">
        <v>1322</v>
      </c>
      <c r="B1323" s="7" t="s">
        <v>9</v>
      </c>
      <c r="C1323" s="8">
        <v>1886</v>
      </c>
      <c r="D1323" s="9">
        <v>45418</v>
      </c>
      <c r="E1323" s="13" t="str">
        <f>+HYPERLINK("http://trademark.i-assist.jp/data/china/image_1886th/76929275.pdf","76929275")</f>
        <v>76929275</v>
      </c>
      <c r="F1323" s="7" t="s">
        <v>3601</v>
      </c>
      <c r="G1323" s="7" t="s">
        <v>3568</v>
      </c>
      <c r="H1323" s="7" t="s">
        <v>3602</v>
      </c>
      <c r="I1323" s="9">
        <v>45345</v>
      </c>
    </row>
    <row r="1324" spans="1:9" x14ac:dyDescent="0.15">
      <c r="A1324" s="6">
        <v>1323</v>
      </c>
      <c r="B1324" s="7" t="s">
        <v>9</v>
      </c>
      <c r="C1324" s="8">
        <v>1886</v>
      </c>
      <c r="D1324" s="9">
        <v>45418</v>
      </c>
      <c r="E1324" s="13" t="str">
        <f>+HYPERLINK("http://trademark.i-assist.jp/data/china/image_1886th/76929322.pdf","76929322")</f>
        <v>76929322</v>
      </c>
      <c r="F1324" s="7" t="s">
        <v>3603</v>
      </c>
      <c r="G1324" s="7" t="s">
        <v>1907</v>
      </c>
      <c r="H1324" s="7" t="s">
        <v>3604</v>
      </c>
      <c r="I1324" s="9">
        <v>45345</v>
      </c>
    </row>
    <row r="1325" spans="1:9" x14ac:dyDescent="0.15">
      <c r="A1325" s="6">
        <v>1324</v>
      </c>
      <c r="B1325" s="7" t="s">
        <v>9</v>
      </c>
      <c r="C1325" s="8">
        <v>1886</v>
      </c>
      <c r="D1325" s="9">
        <v>45418</v>
      </c>
      <c r="E1325" s="13" t="str">
        <f>+HYPERLINK("http://trademark.i-assist.jp/data/china/image_1886th/76929622.pdf","76929622")</f>
        <v>76929622</v>
      </c>
      <c r="F1325" s="7" t="s">
        <v>3605</v>
      </c>
      <c r="G1325" s="7" t="s">
        <v>3472</v>
      </c>
      <c r="H1325" s="7" t="s">
        <v>3606</v>
      </c>
      <c r="I1325" s="9">
        <v>45345</v>
      </c>
    </row>
    <row r="1326" spans="1:9" x14ac:dyDescent="0.15">
      <c r="A1326" s="6">
        <v>1325</v>
      </c>
      <c r="B1326" s="7" t="s">
        <v>9</v>
      </c>
      <c r="C1326" s="8">
        <v>1886</v>
      </c>
      <c r="D1326" s="9">
        <v>45418</v>
      </c>
      <c r="E1326" s="13" t="str">
        <f>+HYPERLINK("http://trademark.i-assist.jp/data/china/image_1886th/76930274.pdf","76930274")</f>
        <v>76930274</v>
      </c>
      <c r="F1326" s="7" t="s">
        <v>3607</v>
      </c>
      <c r="G1326" s="7" t="s">
        <v>3478</v>
      </c>
      <c r="H1326" s="7" t="s">
        <v>3608</v>
      </c>
      <c r="I1326" s="9">
        <v>45345</v>
      </c>
    </row>
    <row r="1327" spans="1:9" ht="27" x14ac:dyDescent="0.15">
      <c r="A1327" s="6">
        <v>1326</v>
      </c>
      <c r="B1327" s="7" t="s">
        <v>9</v>
      </c>
      <c r="C1327" s="8">
        <v>1886</v>
      </c>
      <c r="D1327" s="9">
        <v>45418</v>
      </c>
      <c r="E1327" s="13" t="str">
        <f>+HYPERLINK("http://trademark.i-assist.jp/data/china/image_1886th/76930755.pdf","76930755")</f>
        <v>76930755</v>
      </c>
      <c r="F1327" s="7" t="s">
        <v>3609</v>
      </c>
      <c r="G1327" s="7" t="s">
        <v>3610</v>
      </c>
      <c r="H1327" s="7" t="s">
        <v>3611</v>
      </c>
      <c r="I1327" s="9">
        <v>45345</v>
      </c>
    </row>
    <row r="1328" spans="1:9" ht="27" x14ac:dyDescent="0.15">
      <c r="A1328" s="6">
        <v>1327</v>
      </c>
      <c r="B1328" s="7" t="s">
        <v>9</v>
      </c>
      <c r="C1328" s="8">
        <v>1886</v>
      </c>
      <c r="D1328" s="9">
        <v>45418</v>
      </c>
      <c r="E1328" s="13" t="str">
        <f>+HYPERLINK("http://trademark.i-assist.jp/data/china/image_1886th/76930903.pdf","76930903")</f>
        <v>76930903</v>
      </c>
      <c r="F1328" s="7" t="s">
        <v>3612</v>
      </c>
      <c r="G1328" s="7" t="s">
        <v>3613</v>
      </c>
      <c r="H1328" s="7" t="s">
        <v>3614</v>
      </c>
      <c r="I1328" s="9">
        <v>45345</v>
      </c>
    </row>
    <row r="1329" spans="1:9" x14ac:dyDescent="0.15">
      <c r="A1329" s="6">
        <v>1328</v>
      </c>
      <c r="B1329" s="7" t="s">
        <v>9</v>
      </c>
      <c r="C1329" s="8">
        <v>1886</v>
      </c>
      <c r="D1329" s="9">
        <v>45418</v>
      </c>
      <c r="E1329" s="13" t="str">
        <f>+HYPERLINK("http://trademark.i-assist.jp/data/china/image_1886th/76931103.pdf","76931103")</f>
        <v>76931103</v>
      </c>
      <c r="F1329" s="7" t="s">
        <v>3615</v>
      </c>
      <c r="G1329" s="7" t="s">
        <v>3487</v>
      </c>
      <c r="H1329" s="7" t="s">
        <v>3616</v>
      </c>
      <c r="I1329" s="9">
        <v>45345</v>
      </c>
    </row>
    <row r="1330" spans="1:9" x14ac:dyDescent="0.15">
      <c r="A1330" s="6">
        <v>1329</v>
      </c>
      <c r="B1330" s="7" t="s">
        <v>9</v>
      </c>
      <c r="C1330" s="8">
        <v>1886</v>
      </c>
      <c r="D1330" s="9">
        <v>45418</v>
      </c>
      <c r="E1330" s="13" t="str">
        <f>+HYPERLINK("http://trademark.i-assist.jp/data/china/image_1886th/76931130.pdf","76931130")</f>
        <v>76931130</v>
      </c>
      <c r="F1330" s="7" t="s">
        <v>3617</v>
      </c>
      <c r="G1330" s="7" t="s">
        <v>3544</v>
      </c>
      <c r="H1330" s="7" t="s">
        <v>3618</v>
      </c>
      <c r="I1330" s="9">
        <v>45345</v>
      </c>
    </row>
    <row r="1331" spans="1:9" x14ac:dyDescent="0.15">
      <c r="A1331" s="6">
        <v>1330</v>
      </c>
      <c r="B1331" s="7" t="s">
        <v>9</v>
      </c>
      <c r="C1331" s="8">
        <v>1886</v>
      </c>
      <c r="D1331" s="9">
        <v>45418</v>
      </c>
      <c r="E1331" s="13" t="str">
        <f>+HYPERLINK("http://trademark.i-assist.jp/data/china/image_1886th/76931662.pdf","76931662")</f>
        <v>76931662</v>
      </c>
      <c r="F1331" s="7" t="s">
        <v>3619</v>
      </c>
      <c r="G1331" s="7" t="s">
        <v>1490</v>
      </c>
      <c r="H1331" s="7" t="s">
        <v>3620</v>
      </c>
      <c r="I1331" s="9">
        <v>45345</v>
      </c>
    </row>
    <row r="1332" spans="1:9" x14ac:dyDescent="0.15">
      <c r="A1332" s="6">
        <v>1331</v>
      </c>
      <c r="B1332" s="7" t="s">
        <v>9</v>
      </c>
      <c r="C1332" s="8">
        <v>1886</v>
      </c>
      <c r="D1332" s="9">
        <v>45418</v>
      </c>
      <c r="E1332" s="13" t="str">
        <f>+HYPERLINK("http://trademark.i-assist.jp/data/china/image_1886th/76931765.pdf","76931765")</f>
        <v>76931765</v>
      </c>
      <c r="F1332" s="7" t="s">
        <v>3621</v>
      </c>
      <c r="G1332" s="7" t="s">
        <v>3622</v>
      </c>
      <c r="H1332" s="7" t="s">
        <v>3623</v>
      </c>
      <c r="I1332" s="9">
        <v>45345</v>
      </c>
    </row>
    <row r="1333" spans="1:9" x14ac:dyDescent="0.15">
      <c r="A1333" s="6">
        <v>1332</v>
      </c>
      <c r="B1333" s="7" t="s">
        <v>9</v>
      </c>
      <c r="C1333" s="8">
        <v>1886</v>
      </c>
      <c r="D1333" s="9">
        <v>45418</v>
      </c>
      <c r="E1333" s="13" t="str">
        <f>+HYPERLINK("http://trademark.i-assist.jp/data/china/image_1886th/76931776.pdf","76931776")</f>
        <v>76931776</v>
      </c>
      <c r="F1333" s="7" t="s">
        <v>3624</v>
      </c>
      <c r="G1333" s="7" t="s">
        <v>3625</v>
      </c>
      <c r="H1333" s="7" t="s">
        <v>3626</v>
      </c>
      <c r="I1333" s="9">
        <v>45345</v>
      </c>
    </row>
    <row r="1334" spans="1:9" x14ac:dyDescent="0.15">
      <c r="A1334" s="6">
        <v>1333</v>
      </c>
      <c r="B1334" s="7" t="s">
        <v>9</v>
      </c>
      <c r="C1334" s="8">
        <v>1886</v>
      </c>
      <c r="D1334" s="9">
        <v>45418</v>
      </c>
      <c r="E1334" s="13" t="str">
        <f>+HYPERLINK("http://trademark.i-assist.jp/data/china/image_1886th/76931848.pdf","76931848")</f>
        <v>76931848</v>
      </c>
      <c r="F1334" s="7" t="s">
        <v>3627</v>
      </c>
      <c r="G1334" s="7" t="s">
        <v>3628</v>
      </c>
      <c r="H1334" s="7" t="s">
        <v>3629</v>
      </c>
      <c r="I1334" s="9">
        <v>45345</v>
      </c>
    </row>
    <row r="1335" spans="1:9" x14ac:dyDescent="0.15">
      <c r="A1335" s="6">
        <v>1334</v>
      </c>
      <c r="B1335" s="7" t="s">
        <v>9</v>
      </c>
      <c r="C1335" s="8">
        <v>1886</v>
      </c>
      <c r="D1335" s="9">
        <v>45418</v>
      </c>
      <c r="E1335" s="13" t="str">
        <f>+HYPERLINK("http://trademark.i-assist.jp/data/china/image_1886th/76931873.pdf","76931873")</f>
        <v>76931873</v>
      </c>
      <c r="F1335" s="7" t="s">
        <v>3630</v>
      </c>
      <c r="G1335" s="7" t="s">
        <v>3631</v>
      </c>
      <c r="H1335" s="7" t="s">
        <v>3632</v>
      </c>
      <c r="I1335" s="9">
        <v>45345</v>
      </c>
    </row>
    <row r="1336" spans="1:9" x14ac:dyDescent="0.15">
      <c r="A1336" s="6">
        <v>1335</v>
      </c>
      <c r="B1336" s="7" t="s">
        <v>9</v>
      </c>
      <c r="C1336" s="8">
        <v>1886</v>
      </c>
      <c r="D1336" s="9">
        <v>45418</v>
      </c>
      <c r="E1336" s="13" t="str">
        <f>+HYPERLINK("http://trademark.i-assist.jp/data/china/image_1886th/76931882.pdf","76931882")</f>
        <v>76931882</v>
      </c>
      <c r="F1336" s="7" t="s">
        <v>3633</v>
      </c>
      <c r="G1336" s="7" t="s">
        <v>3492</v>
      </c>
      <c r="H1336" s="7" t="s">
        <v>3634</v>
      </c>
      <c r="I1336" s="9">
        <v>45345</v>
      </c>
    </row>
    <row r="1337" spans="1:9" x14ac:dyDescent="0.15">
      <c r="A1337" s="6">
        <v>1336</v>
      </c>
      <c r="B1337" s="7" t="s">
        <v>9</v>
      </c>
      <c r="C1337" s="8">
        <v>1886</v>
      </c>
      <c r="D1337" s="9">
        <v>45418</v>
      </c>
      <c r="E1337" s="13" t="str">
        <f>+HYPERLINK("http://trademark.i-assist.jp/data/china/image_1886th/76932655.pdf","76932655")</f>
        <v>76932655</v>
      </c>
      <c r="F1337" s="7" t="s">
        <v>3635</v>
      </c>
      <c r="G1337" s="7" t="s">
        <v>3469</v>
      </c>
      <c r="H1337" s="7" t="s">
        <v>3636</v>
      </c>
      <c r="I1337" s="9">
        <v>45345</v>
      </c>
    </row>
    <row r="1338" spans="1:9" x14ac:dyDescent="0.15">
      <c r="A1338" s="6">
        <v>1337</v>
      </c>
      <c r="B1338" s="7" t="s">
        <v>9</v>
      </c>
      <c r="C1338" s="8">
        <v>1886</v>
      </c>
      <c r="D1338" s="9">
        <v>45418</v>
      </c>
      <c r="E1338" s="13" t="str">
        <f>+HYPERLINK("http://trademark.i-assist.jp/data/china/image_1886th/76932892.pdf","76932892")</f>
        <v>76932892</v>
      </c>
      <c r="F1338" s="7" t="s">
        <v>3637</v>
      </c>
      <c r="G1338" s="7" t="s">
        <v>3638</v>
      </c>
      <c r="H1338" s="7" t="s">
        <v>3639</v>
      </c>
      <c r="I1338" s="9">
        <v>45345</v>
      </c>
    </row>
    <row r="1339" spans="1:9" x14ac:dyDescent="0.15">
      <c r="A1339" s="6">
        <v>1338</v>
      </c>
      <c r="B1339" s="7" t="s">
        <v>9</v>
      </c>
      <c r="C1339" s="8">
        <v>1886</v>
      </c>
      <c r="D1339" s="9">
        <v>45418</v>
      </c>
      <c r="E1339" s="13" t="str">
        <f>+HYPERLINK("http://trademark.i-assist.jp/data/china/image_1886th/76933092.pdf","76933092")</f>
        <v>76933092</v>
      </c>
      <c r="F1339" s="7" t="s">
        <v>3640</v>
      </c>
      <c r="G1339" s="7" t="s">
        <v>3497</v>
      </c>
      <c r="H1339" s="7" t="s">
        <v>3641</v>
      </c>
      <c r="I1339" s="9">
        <v>45345</v>
      </c>
    </row>
    <row r="1340" spans="1:9" x14ac:dyDescent="0.15">
      <c r="A1340" s="6">
        <v>1339</v>
      </c>
      <c r="B1340" s="7" t="s">
        <v>9</v>
      </c>
      <c r="C1340" s="8">
        <v>1886</v>
      </c>
      <c r="D1340" s="9">
        <v>45418</v>
      </c>
      <c r="E1340" s="13" t="str">
        <f>+HYPERLINK("http://trademark.i-assist.jp/data/china/image_1886th/76933323.pdf","76933323")</f>
        <v>76933323</v>
      </c>
      <c r="F1340" s="7" t="s">
        <v>3642</v>
      </c>
      <c r="G1340" s="7" t="s">
        <v>3643</v>
      </c>
      <c r="H1340" s="7" t="s">
        <v>3644</v>
      </c>
      <c r="I1340" s="9">
        <v>45345</v>
      </c>
    </row>
    <row r="1341" spans="1:9" x14ac:dyDescent="0.15">
      <c r="A1341" s="6">
        <v>1340</v>
      </c>
      <c r="B1341" s="7" t="s">
        <v>9</v>
      </c>
      <c r="C1341" s="8">
        <v>1886</v>
      </c>
      <c r="D1341" s="9">
        <v>45418</v>
      </c>
      <c r="E1341" s="13" t="str">
        <f>+HYPERLINK("http://trademark.i-assist.jp/data/china/image_1886th/76933430.pdf","76933430")</f>
        <v>76933430</v>
      </c>
      <c r="F1341" s="7" t="s">
        <v>3645</v>
      </c>
      <c r="G1341" s="7" t="s">
        <v>3646</v>
      </c>
      <c r="H1341" s="7" t="s">
        <v>3647</v>
      </c>
      <c r="I1341" s="9">
        <v>45345</v>
      </c>
    </row>
    <row r="1342" spans="1:9" x14ac:dyDescent="0.15">
      <c r="A1342" s="6">
        <v>1341</v>
      </c>
      <c r="B1342" s="7" t="s">
        <v>9</v>
      </c>
      <c r="C1342" s="8">
        <v>1886</v>
      </c>
      <c r="D1342" s="9">
        <v>45418</v>
      </c>
      <c r="E1342" s="13" t="str">
        <f>+HYPERLINK("http://trademark.i-assist.jp/data/china/image_1886th/76933816.pdf","76933816")</f>
        <v>76933816</v>
      </c>
      <c r="F1342" s="7" t="s">
        <v>3648</v>
      </c>
      <c r="G1342" s="7" t="s">
        <v>3649</v>
      </c>
      <c r="H1342" s="7" t="s">
        <v>3650</v>
      </c>
      <c r="I1342" s="9">
        <v>45345</v>
      </c>
    </row>
    <row r="1343" spans="1:9" x14ac:dyDescent="0.15">
      <c r="A1343" s="6">
        <v>1342</v>
      </c>
      <c r="B1343" s="7" t="s">
        <v>9</v>
      </c>
      <c r="C1343" s="8">
        <v>1886</v>
      </c>
      <c r="D1343" s="9">
        <v>45418</v>
      </c>
      <c r="E1343" s="13" t="str">
        <f>+HYPERLINK("http://trademark.i-assist.jp/data/china/image_1886th/76933844.pdf","76933844")</f>
        <v>76933844</v>
      </c>
      <c r="F1343" s="7" t="s">
        <v>3651</v>
      </c>
      <c r="G1343" s="7" t="s">
        <v>3123</v>
      </c>
      <c r="H1343" s="7" t="s">
        <v>3652</v>
      </c>
      <c r="I1343" s="9">
        <v>45345</v>
      </c>
    </row>
    <row r="1344" spans="1:9" x14ac:dyDescent="0.15">
      <c r="A1344" s="6">
        <v>1343</v>
      </c>
      <c r="B1344" s="7" t="s">
        <v>9</v>
      </c>
      <c r="C1344" s="8">
        <v>1886</v>
      </c>
      <c r="D1344" s="9">
        <v>45418</v>
      </c>
      <c r="E1344" s="13" t="str">
        <f>+HYPERLINK("http://trademark.i-assist.jp/data/china/image_1886th/76934134.pdf","76934134")</f>
        <v>76934134</v>
      </c>
      <c r="F1344" s="7" t="s">
        <v>3653</v>
      </c>
      <c r="G1344" s="7" t="s">
        <v>3654</v>
      </c>
      <c r="H1344" s="7" t="s">
        <v>3655</v>
      </c>
      <c r="I1344" s="9">
        <v>45345</v>
      </c>
    </row>
    <row r="1345" spans="1:9" x14ac:dyDescent="0.15">
      <c r="A1345" s="6">
        <v>1344</v>
      </c>
      <c r="B1345" s="7" t="s">
        <v>9</v>
      </c>
      <c r="C1345" s="8">
        <v>1886</v>
      </c>
      <c r="D1345" s="9">
        <v>45418</v>
      </c>
      <c r="E1345" s="13" t="str">
        <f>+HYPERLINK("http://trademark.i-assist.jp/data/china/image_1886th/76934350.pdf","76934350")</f>
        <v>76934350</v>
      </c>
      <c r="F1345" s="7" t="s">
        <v>3656</v>
      </c>
      <c r="G1345" s="7" t="s">
        <v>3487</v>
      </c>
      <c r="H1345" s="7" t="s">
        <v>3657</v>
      </c>
      <c r="I1345" s="9">
        <v>45345</v>
      </c>
    </row>
    <row r="1346" spans="1:9" x14ac:dyDescent="0.15">
      <c r="A1346" s="6">
        <v>1345</v>
      </c>
      <c r="B1346" s="7" t="s">
        <v>9</v>
      </c>
      <c r="C1346" s="8">
        <v>1886</v>
      </c>
      <c r="D1346" s="9">
        <v>45418</v>
      </c>
      <c r="E1346" s="13" t="str">
        <f>+HYPERLINK("http://trademark.i-assist.jp/data/china/image_1886th/76934435.pdf","76934435")</f>
        <v>76934435</v>
      </c>
      <c r="F1346" s="7" t="s">
        <v>3658</v>
      </c>
      <c r="G1346" s="7" t="s">
        <v>3484</v>
      </c>
      <c r="H1346" s="7" t="s">
        <v>3659</v>
      </c>
      <c r="I1346" s="9">
        <v>45345</v>
      </c>
    </row>
    <row r="1347" spans="1:9" x14ac:dyDescent="0.15">
      <c r="A1347" s="6">
        <v>1346</v>
      </c>
      <c r="B1347" s="7" t="s">
        <v>9</v>
      </c>
      <c r="C1347" s="8">
        <v>1886</v>
      </c>
      <c r="D1347" s="9">
        <v>45418</v>
      </c>
      <c r="E1347" s="13" t="str">
        <f>+HYPERLINK("http://trademark.i-assist.jp/data/china/image_1886th/76934578.pdf","76934578")</f>
        <v>76934578</v>
      </c>
      <c r="F1347" s="7" t="s">
        <v>3660</v>
      </c>
      <c r="G1347" s="7" t="s">
        <v>3661</v>
      </c>
      <c r="H1347" s="7" t="s">
        <v>3662</v>
      </c>
      <c r="I1347" s="9">
        <v>45345</v>
      </c>
    </row>
    <row r="1348" spans="1:9" x14ac:dyDescent="0.15">
      <c r="A1348" s="6">
        <v>1347</v>
      </c>
      <c r="B1348" s="7" t="s">
        <v>9</v>
      </c>
      <c r="C1348" s="8">
        <v>1886</v>
      </c>
      <c r="D1348" s="9">
        <v>45418</v>
      </c>
      <c r="E1348" s="13" t="str">
        <f>+HYPERLINK("http://trademark.i-assist.jp/data/china/image_1886th/76934718.pdf","76934718")</f>
        <v>76934718</v>
      </c>
      <c r="F1348" s="7" t="s">
        <v>3663</v>
      </c>
      <c r="G1348" s="7" t="s">
        <v>3527</v>
      </c>
      <c r="H1348" s="7" t="s">
        <v>3664</v>
      </c>
      <c r="I1348" s="9">
        <v>45345</v>
      </c>
    </row>
    <row r="1349" spans="1:9" x14ac:dyDescent="0.15">
      <c r="A1349" s="6">
        <v>1348</v>
      </c>
      <c r="B1349" s="7" t="s">
        <v>9</v>
      </c>
      <c r="C1349" s="8">
        <v>1886</v>
      </c>
      <c r="D1349" s="9">
        <v>45418</v>
      </c>
      <c r="E1349" s="13" t="str">
        <f>+HYPERLINK("http://trademark.i-assist.jp/data/china/image_1886th/76934728.pdf","76934728")</f>
        <v>76934728</v>
      </c>
      <c r="F1349" s="7" t="s">
        <v>3665</v>
      </c>
      <c r="G1349" s="7" t="s">
        <v>3666</v>
      </c>
      <c r="H1349" s="7" t="s">
        <v>3667</v>
      </c>
      <c r="I1349" s="9">
        <v>45345</v>
      </c>
    </row>
    <row r="1350" spans="1:9" x14ac:dyDescent="0.15">
      <c r="A1350" s="6">
        <v>1349</v>
      </c>
      <c r="B1350" s="7" t="s">
        <v>9</v>
      </c>
      <c r="C1350" s="8">
        <v>1886</v>
      </c>
      <c r="D1350" s="9">
        <v>45418</v>
      </c>
      <c r="E1350" s="13" t="str">
        <f>+HYPERLINK("http://trademark.i-assist.jp/data/china/image_1886th/76935577.pdf","76935577")</f>
        <v>76935577</v>
      </c>
      <c r="F1350" s="7" t="s">
        <v>3668</v>
      </c>
      <c r="G1350" s="7" t="s">
        <v>3669</v>
      </c>
      <c r="H1350" s="7" t="s">
        <v>3670</v>
      </c>
      <c r="I1350" s="9">
        <v>45345</v>
      </c>
    </row>
    <row r="1351" spans="1:9" ht="27" x14ac:dyDescent="0.15">
      <c r="A1351" s="6">
        <v>1350</v>
      </c>
      <c r="B1351" s="7" t="s">
        <v>9</v>
      </c>
      <c r="C1351" s="8">
        <v>1886</v>
      </c>
      <c r="D1351" s="9">
        <v>45418</v>
      </c>
      <c r="E1351" s="13" t="str">
        <f>+HYPERLINK("http://trademark.i-assist.jp/data/china/image_1886th/76935771.pdf","76935771")</f>
        <v>76935771</v>
      </c>
      <c r="F1351" s="7" t="s">
        <v>3671</v>
      </c>
      <c r="G1351" s="7" t="s">
        <v>3672</v>
      </c>
      <c r="H1351" s="7" t="s">
        <v>3673</v>
      </c>
      <c r="I1351" s="9">
        <v>45345</v>
      </c>
    </row>
    <row r="1352" spans="1:9" x14ac:dyDescent="0.15">
      <c r="A1352" s="6">
        <v>1351</v>
      </c>
      <c r="B1352" s="7" t="s">
        <v>9</v>
      </c>
      <c r="C1352" s="8">
        <v>1886</v>
      </c>
      <c r="D1352" s="9">
        <v>45418</v>
      </c>
      <c r="E1352" s="13" t="str">
        <f>+HYPERLINK("http://trademark.i-assist.jp/data/china/image_1886th/76935792.pdf","76935792")</f>
        <v>76935792</v>
      </c>
      <c r="F1352" s="7" t="s">
        <v>3674</v>
      </c>
      <c r="G1352" s="7" t="s">
        <v>3675</v>
      </c>
      <c r="H1352" s="7" t="s">
        <v>3676</v>
      </c>
      <c r="I1352" s="9">
        <v>45345</v>
      </c>
    </row>
    <row r="1353" spans="1:9" x14ac:dyDescent="0.15">
      <c r="A1353" s="6">
        <v>1352</v>
      </c>
      <c r="B1353" s="7" t="s">
        <v>9</v>
      </c>
      <c r="C1353" s="8">
        <v>1886</v>
      </c>
      <c r="D1353" s="9">
        <v>45418</v>
      </c>
      <c r="E1353" s="13" t="str">
        <f>+HYPERLINK("http://trademark.i-assist.jp/data/china/image_1886th/76935847.pdf","76935847")</f>
        <v>76935847</v>
      </c>
      <c r="F1353" s="7" t="s">
        <v>3677</v>
      </c>
      <c r="G1353" s="7" t="s">
        <v>3678</v>
      </c>
      <c r="H1353" s="7" t="s">
        <v>3679</v>
      </c>
      <c r="I1353" s="9">
        <v>45345</v>
      </c>
    </row>
    <row r="1354" spans="1:9" x14ac:dyDescent="0.15">
      <c r="A1354" s="6">
        <v>1353</v>
      </c>
      <c r="B1354" s="7" t="s">
        <v>9</v>
      </c>
      <c r="C1354" s="8">
        <v>1886</v>
      </c>
      <c r="D1354" s="9">
        <v>45418</v>
      </c>
      <c r="E1354" s="13" t="str">
        <f>+HYPERLINK("http://trademark.i-assist.jp/data/china/image_1886th/76935919.pdf","76935919")</f>
        <v>76935919</v>
      </c>
      <c r="F1354" s="7" t="s">
        <v>3680</v>
      </c>
      <c r="G1354" s="7" t="s">
        <v>3582</v>
      </c>
      <c r="H1354" s="7" t="s">
        <v>3681</v>
      </c>
      <c r="I1354" s="9">
        <v>45345</v>
      </c>
    </row>
    <row r="1355" spans="1:9" x14ac:dyDescent="0.15">
      <c r="A1355" s="6">
        <v>1354</v>
      </c>
      <c r="B1355" s="7" t="s">
        <v>9</v>
      </c>
      <c r="C1355" s="8">
        <v>1886</v>
      </c>
      <c r="D1355" s="9">
        <v>45418</v>
      </c>
      <c r="E1355" s="13" t="str">
        <f>+HYPERLINK("http://trademark.i-assist.jp/data/china/image_1886th/76936169.pdf","76936169")</f>
        <v>76936169</v>
      </c>
      <c r="F1355" s="7" t="s">
        <v>3682</v>
      </c>
      <c r="G1355" s="7" t="s">
        <v>3521</v>
      </c>
      <c r="H1355" s="7" t="s">
        <v>3683</v>
      </c>
      <c r="I1355" s="9">
        <v>45345</v>
      </c>
    </row>
    <row r="1356" spans="1:9" x14ac:dyDescent="0.15">
      <c r="A1356" s="6">
        <v>1355</v>
      </c>
      <c r="B1356" s="7" t="s">
        <v>9</v>
      </c>
      <c r="C1356" s="8">
        <v>1886</v>
      </c>
      <c r="D1356" s="9">
        <v>45418</v>
      </c>
      <c r="E1356" s="13" t="str">
        <f>+HYPERLINK("http://trademark.i-assist.jp/data/china/image_1886th/76936434.pdf","76936434")</f>
        <v>76936434</v>
      </c>
      <c r="F1356" s="7" t="s">
        <v>3684</v>
      </c>
      <c r="G1356" s="7" t="s">
        <v>3685</v>
      </c>
      <c r="H1356" s="7" t="s">
        <v>3686</v>
      </c>
      <c r="I1356" s="9">
        <v>45345</v>
      </c>
    </row>
    <row r="1357" spans="1:9" x14ac:dyDescent="0.15">
      <c r="A1357" s="6">
        <v>1356</v>
      </c>
      <c r="B1357" s="7" t="s">
        <v>9</v>
      </c>
      <c r="C1357" s="8">
        <v>1886</v>
      </c>
      <c r="D1357" s="9">
        <v>45418</v>
      </c>
      <c r="E1357" s="13" t="str">
        <f>+HYPERLINK("http://trademark.i-assist.jp/data/china/image_1886th/76936802.pdf","76936802")</f>
        <v>76936802</v>
      </c>
      <c r="F1357" s="7" t="s">
        <v>3687</v>
      </c>
      <c r="G1357" s="7" t="s">
        <v>3688</v>
      </c>
      <c r="H1357" s="7" t="s">
        <v>3689</v>
      </c>
      <c r="I1357" s="9">
        <v>45345</v>
      </c>
    </row>
    <row r="1358" spans="1:9" ht="27" x14ac:dyDescent="0.15">
      <c r="A1358" s="6">
        <v>1357</v>
      </c>
      <c r="B1358" s="7" t="s">
        <v>9</v>
      </c>
      <c r="C1358" s="8">
        <v>1886</v>
      </c>
      <c r="D1358" s="9">
        <v>45418</v>
      </c>
      <c r="E1358" s="13" t="str">
        <f>+HYPERLINK("http://trademark.i-assist.jp/data/china/image_1886th/76936817.pdf","76936817")</f>
        <v>76936817</v>
      </c>
      <c r="F1358" s="7" t="s">
        <v>3690</v>
      </c>
      <c r="G1358" s="7" t="s">
        <v>3691</v>
      </c>
      <c r="H1358" s="7" t="s">
        <v>3692</v>
      </c>
      <c r="I1358" s="9">
        <v>45345</v>
      </c>
    </row>
    <row r="1359" spans="1:9" x14ac:dyDescent="0.15">
      <c r="A1359" s="6">
        <v>1358</v>
      </c>
      <c r="B1359" s="7" t="s">
        <v>9</v>
      </c>
      <c r="C1359" s="8">
        <v>1886</v>
      </c>
      <c r="D1359" s="9">
        <v>45418</v>
      </c>
      <c r="E1359" s="13" t="str">
        <f>+HYPERLINK("http://trademark.i-assist.jp/data/china/image_1886th/76936971.pdf","76936971")</f>
        <v>76936971</v>
      </c>
      <c r="F1359" s="7" t="s">
        <v>33</v>
      </c>
      <c r="G1359" s="7" t="s">
        <v>3693</v>
      </c>
      <c r="H1359" s="7" t="s">
        <v>3694</v>
      </c>
      <c r="I1359" s="9">
        <v>45345</v>
      </c>
    </row>
    <row r="1360" spans="1:9" x14ac:dyDescent="0.15">
      <c r="A1360" s="6">
        <v>1359</v>
      </c>
      <c r="B1360" s="7" t="s">
        <v>9</v>
      </c>
      <c r="C1360" s="8">
        <v>1886</v>
      </c>
      <c r="D1360" s="9">
        <v>45418</v>
      </c>
      <c r="E1360" s="13" t="str">
        <f>+HYPERLINK("http://trademark.i-assist.jp/data/china/image_1886th/76937074.pdf","76937074")</f>
        <v>76937074</v>
      </c>
      <c r="F1360" s="7" t="s">
        <v>3695</v>
      </c>
      <c r="G1360" s="7" t="s">
        <v>3696</v>
      </c>
      <c r="H1360" s="7" t="s">
        <v>3697</v>
      </c>
      <c r="I1360" s="9">
        <v>45345</v>
      </c>
    </row>
    <row r="1361" spans="1:9" x14ac:dyDescent="0.15">
      <c r="A1361" s="6">
        <v>1360</v>
      </c>
      <c r="B1361" s="7" t="s">
        <v>9</v>
      </c>
      <c r="C1361" s="8">
        <v>1886</v>
      </c>
      <c r="D1361" s="9">
        <v>45418</v>
      </c>
      <c r="E1361" s="13" t="str">
        <f>+HYPERLINK("http://trademark.i-assist.jp/data/china/image_1886th/76937241.pdf","76937241")</f>
        <v>76937241</v>
      </c>
      <c r="F1361" s="7" t="s">
        <v>3698</v>
      </c>
      <c r="G1361" s="7" t="s">
        <v>3622</v>
      </c>
      <c r="H1361" s="7" t="s">
        <v>3699</v>
      </c>
      <c r="I1361" s="9">
        <v>45345</v>
      </c>
    </row>
    <row r="1362" spans="1:9" ht="27" x14ac:dyDescent="0.15">
      <c r="A1362" s="6">
        <v>1361</v>
      </c>
      <c r="B1362" s="7" t="s">
        <v>9</v>
      </c>
      <c r="C1362" s="8">
        <v>1886</v>
      </c>
      <c r="D1362" s="9">
        <v>45418</v>
      </c>
      <c r="E1362" s="13" t="str">
        <f>+HYPERLINK("http://trademark.i-assist.jp/data/china/image_1886th/76937301.pdf","76937301")</f>
        <v>76937301</v>
      </c>
      <c r="F1362" s="7" t="s">
        <v>3700</v>
      </c>
      <c r="G1362" s="7" t="s">
        <v>3701</v>
      </c>
      <c r="H1362" s="7" t="s">
        <v>3702</v>
      </c>
      <c r="I1362" s="9">
        <v>45345</v>
      </c>
    </row>
    <row r="1363" spans="1:9" x14ac:dyDescent="0.15">
      <c r="A1363" s="6">
        <v>1362</v>
      </c>
      <c r="B1363" s="7" t="s">
        <v>9</v>
      </c>
      <c r="C1363" s="8">
        <v>1886</v>
      </c>
      <c r="D1363" s="9">
        <v>45418</v>
      </c>
      <c r="E1363" s="13" t="str">
        <f>+HYPERLINK("http://trademark.i-assist.jp/data/china/image_1886th/76937513.pdf","76937513")</f>
        <v>76937513</v>
      </c>
      <c r="F1363" s="7" t="s">
        <v>3703</v>
      </c>
      <c r="G1363" s="7" t="s">
        <v>3704</v>
      </c>
      <c r="H1363" s="7" t="s">
        <v>3705</v>
      </c>
      <c r="I1363" s="9">
        <v>45345</v>
      </c>
    </row>
    <row r="1364" spans="1:9" x14ac:dyDescent="0.15">
      <c r="A1364" s="6">
        <v>1363</v>
      </c>
      <c r="B1364" s="7" t="s">
        <v>9</v>
      </c>
      <c r="C1364" s="8">
        <v>1886</v>
      </c>
      <c r="D1364" s="9">
        <v>45418</v>
      </c>
      <c r="E1364" s="13" t="str">
        <f>+HYPERLINK("http://trademark.i-assist.jp/data/china/image_1886th/76938240.pdf","76938240")</f>
        <v>76938240</v>
      </c>
      <c r="F1364" s="7" t="s">
        <v>3706</v>
      </c>
      <c r="G1364" s="7" t="s">
        <v>3707</v>
      </c>
      <c r="H1364" s="7" t="s">
        <v>3708</v>
      </c>
      <c r="I1364" s="9">
        <v>45345</v>
      </c>
    </row>
    <row r="1365" spans="1:9" x14ac:dyDescent="0.15">
      <c r="A1365" s="6">
        <v>1364</v>
      </c>
      <c r="B1365" s="7" t="s">
        <v>9</v>
      </c>
      <c r="C1365" s="8">
        <v>1886</v>
      </c>
      <c r="D1365" s="9">
        <v>45418</v>
      </c>
      <c r="E1365" s="13" t="str">
        <f>+HYPERLINK("http://trademark.i-assist.jp/data/china/image_1886th/76938348.pdf","76938348")</f>
        <v>76938348</v>
      </c>
      <c r="F1365" s="7" t="s">
        <v>3709</v>
      </c>
      <c r="G1365" s="7" t="s">
        <v>3666</v>
      </c>
      <c r="H1365" s="7" t="s">
        <v>3710</v>
      </c>
      <c r="I1365" s="9">
        <v>45345</v>
      </c>
    </row>
    <row r="1366" spans="1:9" x14ac:dyDescent="0.15">
      <c r="A1366" s="6">
        <v>1365</v>
      </c>
      <c r="B1366" s="7" t="s">
        <v>9</v>
      </c>
      <c r="C1366" s="8">
        <v>1886</v>
      </c>
      <c r="D1366" s="9">
        <v>45418</v>
      </c>
      <c r="E1366" s="13" t="str">
        <f>+HYPERLINK("http://trademark.i-assist.jp/data/china/image_1886th/76938350.pdf","76938350")</f>
        <v>76938350</v>
      </c>
      <c r="F1366" s="7" t="s">
        <v>3711</v>
      </c>
      <c r="G1366" s="7" t="s">
        <v>3712</v>
      </c>
      <c r="H1366" s="7" t="s">
        <v>3713</v>
      </c>
      <c r="I1366" s="9">
        <v>45345</v>
      </c>
    </row>
    <row r="1367" spans="1:9" x14ac:dyDescent="0.15">
      <c r="A1367" s="6">
        <v>1366</v>
      </c>
      <c r="B1367" s="7" t="s">
        <v>9</v>
      </c>
      <c r="C1367" s="8">
        <v>1886</v>
      </c>
      <c r="D1367" s="9">
        <v>45418</v>
      </c>
      <c r="E1367" s="13" t="str">
        <f>+HYPERLINK("http://trademark.i-assist.jp/data/china/image_1886th/76938426.pdf","76938426")</f>
        <v>76938426</v>
      </c>
      <c r="F1367" s="7" t="s">
        <v>3714</v>
      </c>
      <c r="G1367" s="7" t="s">
        <v>3715</v>
      </c>
      <c r="H1367" s="7" t="s">
        <v>3716</v>
      </c>
      <c r="I1367" s="9">
        <v>45345</v>
      </c>
    </row>
    <row r="1368" spans="1:9" x14ac:dyDescent="0.15">
      <c r="A1368" s="6">
        <v>1367</v>
      </c>
      <c r="B1368" s="7" t="s">
        <v>9</v>
      </c>
      <c r="C1368" s="8">
        <v>1886</v>
      </c>
      <c r="D1368" s="9">
        <v>45418</v>
      </c>
      <c r="E1368" s="13" t="str">
        <f>+HYPERLINK("http://trademark.i-assist.jp/data/china/image_1886th/76938546.pdf","76938546")</f>
        <v>76938546</v>
      </c>
      <c r="F1368" s="7" t="s">
        <v>3717</v>
      </c>
      <c r="G1368" s="7" t="s">
        <v>3469</v>
      </c>
      <c r="H1368" s="7" t="s">
        <v>3718</v>
      </c>
      <c r="I1368" s="9">
        <v>45345</v>
      </c>
    </row>
    <row r="1369" spans="1:9" ht="27" x14ac:dyDescent="0.15">
      <c r="A1369" s="6">
        <v>1368</v>
      </c>
      <c r="B1369" s="7" t="s">
        <v>9</v>
      </c>
      <c r="C1369" s="8">
        <v>1886</v>
      </c>
      <c r="D1369" s="9">
        <v>45418</v>
      </c>
      <c r="E1369" s="13" t="str">
        <f>+HYPERLINK("http://trademark.i-assist.jp/data/china/image_1886th/76938592.pdf","76938592")</f>
        <v>76938592</v>
      </c>
      <c r="F1369" s="7" t="s">
        <v>3719</v>
      </c>
      <c r="G1369" s="7" t="s">
        <v>3720</v>
      </c>
      <c r="H1369" s="7" t="s">
        <v>3721</v>
      </c>
      <c r="I1369" s="9">
        <v>45345</v>
      </c>
    </row>
    <row r="1370" spans="1:9" x14ac:dyDescent="0.15">
      <c r="A1370" s="6">
        <v>1369</v>
      </c>
      <c r="B1370" s="7" t="s">
        <v>9</v>
      </c>
      <c r="C1370" s="8">
        <v>1886</v>
      </c>
      <c r="D1370" s="9">
        <v>45418</v>
      </c>
      <c r="E1370" s="13" t="str">
        <f>+HYPERLINK("http://trademark.i-assist.jp/data/china/image_1886th/76938635.pdf","76938635")</f>
        <v>76938635</v>
      </c>
      <c r="F1370" s="7" t="s">
        <v>3722</v>
      </c>
      <c r="G1370" s="7" t="s">
        <v>3723</v>
      </c>
      <c r="H1370" s="7" t="s">
        <v>3724</v>
      </c>
      <c r="I1370" s="9">
        <v>45345</v>
      </c>
    </row>
    <row r="1371" spans="1:9" x14ac:dyDescent="0.15">
      <c r="A1371" s="6">
        <v>1370</v>
      </c>
      <c r="B1371" s="7" t="s">
        <v>9</v>
      </c>
      <c r="C1371" s="8">
        <v>1886</v>
      </c>
      <c r="D1371" s="9">
        <v>45418</v>
      </c>
      <c r="E1371" s="13" t="str">
        <f>+HYPERLINK("http://trademark.i-assist.jp/data/china/image_1886th/76938844.pdf","76938844")</f>
        <v>76938844</v>
      </c>
      <c r="F1371" s="7" t="s">
        <v>3725</v>
      </c>
      <c r="G1371" s="7" t="s">
        <v>3726</v>
      </c>
      <c r="H1371" s="7" t="s">
        <v>3727</v>
      </c>
      <c r="I1371" s="9">
        <v>45345</v>
      </c>
    </row>
    <row r="1372" spans="1:9" ht="27" x14ac:dyDescent="0.15">
      <c r="A1372" s="6">
        <v>1371</v>
      </c>
      <c r="B1372" s="7" t="s">
        <v>9</v>
      </c>
      <c r="C1372" s="8">
        <v>1886</v>
      </c>
      <c r="D1372" s="9">
        <v>45418</v>
      </c>
      <c r="E1372" s="13" t="str">
        <f>+HYPERLINK("http://trademark.i-assist.jp/data/china/image_1886th/76939155.pdf","76939155")</f>
        <v>76939155</v>
      </c>
      <c r="F1372" s="7" t="s">
        <v>3728</v>
      </c>
      <c r="G1372" s="7" t="s">
        <v>3729</v>
      </c>
      <c r="H1372" s="7" t="s">
        <v>3730</v>
      </c>
      <c r="I1372" s="9">
        <v>45345</v>
      </c>
    </row>
    <row r="1373" spans="1:9" x14ac:dyDescent="0.15">
      <c r="A1373" s="6">
        <v>1372</v>
      </c>
      <c r="B1373" s="7" t="s">
        <v>9</v>
      </c>
      <c r="C1373" s="8">
        <v>1886</v>
      </c>
      <c r="D1373" s="9">
        <v>45418</v>
      </c>
      <c r="E1373" s="13" t="str">
        <f>+HYPERLINK("http://trademark.i-assist.jp/data/china/image_1886th/76939955.pdf","76939955")</f>
        <v>76939955</v>
      </c>
      <c r="F1373" s="7" t="s">
        <v>3731</v>
      </c>
      <c r="G1373" s="7" t="s">
        <v>3732</v>
      </c>
      <c r="H1373" s="7" t="s">
        <v>3733</v>
      </c>
      <c r="I1373" s="9">
        <v>45345</v>
      </c>
    </row>
    <row r="1374" spans="1:9" x14ac:dyDescent="0.15">
      <c r="A1374" s="6">
        <v>1373</v>
      </c>
      <c r="B1374" s="7" t="s">
        <v>9</v>
      </c>
      <c r="C1374" s="8">
        <v>1886</v>
      </c>
      <c r="D1374" s="9">
        <v>45418</v>
      </c>
      <c r="E1374" s="13" t="str">
        <f>+HYPERLINK("http://trademark.i-assist.jp/data/china/image_1886th/76940064.pdf","76940064")</f>
        <v>76940064</v>
      </c>
      <c r="F1374" s="7" t="s">
        <v>3734</v>
      </c>
      <c r="G1374" s="7" t="s">
        <v>3646</v>
      </c>
      <c r="H1374" s="7" t="s">
        <v>3735</v>
      </c>
      <c r="I1374" s="9">
        <v>45345</v>
      </c>
    </row>
    <row r="1375" spans="1:9" x14ac:dyDescent="0.15">
      <c r="A1375" s="6">
        <v>1374</v>
      </c>
      <c r="B1375" s="7" t="s">
        <v>9</v>
      </c>
      <c r="C1375" s="8">
        <v>1886</v>
      </c>
      <c r="D1375" s="9">
        <v>45418</v>
      </c>
      <c r="E1375" s="13" t="str">
        <f>+HYPERLINK("http://trademark.i-assist.jp/data/china/image_1886th/76940205.pdf","76940205")</f>
        <v>76940205</v>
      </c>
      <c r="F1375" s="7" t="s">
        <v>3736</v>
      </c>
      <c r="G1375" s="7" t="s">
        <v>3646</v>
      </c>
      <c r="H1375" s="7" t="s">
        <v>3737</v>
      </c>
      <c r="I1375" s="9">
        <v>45345</v>
      </c>
    </row>
    <row r="1376" spans="1:9" x14ac:dyDescent="0.15">
      <c r="A1376" s="6">
        <v>1375</v>
      </c>
      <c r="B1376" s="7" t="s">
        <v>9</v>
      </c>
      <c r="C1376" s="8">
        <v>1886</v>
      </c>
      <c r="D1376" s="9">
        <v>45418</v>
      </c>
      <c r="E1376" s="13" t="str">
        <f>+HYPERLINK("http://trademark.i-assist.jp/data/china/image_1886th/76940215.pdf","76940215")</f>
        <v>76940215</v>
      </c>
      <c r="F1376" s="7" t="s">
        <v>3738</v>
      </c>
      <c r="G1376" s="7" t="s">
        <v>3527</v>
      </c>
      <c r="H1376" s="7" t="s">
        <v>3739</v>
      </c>
      <c r="I1376" s="9">
        <v>45345</v>
      </c>
    </row>
    <row r="1377" spans="1:9" x14ac:dyDescent="0.15">
      <c r="A1377" s="6">
        <v>1376</v>
      </c>
      <c r="B1377" s="7" t="s">
        <v>9</v>
      </c>
      <c r="C1377" s="8">
        <v>1886</v>
      </c>
      <c r="D1377" s="9">
        <v>45418</v>
      </c>
      <c r="E1377" s="13" t="str">
        <f>+HYPERLINK("http://trademark.i-assist.jp/data/china/image_1886th/76941105.pdf","76941105")</f>
        <v>76941105</v>
      </c>
      <c r="F1377" s="7" t="s">
        <v>3740</v>
      </c>
      <c r="G1377" s="7" t="s">
        <v>3741</v>
      </c>
      <c r="H1377" s="7" t="s">
        <v>3742</v>
      </c>
      <c r="I1377" s="9">
        <v>45346</v>
      </c>
    </row>
    <row r="1378" spans="1:9" x14ac:dyDescent="0.15">
      <c r="A1378" s="6">
        <v>1377</v>
      </c>
      <c r="B1378" s="7" t="s">
        <v>9</v>
      </c>
      <c r="C1378" s="8">
        <v>1886</v>
      </c>
      <c r="D1378" s="9">
        <v>45418</v>
      </c>
      <c r="E1378" s="13" t="str">
        <f>+HYPERLINK("http://trademark.i-assist.jp/data/china/image_1886th/76941602.pdf","76941602")</f>
        <v>76941602</v>
      </c>
      <c r="F1378" s="7" t="s">
        <v>3743</v>
      </c>
      <c r="G1378" s="7" t="s">
        <v>3743</v>
      </c>
      <c r="H1378" s="7" t="s">
        <v>3744</v>
      </c>
      <c r="I1378" s="9">
        <v>45346</v>
      </c>
    </row>
    <row r="1379" spans="1:9" x14ac:dyDescent="0.15">
      <c r="A1379" s="6">
        <v>1378</v>
      </c>
      <c r="B1379" s="7" t="s">
        <v>9</v>
      </c>
      <c r="C1379" s="8">
        <v>1886</v>
      </c>
      <c r="D1379" s="9">
        <v>45418</v>
      </c>
      <c r="E1379" s="13" t="str">
        <f>+HYPERLINK("http://trademark.i-assist.jp/data/china/image_1886th/76941754.pdf","76941754")</f>
        <v>76941754</v>
      </c>
      <c r="F1379" s="7" t="s">
        <v>3745</v>
      </c>
      <c r="G1379" s="7" t="s">
        <v>1845</v>
      </c>
      <c r="H1379" s="7" t="s">
        <v>3746</v>
      </c>
      <c r="I1379" s="9">
        <v>45346</v>
      </c>
    </row>
    <row r="1380" spans="1:9" x14ac:dyDescent="0.15">
      <c r="A1380" s="6">
        <v>1379</v>
      </c>
      <c r="B1380" s="7" t="s">
        <v>9</v>
      </c>
      <c r="C1380" s="8">
        <v>1886</v>
      </c>
      <c r="D1380" s="9">
        <v>45418</v>
      </c>
      <c r="E1380" s="13" t="str">
        <f>+HYPERLINK("http://trademark.i-assist.jp/data/china/image_1886th/76941845.pdf","76941845")</f>
        <v>76941845</v>
      </c>
      <c r="F1380" s="7" t="s">
        <v>3747</v>
      </c>
      <c r="G1380" s="7" t="s">
        <v>3748</v>
      </c>
      <c r="H1380" s="7" t="s">
        <v>3749</v>
      </c>
      <c r="I1380" s="9">
        <v>45346</v>
      </c>
    </row>
    <row r="1381" spans="1:9" ht="27" x14ac:dyDescent="0.15">
      <c r="A1381" s="6">
        <v>1380</v>
      </c>
      <c r="B1381" s="7" t="s">
        <v>9</v>
      </c>
      <c r="C1381" s="8">
        <v>1886</v>
      </c>
      <c r="D1381" s="9">
        <v>45418</v>
      </c>
      <c r="E1381" s="13" t="str">
        <f>+HYPERLINK("http://trademark.i-assist.jp/data/china/image_1886th/76942687.pdf","76942687")</f>
        <v>76942687</v>
      </c>
      <c r="F1381" s="7" t="s">
        <v>3750</v>
      </c>
      <c r="G1381" s="7" t="s">
        <v>3751</v>
      </c>
      <c r="H1381" s="7" t="s">
        <v>3752</v>
      </c>
      <c r="I1381" s="9">
        <v>45346</v>
      </c>
    </row>
    <row r="1382" spans="1:9" x14ac:dyDescent="0.15">
      <c r="A1382" s="6">
        <v>1381</v>
      </c>
      <c r="B1382" s="7" t="s">
        <v>9</v>
      </c>
      <c r="C1382" s="8">
        <v>1886</v>
      </c>
      <c r="D1382" s="9">
        <v>45418</v>
      </c>
      <c r="E1382" s="13" t="str">
        <f>+HYPERLINK("http://trademark.i-assist.jp/data/china/image_1886th/76943146.pdf","76943146")</f>
        <v>76943146</v>
      </c>
      <c r="F1382" s="7" t="s">
        <v>3753</v>
      </c>
      <c r="G1382" s="7" t="s">
        <v>3754</v>
      </c>
      <c r="H1382" s="7" t="s">
        <v>3755</v>
      </c>
      <c r="I1382" s="9">
        <v>45346</v>
      </c>
    </row>
    <row r="1383" spans="1:9" x14ac:dyDescent="0.15">
      <c r="A1383" s="6">
        <v>1382</v>
      </c>
      <c r="B1383" s="7" t="s">
        <v>9</v>
      </c>
      <c r="C1383" s="8">
        <v>1886</v>
      </c>
      <c r="D1383" s="9">
        <v>45418</v>
      </c>
      <c r="E1383" s="13" t="str">
        <f>+HYPERLINK("http://trademark.i-assist.jp/data/china/image_1886th/76943865.pdf","76943865")</f>
        <v>76943865</v>
      </c>
      <c r="F1383" s="7" t="s">
        <v>3756</v>
      </c>
      <c r="G1383" s="7" t="s">
        <v>3757</v>
      </c>
      <c r="H1383" s="7" t="s">
        <v>3758</v>
      </c>
      <c r="I1383" s="9">
        <v>45346</v>
      </c>
    </row>
    <row r="1384" spans="1:9" x14ac:dyDescent="0.15">
      <c r="A1384" s="6">
        <v>1383</v>
      </c>
      <c r="B1384" s="7" t="s">
        <v>9</v>
      </c>
      <c r="C1384" s="8">
        <v>1886</v>
      </c>
      <c r="D1384" s="9">
        <v>45418</v>
      </c>
      <c r="E1384" s="13" t="str">
        <f>+HYPERLINK("http://trademark.i-assist.jp/data/china/image_1886th/76944304.pdf","76944304")</f>
        <v>76944304</v>
      </c>
      <c r="F1384" s="7" t="s">
        <v>3759</v>
      </c>
      <c r="G1384" s="7" t="s">
        <v>3741</v>
      </c>
      <c r="H1384" s="7" t="s">
        <v>3760</v>
      </c>
      <c r="I1384" s="9">
        <v>45346</v>
      </c>
    </row>
    <row r="1385" spans="1:9" x14ac:dyDescent="0.15">
      <c r="A1385" s="6">
        <v>1384</v>
      </c>
      <c r="B1385" s="7" t="s">
        <v>9</v>
      </c>
      <c r="C1385" s="8">
        <v>1886</v>
      </c>
      <c r="D1385" s="9">
        <v>45418</v>
      </c>
      <c r="E1385" s="13" t="str">
        <f>+HYPERLINK("http://trademark.i-assist.jp/data/china/image_1886th/76944543.pdf","76944543")</f>
        <v>76944543</v>
      </c>
      <c r="F1385" s="7" t="s">
        <v>3761</v>
      </c>
      <c r="G1385" s="7" t="s">
        <v>3762</v>
      </c>
      <c r="H1385" s="7" t="s">
        <v>3763</v>
      </c>
      <c r="I1385" s="9">
        <v>45346</v>
      </c>
    </row>
    <row r="1386" spans="1:9" x14ac:dyDescent="0.15">
      <c r="A1386" s="6">
        <v>1385</v>
      </c>
      <c r="B1386" s="7" t="s">
        <v>9</v>
      </c>
      <c r="C1386" s="8">
        <v>1886</v>
      </c>
      <c r="D1386" s="9">
        <v>45418</v>
      </c>
      <c r="E1386" s="13" t="str">
        <f>+HYPERLINK("http://trademark.i-assist.jp/data/china/image_1886th/76947759.pdf","76947759")</f>
        <v>76947759</v>
      </c>
      <c r="F1386" s="7" t="s">
        <v>3764</v>
      </c>
      <c r="G1386" s="7" t="s">
        <v>3765</v>
      </c>
      <c r="H1386" s="7" t="s">
        <v>3766</v>
      </c>
      <c r="I1386" s="9">
        <v>45348</v>
      </c>
    </row>
    <row r="1387" spans="1:9" x14ac:dyDescent="0.15">
      <c r="A1387" s="6">
        <v>1386</v>
      </c>
      <c r="B1387" s="7" t="s">
        <v>9</v>
      </c>
      <c r="C1387" s="8">
        <v>1886</v>
      </c>
      <c r="D1387" s="9">
        <v>45418</v>
      </c>
      <c r="E1387" s="13" t="str">
        <f>+HYPERLINK("http://trademark.i-assist.jp/data/china/image_1886th/76947768.pdf","76947768")</f>
        <v>76947768</v>
      </c>
      <c r="F1387" s="7" t="s">
        <v>3767</v>
      </c>
      <c r="G1387" s="7" t="s">
        <v>3768</v>
      </c>
      <c r="H1387" s="7" t="s">
        <v>3769</v>
      </c>
      <c r="I1387" s="9">
        <v>45348</v>
      </c>
    </row>
    <row r="1388" spans="1:9" x14ac:dyDescent="0.15">
      <c r="A1388" s="6">
        <v>1387</v>
      </c>
      <c r="B1388" s="7" t="s">
        <v>9</v>
      </c>
      <c r="C1388" s="8">
        <v>1886</v>
      </c>
      <c r="D1388" s="9">
        <v>45418</v>
      </c>
      <c r="E1388" s="13" t="str">
        <f>+HYPERLINK("http://trademark.i-assist.jp/data/china/image_1886th/76949009.pdf","76949009")</f>
        <v>76949009</v>
      </c>
      <c r="F1388" s="7" t="s">
        <v>3770</v>
      </c>
      <c r="G1388" s="7" t="s">
        <v>3771</v>
      </c>
      <c r="H1388" s="7" t="s">
        <v>3772</v>
      </c>
      <c r="I1388" s="9">
        <v>45348</v>
      </c>
    </row>
    <row r="1389" spans="1:9" x14ac:dyDescent="0.15">
      <c r="A1389" s="6">
        <v>1388</v>
      </c>
      <c r="B1389" s="7" t="s">
        <v>9</v>
      </c>
      <c r="C1389" s="8">
        <v>1886</v>
      </c>
      <c r="D1389" s="9">
        <v>45418</v>
      </c>
      <c r="E1389" s="13" t="str">
        <f>+HYPERLINK("http://trademark.i-assist.jp/data/china/image_1886th/76949059.pdf","76949059")</f>
        <v>76949059</v>
      </c>
      <c r="F1389" s="7" t="s">
        <v>3773</v>
      </c>
      <c r="G1389" s="7" t="s">
        <v>3774</v>
      </c>
      <c r="H1389" s="7" t="s">
        <v>3775</v>
      </c>
      <c r="I1389" s="9">
        <v>45348</v>
      </c>
    </row>
    <row r="1390" spans="1:9" x14ac:dyDescent="0.15">
      <c r="A1390" s="6">
        <v>1389</v>
      </c>
      <c r="B1390" s="7" t="s">
        <v>9</v>
      </c>
      <c r="C1390" s="8">
        <v>1886</v>
      </c>
      <c r="D1390" s="9">
        <v>45418</v>
      </c>
      <c r="E1390" s="13" t="str">
        <f>+HYPERLINK("http://trademark.i-assist.jp/data/china/image_1886th/76949386.pdf","76949386")</f>
        <v>76949386</v>
      </c>
      <c r="F1390" s="7" t="s">
        <v>3776</v>
      </c>
      <c r="G1390" s="7" t="s">
        <v>3777</v>
      </c>
      <c r="H1390" s="7" t="s">
        <v>3778</v>
      </c>
      <c r="I1390" s="9">
        <v>45348</v>
      </c>
    </row>
    <row r="1391" spans="1:9" x14ac:dyDescent="0.15">
      <c r="A1391" s="6">
        <v>1390</v>
      </c>
      <c r="B1391" s="7" t="s">
        <v>9</v>
      </c>
      <c r="C1391" s="8">
        <v>1886</v>
      </c>
      <c r="D1391" s="9">
        <v>45418</v>
      </c>
      <c r="E1391" s="13" t="str">
        <f>+HYPERLINK("http://trademark.i-assist.jp/data/china/image_1886th/76949425.pdf","76949425")</f>
        <v>76949425</v>
      </c>
      <c r="F1391" s="7" t="s">
        <v>3779</v>
      </c>
      <c r="G1391" s="7" t="s">
        <v>3780</v>
      </c>
      <c r="H1391" s="7" t="s">
        <v>3781</v>
      </c>
      <c r="I1391" s="9">
        <v>45348</v>
      </c>
    </row>
    <row r="1392" spans="1:9" x14ac:dyDescent="0.15">
      <c r="A1392" s="6">
        <v>1391</v>
      </c>
      <c r="B1392" s="7" t="s">
        <v>9</v>
      </c>
      <c r="C1392" s="8">
        <v>1886</v>
      </c>
      <c r="D1392" s="9">
        <v>45418</v>
      </c>
      <c r="E1392" s="13" t="str">
        <f>+HYPERLINK("http://trademark.i-assist.jp/data/china/image_1886th/76949462.pdf","76949462")</f>
        <v>76949462</v>
      </c>
      <c r="F1392" s="7" t="s">
        <v>3782</v>
      </c>
      <c r="G1392" s="7" t="s">
        <v>3783</v>
      </c>
      <c r="H1392" s="7" t="s">
        <v>3784</v>
      </c>
      <c r="I1392" s="9">
        <v>45348</v>
      </c>
    </row>
    <row r="1393" spans="1:9" x14ac:dyDescent="0.15">
      <c r="A1393" s="6">
        <v>1392</v>
      </c>
      <c r="B1393" s="7" t="s">
        <v>9</v>
      </c>
      <c r="C1393" s="8">
        <v>1886</v>
      </c>
      <c r="D1393" s="9">
        <v>45418</v>
      </c>
      <c r="E1393" s="13" t="str">
        <f>+HYPERLINK("http://trademark.i-assist.jp/data/china/image_1886th/76949567.pdf","76949567")</f>
        <v>76949567</v>
      </c>
      <c r="F1393" s="7" t="s">
        <v>3785</v>
      </c>
      <c r="G1393" s="7" t="s">
        <v>3786</v>
      </c>
      <c r="H1393" s="7" t="s">
        <v>3787</v>
      </c>
      <c r="I1393" s="9">
        <v>45348</v>
      </c>
    </row>
    <row r="1394" spans="1:9" x14ac:dyDescent="0.15">
      <c r="A1394" s="6">
        <v>1393</v>
      </c>
      <c r="B1394" s="7" t="s">
        <v>9</v>
      </c>
      <c r="C1394" s="8">
        <v>1886</v>
      </c>
      <c r="D1394" s="9">
        <v>45418</v>
      </c>
      <c r="E1394" s="13" t="str">
        <f>+HYPERLINK("http://trademark.i-assist.jp/data/china/image_1886th/76949846.pdf","76949846")</f>
        <v>76949846</v>
      </c>
      <c r="F1394" s="7" t="s">
        <v>3788</v>
      </c>
      <c r="G1394" s="7" t="s">
        <v>3789</v>
      </c>
      <c r="H1394" s="7" t="s">
        <v>3790</v>
      </c>
      <c r="I1394" s="9">
        <v>45348</v>
      </c>
    </row>
    <row r="1395" spans="1:9" x14ac:dyDescent="0.15">
      <c r="A1395" s="6">
        <v>1394</v>
      </c>
      <c r="B1395" s="7" t="s">
        <v>9</v>
      </c>
      <c r="C1395" s="8">
        <v>1886</v>
      </c>
      <c r="D1395" s="9">
        <v>45418</v>
      </c>
      <c r="E1395" s="13" t="str">
        <f>+HYPERLINK("http://trademark.i-assist.jp/data/china/image_1886th/76950143.pdf","76950143")</f>
        <v>76950143</v>
      </c>
      <c r="F1395" s="7" t="s">
        <v>3791</v>
      </c>
      <c r="G1395" s="7" t="s">
        <v>3792</v>
      </c>
      <c r="H1395" s="7" t="s">
        <v>3793</v>
      </c>
      <c r="I1395" s="9">
        <v>45348</v>
      </c>
    </row>
    <row r="1396" spans="1:9" ht="27" x14ac:dyDescent="0.15">
      <c r="A1396" s="6">
        <v>1395</v>
      </c>
      <c r="B1396" s="7" t="s">
        <v>9</v>
      </c>
      <c r="C1396" s="8">
        <v>1886</v>
      </c>
      <c r="D1396" s="9">
        <v>45418</v>
      </c>
      <c r="E1396" s="13" t="str">
        <f>+HYPERLINK("http://trademark.i-assist.jp/data/china/image_1886th/76950183.pdf","76950183")</f>
        <v>76950183</v>
      </c>
      <c r="F1396" s="7" t="s">
        <v>3794</v>
      </c>
      <c r="G1396" s="7" t="s">
        <v>3795</v>
      </c>
      <c r="H1396" s="7" t="s">
        <v>3796</v>
      </c>
      <c r="I1396" s="9">
        <v>45348</v>
      </c>
    </row>
    <row r="1397" spans="1:9" x14ac:dyDescent="0.15">
      <c r="A1397" s="6">
        <v>1396</v>
      </c>
      <c r="B1397" s="7" t="s">
        <v>9</v>
      </c>
      <c r="C1397" s="8">
        <v>1886</v>
      </c>
      <c r="D1397" s="9">
        <v>45418</v>
      </c>
      <c r="E1397" s="13" t="str">
        <f>+HYPERLINK("http://trademark.i-assist.jp/data/china/image_1886th/76950279.pdf","76950279")</f>
        <v>76950279</v>
      </c>
      <c r="F1397" s="7" t="s">
        <v>3797</v>
      </c>
      <c r="G1397" s="7" t="s">
        <v>3798</v>
      </c>
      <c r="H1397" s="7" t="s">
        <v>3799</v>
      </c>
      <c r="I1397" s="9">
        <v>45348</v>
      </c>
    </row>
    <row r="1398" spans="1:9" x14ac:dyDescent="0.15">
      <c r="A1398" s="6">
        <v>1397</v>
      </c>
      <c r="B1398" s="7" t="s">
        <v>9</v>
      </c>
      <c r="C1398" s="8">
        <v>1886</v>
      </c>
      <c r="D1398" s="9">
        <v>45418</v>
      </c>
      <c r="E1398" s="13" t="str">
        <f>+HYPERLINK("http://trademark.i-assist.jp/data/china/image_1886th/76950421.pdf","76950421")</f>
        <v>76950421</v>
      </c>
      <c r="F1398" s="7" t="s">
        <v>3800</v>
      </c>
      <c r="G1398" s="7" t="s">
        <v>3801</v>
      </c>
      <c r="H1398" s="7" t="s">
        <v>3802</v>
      </c>
      <c r="I1398" s="9">
        <v>45348</v>
      </c>
    </row>
    <row r="1399" spans="1:9" x14ac:dyDescent="0.15">
      <c r="A1399" s="6">
        <v>1398</v>
      </c>
      <c r="B1399" s="7" t="s">
        <v>9</v>
      </c>
      <c r="C1399" s="8">
        <v>1886</v>
      </c>
      <c r="D1399" s="9">
        <v>45418</v>
      </c>
      <c r="E1399" s="13" t="str">
        <f>+HYPERLINK("http://trademark.i-assist.jp/data/china/image_1886th/76950544.pdf","76950544")</f>
        <v>76950544</v>
      </c>
      <c r="F1399" s="7" t="s">
        <v>3803</v>
      </c>
      <c r="G1399" s="7" t="s">
        <v>3804</v>
      </c>
      <c r="H1399" s="7" t="s">
        <v>3805</v>
      </c>
      <c r="I1399" s="9">
        <v>45348</v>
      </c>
    </row>
    <row r="1400" spans="1:9" ht="27" x14ac:dyDescent="0.15">
      <c r="A1400" s="6">
        <v>1399</v>
      </c>
      <c r="B1400" s="7" t="s">
        <v>9</v>
      </c>
      <c r="C1400" s="8">
        <v>1886</v>
      </c>
      <c r="D1400" s="9">
        <v>45418</v>
      </c>
      <c r="E1400" s="13" t="str">
        <f>+HYPERLINK("http://trademark.i-assist.jp/data/china/image_1886th/76950566.pdf","76950566")</f>
        <v>76950566</v>
      </c>
      <c r="F1400" s="7" t="s">
        <v>3806</v>
      </c>
      <c r="G1400" s="7" t="s">
        <v>3807</v>
      </c>
      <c r="H1400" s="7" t="s">
        <v>3808</v>
      </c>
      <c r="I1400" s="9">
        <v>45348</v>
      </c>
    </row>
    <row r="1401" spans="1:9" ht="27" x14ac:dyDescent="0.15">
      <c r="A1401" s="6">
        <v>1400</v>
      </c>
      <c r="B1401" s="7" t="s">
        <v>9</v>
      </c>
      <c r="C1401" s="8">
        <v>1886</v>
      </c>
      <c r="D1401" s="9">
        <v>45418</v>
      </c>
      <c r="E1401" s="13" t="str">
        <f>+HYPERLINK("http://trademark.i-assist.jp/data/china/image_1886th/76951013.pdf","76951013")</f>
        <v>76951013</v>
      </c>
      <c r="F1401" s="7" t="s">
        <v>3809</v>
      </c>
      <c r="G1401" s="7" t="s">
        <v>3810</v>
      </c>
      <c r="H1401" s="7" t="s">
        <v>3811</v>
      </c>
      <c r="I1401" s="9">
        <v>45348</v>
      </c>
    </row>
    <row r="1402" spans="1:9" x14ac:dyDescent="0.15">
      <c r="A1402" s="6">
        <v>1401</v>
      </c>
      <c r="B1402" s="7" t="s">
        <v>9</v>
      </c>
      <c r="C1402" s="8">
        <v>1886</v>
      </c>
      <c r="D1402" s="9">
        <v>45418</v>
      </c>
      <c r="E1402" s="13" t="str">
        <f>+HYPERLINK("http://trademark.i-assist.jp/data/china/image_1886th/76951415.pdf","76951415")</f>
        <v>76951415</v>
      </c>
      <c r="F1402" s="7" t="s">
        <v>3812</v>
      </c>
      <c r="G1402" s="7" t="s">
        <v>3813</v>
      </c>
      <c r="H1402" s="7" t="s">
        <v>3814</v>
      </c>
      <c r="I1402" s="9">
        <v>45348</v>
      </c>
    </row>
    <row r="1403" spans="1:9" ht="27" x14ac:dyDescent="0.15">
      <c r="A1403" s="6">
        <v>1402</v>
      </c>
      <c r="B1403" s="7" t="s">
        <v>9</v>
      </c>
      <c r="C1403" s="8">
        <v>1886</v>
      </c>
      <c r="D1403" s="9">
        <v>45418</v>
      </c>
      <c r="E1403" s="13" t="str">
        <f>+HYPERLINK("http://trademark.i-assist.jp/data/china/image_1886th/76951940.pdf","76951940")</f>
        <v>76951940</v>
      </c>
      <c r="F1403" s="7" t="s">
        <v>3815</v>
      </c>
      <c r="G1403" s="7" t="s">
        <v>3816</v>
      </c>
      <c r="H1403" s="7" t="s">
        <v>3817</v>
      </c>
      <c r="I1403" s="9">
        <v>45348</v>
      </c>
    </row>
    <row r="1404" spans="1:9" ht="27" x14ac:dyDescent="0.15">
      <c r="A1404" s="6">
        <v>1403</v>
      </c>
      <c r="B1404" s="7" t="s">
        <v>9</v>
      </c>
      <c r="C1404" s="8">
        <v>1886</v>
      </c>
      <c r="D1404" s="9">
        <v>45418</v>
      </c>
      <c r="E1404" s="13" t="str">
        <f>+HYPERLINK("http://trademark.i-assist.jp/data/china/image_1886th/76952119.pdf","76952119")</f>
        <v>76952119</v>
      </c>
      <c r="F1404" s="7" t="s">
        <v>3818</v>
      </c>
      <c r="G1404" s="7" t="s">
        <v>3819</v>
      </c>
      <c r="H1404" s="7" t="s">
        <v>3820</v>
      </c>
      <c r="I1404" s="9">
        <v>45348</v>
      </c>
    </row>
    <row r="1405" spans="1:9" x14ac:dyDescent="0.15">
      <c r="A1405" s="6">
        <v>1404</v>
      </c>
      <c r="B1405" s="7" t="s">
        <v>9</v>
      </c>
      <c r="C1405" s="8">
        <v>1886</v>
      </c>
      <c r="D1405" s="9">
        <v>45418</v>
      </c>
      <c r="E1405" s="13" t="str">
        <f>+HYPERLINK("http://trademark.i-assist.jp/data/china/image_1886th/76952156.pdf","76952156")</f>
        <v>76952156</v>
      </c>
      <c r="F1405" s="7" t="s">
        <v>3821</v>
      </c>
      <c r="G1405" s="7" t="s">
        <v>3822</v>
      </c>
      <c r="H1405" s="7" t="s">
        <v>3823</v>
      </c>
      <c r="I1405" s="9">
        <v>45348</v>
      </c>
    </row>
    <row r="1406" spans="1:9" x14ac:dyDescent="0.15">
      <c r="A1406" s="6">
        <v>1405</v>
      </c>
      <c r="B1406" s="7" t="s">
        <v>9</v>
      </c>
      <c r="C1406" s="8">
        <v>1886</v>
      </c>
      <c r="D1406" s="9">
        <v>45418</v>
      </c>
      <c r="E1406" s="13" t="str">
        <f>+HYPERLINK("http://trademark.i-assist.jp/data/china/image_1886th/76952182.pdf","76952182")</f>
        <v>76952182</v>
      </c>
      <c r="F1406" s="7" t="s">
        <v>3824</v>
      </c>
      <c r="G1406" s="7" t="s">
        <v>3825</v>
      </c>
      <c r="H1406" s="7" t="s">
        <v>3826</v>
      </c>
      <c r="I1406" s="9">
        <v>45348</v>
      </c>
    </row>
    <row r="1407" spans="1:9" x14ac:dyDescent="0.15">
      <c r="A1407" s="6">
        <v>1406</v>
      </c>
      <c r="B1407" s="7" t="s">
        <v>9</v>
      </c>
      <c r="C1407" s="8">
        <v>1886</v>
      </c>
      <c r="D1407" s="9">
        <v>45418</v>
      </c>
      <c r="E1407" s="13" t="str">
        <f>+HYPERLINK("http://trademark.i-assist.jp/data/china/image_1886th/76952189.pdf","76952189")</f>
        <v>76952189</v>
      </c>
      <c r="F1407" s="7" t="s">
        <v>3827</v>
      </c>
      <c r="G1407" s="7" t="s">
        <v>3828</v>
      </c>
      <c r="H1407" s="7" t="s">
        <v>3829</v>
      </c>
      <c r="I1407" s="9">
        <v>45348</v>
      </c>
    </row>
    <row r="1408" spans="1:9" x14ac:dyDescent="0.15">
      <c r="A1408" s="6">
        <v>1407</v>
      </c>
      <c r="B1408" s="7" t="s">
        <v>9</v>
      </c>
      <c r="C1408" s="8">
        <v>1886</v>
      </c>
      <c r="D1408" s="9">
        <v>45418</v>
      </c>
      <c r="E1408" s="13" t="str">
        <f>+HYPERLINK("http://trademark.i-assist.jp/data/china/image_1886th/76952214.pdf","76952214")</f>
        <v>76952214</v>
      </c>
      <c r="F1408" s="7" t="s">
        <v>3830</v>
      </c>
      <c r="G1408" s="7" t="s">
        <v>3831</v>
      </c>
      <c r="H1408" s="7" t="s">
        <v>3832</v>
      </c>
      <c r="I1408" s="9">
        <v>45348</v>
      </c>
    </row>
    <row r="1409" spans="1:9" ht="27" x14ac:dyDescent="0.15">
      <c r="A1409" s="6">
        <v>1408</v>
      </c>
      <c r="B1409" s="7" t="s">
        <v>9</v>
      </c>
      <c r="C1409" s="8">
        <v>1886</v>
      </c>
      <c r="D1409" s="9">
        <v>45418</v>
      </c>
      <c r="E1409" s="13" t="str">
        <f>+HYPERLINK("http://trademark.i-assist.jp/data/china/image_1886th/76952337.pdf","76952337")</f>
        <v>76952337</v>
      </c>
      <c r="F1409" s="7" t="s">
        <v>3833</v>
      </c>
      <c r="G1409" s="7" t="s">
        <v>3834</v>
      </c>
      <c r="H1409" s="7" t="s">
        <v>3835</v>
      </c>
      <c r="I1409" s="9">
        <v>45348</v>
      </c>
    </row>
    <row r="1410" spans="1:9" x14ac:dyDescent="0.15">
      <c r="A1410" s="6">
        <v>1409</v>
      </c>
      <c r="B1410" s="7" t="s">
        <v>9</v>
      </c>
      <c r="C1410" s="8">
        <v>1886</v>
      </c>
      <c r="D1410" s="9">
        <v>45418</v>
      </c>
      <c r="E1410" s="13" t="str">
        <f>+HYPERLINK("http://trademark.i-assist.jp/data/china/image_1886th/76952589.pdf","76952589")</f>
        <v>76952589</v>
      </c>
      <c r="F1410" s="7" t="s">
        <v>3836</v>
      </c>
      <c r="G1410" s="7" t="s">
        <v>3837</v>
      </c>
      <c r="H1410" s="7" t="s">
        <v>3838</v>
      </c>
      <c r="I1410" s="9">
        <v>45348</v>
      </c>
    </row>
    <row r="1411" spans="1:9" ht="27" x14ac:dyDescent="0.15">
      <c r="A1411" s="6">
        <v>1410</v>
      </c>
      <c r="B1411" s="7" t="s">
        <v>9</v>
      </c>
      <c r="C1411" s="8">
        <v>1886</v>
      </c>
      <c r="D1411" s="9">
        <v>45418</v>
      </c>
      <c r="E1411" s="13" t="str">
        <f>+HYPERLINK("http://trademark.i-assist.jp/data/china/image_1886th/76952626.pdf","76952626")</f>
        <v>76952626</v>
      </c>
      <c r="F1411" s="7" t="s">
        <v>3839</v>
      </c>
      <c r="G1411" s="7" t="s">
        <v>3840</v>
      </c>
      <c r="H1411" s="7" t="s">
        <v>3841</v>
      </c>
      <c r="I1411" s="9">
        <v>45348</v>
      </c>
    </row>
    <row r="1412" spans="1:9" x14ac:dyDescent="0.15">
      <c r="A1412" s="6">
        <v>1411</v>
      </c>
      <c r="B1412" s="7" t="s">
        <v>9</v>
      </c>
      <c r="C1412" s="8">
        <v>1886</v>
      </c>
      <c r="D1412" s="9">
        <v>45418</v>
      </c>
      <c r="E1412" s="13" t="str">
        <f>+HYPERLINK("http://trademark.i-assist.jp/data/china/image_1886th/76952629.pdf","76952629")</f>
        <v>76952629</v>
      </c>
      <c r="F1412" s="7" t="s">
        <v>3842</v>
      </c>
      <c r="G1412" s="7" t="s">
        <v>3843</v>
      </c>
      <c r="H1412" s="7" t="s">
        <v>3844</v>
      </c>
      <c r="I1412" s="9">
        <v>45348</v>
      </c>
    </row>
    <row r="1413" spans="1:9" x14ac:dyDescent="0.15">
      <c r="A1413" s="6">
        <v>1412</v>
      </c>
      <c r="B1413" s="7" t="s">
        <v>9</v>
      </c>
      <c r="C1413" s="8">
        <v>1886</v>
      </c>
      <c r="D1413" s="9">
        <v>45418</v>
      </c>
      <c r="E1413" s="13" t="str">
        <f>+HYPERLINK("http://trademark.i-assist.jp/data/china/image_1886th/76952717.pdf","76952717")</f>
        <v>76952717</v>
      </c>
      <c r="F1413" s="7" t="s">
        <v>3845</v>
      </c>
      <c r="G1413" s="7" t="s">
        <v>3846</v>
      </c>
      <c r="H1413" s="7" t="s">
        <v>3847</v>
      </c>
      <c r="I1413" s="9">
        <v>45348</v>
      </c>
    </row>
    <row r="1414" spans="1:9" x14ac:dyDescent="0.15">
      <c r="A1414" s="6">
        <v>1413</v>
      </c>
      <c r="B1414" s="7" t="s">
        <v>9</v>
      </c>
      <c r="C1414" s="8">
        <v>1886</v>
      </c>
      <c r="D1414" s="9">
        <v>45418</v>
      </c>
      <c r="E1414" s="13" t="str">
        <f>+HYPERLINK("http://trademark.i-assist.jp/data/china/image_1886th/76952781.pdf","76952781")</f>
        <v>76952781</v>
      </c>
      <c r="F1414" s="7" t="s">
        <v>3848</v>
      </c>
      <c r="G1414" s="7" t="s">
        <v>3849</v>
      </c>
      <c r="H1414" s="7" t="s">
        <v>3850</v>
      </c>
      <c r="I1414" s="9">
        <v>45348</v>
      </c>
    </row>
    <row r="1415" spans="1:9" x14ac:dyDescent="0.15">
      <c r="A1415" s="6">
        <v>1414</v>
      </c>
      <c r="B1415" s="7" t="s">
        <v>9</v>
      </c>
      <c r="C1415" s="8">
        <v>1886</v>
      </c>
      <c r="D1415" s="9">
        <v>45418</v>
      </c>
      <c r="E1415" s="13" t="str">
        <f>+HYPERLINK("http://trademark.i-assist.jp/data/china/image_1886th/76952797.pdf","76952797")</f>
        <v>76952797</v>
      </c>
      <c r="F1415" s="7" t="s">
        <v>3851</v>
      </c>
      <c r="G1415" s="7" t="s">
        <v>3849</v>
      </c>
      <c r="H1415" s="7" t="s">
        <v>3852</v>
      </c>
      <c r="I1415" s="9">
        <v>45348</v>
      </c>
    </row>
    <row r="1416" spans="1:9" x14ac:dyDescent="0.15">
      <c r="A1416" s="6">
        <v>1415</v>
      </c>
      <c r="B1416" s="7" t="s">
        <v>9</v>
      </c>
      <c r="C1416" s="8">
        <v>1886</v>
      </c>
      <c r="D1416" s="9">
        <v>45418</v>
      </c>
      <c r="E1416" s="13" t="str">
        <f>+HYPERLINK("http://trademark.i-assist.jp/data/china/image_1886th/76952800.pdf","76952800")</f>
        <v>76952800</v>
      </c>
      <c r="F1416" s="7" t="s">
        <v>3853</v>
      </c>
      <c r="G1416" s="7" t="s">
        <v>3854</v>
      </c>
      <c r="H1416" s="7" t="s">
        <v>3855</v>
      </c>
      <c r="I1416" s="9">
        <v>45348</v>
      </c>
    </row>
    <row r="1417" spans="1:9" x14ac:dyDescent="0.15">
      <c r="A1417" s="6">
        <v>1416</v>
      </c>
      <c r="B1417" s="7" t="s">
        <v>9</v>
      </c>
      <c r="C1417" s="8">
        <v>1886</v>
      </c>
      <c r="D1417" s="9">
        <v>45418</v>
      </c>
      <c r="E1417" s="13" t="str">
        <f>+HYPERLINK("http://trademark.i-assist.jp/data/china/image_1886th/76952803.pdf","76952803")</f>
        <v>76952803</v>
      </c>
      <c r="F1417" s="7" t="s">
        <v>3856</v>
      </c>
      <c r="G1417" s="7" t="s">
        <v>3849</v>
      </c>
      <c r="H1417" s="7" t="s">
        <v>3857</v>
      </c>
      <c r="I1417" s="9">
        <v>45348</v>
      </c>
    </row>
    <row r="1418" spans="1:9" x14ac:dyDescent="0.15">
      <c r="A1418" s="6">
        <v>1417</v>
      </c>
      <c r="B1418" s="7" t="s">
        <v>9</v>
      </c>
      <c r="C1418" s="8">
        <v>1886</v>
      </c>
      <c r="D1418" s="9">
        <v>45418</v>
      </c>
      <c r="E1418" s="13" t="str">
        <f>+HYPERLINK("http://trademark.i-assist.jp/data/china/image_1886th/76952810.pdf","76952810")</f>
        <v>76952810</v>
      </c>
      <c r="F1418" s="7" t="s">
        <v>33</v>
      </c>
      <c r="G1418" s="7" t="s">
        <v>3854</v>
      </c>
      <c r="H1418" s="7" t="s">
        <v>3858</v>
      </c>
      <c r="I1418" s="9">
        <v>45348</v>
      </c>
    </row>
    <row r="1419" spans="1:9" x14ac:dyDescent="0.15">
      <c r="A1419" s="6">
        <v>1418</v>
      </c>
      <c r="B1419" s="7" t="s">
        <v>9</v>
      </c>
      <c r="C1419" s="8">
        <v>1886</v>
      </c>
      <c r="D1419" s="9">
        <v>45418</v>
      </c>
      <c r="E1419" s="13" t="str">
        <f>+HYPERLINK("http://trademark.i-assist.jp/data/china/image_1886th/76953341.pdf","76953341")</f>
        <v>76953341</v>
      </c>
      <c r="F1419" s="7" t="s">
        <v>3859</v>
      </c>
      <c r="G1419" s="7" t="s">
        <v>3860</v>
      </c>
      <c r="H1419" s="7" t="s">
        <v>3861</v>
      </c>
      <c r="I1419" s="9">
        <v>45348</v>
      </c>
    </row>
    <row r="1420" spans="1:9" x14ac:dyDescent="0.15">
      <c r="A1420" s="6">
        <v>1419</v>
      </c>
      <c r="B1420" s="7" t="s">
        <v>9</v>
      </c>
      <c r="C1420" s="8">
        <v>1886</v>
      </c>
      <c r="D1420" s="9">
        <v>45418</v>
      </c>
      <c r="E1420" s="13" t="str">
        <f>+HYPERLINK("http://trademark.i-assist.jp/data/china/image_1886th/76953577.pdf","76953577")</f>
        <v>76953577</v>
      </c>
      <c r="F1420" s="7" t="s">
        <v>3862</v>
      </c>
      <c r="G1420" s="7" t="s">
        <v>3863</v>
      </c>
      <c r="H1420" s="7" t="s">
        <v>3864</v>
      </c>
      <c r="I1420" s="9">
        <v>45348</v>
      </c>
    </row>
    <row r="1421" spans="1:9" x14ac:dyDescent="0.15">
      <c r="A1421" s="6">
        <v>1420</v>
      </c>
      <c r="B1421" s="7" t="s">
        <v>9</v>
      </c>
      <c r="C1421" s="8">
        <v>1886</v>
      </c>
      <c r="D1421" s="9">
        <v>45418</v>
      </c>
      <c r="E1421" s="13" t="str">
        <f>+HYPERLINK("http://trademark.i-assist.jp/data/china/image_1886th/76953607.pdf","76953607")</f>
        <v>76953607</v>
      </c>
      <c r="F1421" s="7" t="s">
        <v>3865</v>
      </c>
      <c r="G1421" s="7" t="s">
        <v>3866</v>
      </c>
      <c r="H1421" s="7" t="s">
        <v>3867</v>
      </c>
      <c r="I1421" s="9">
        <v>45348</v>
      </c>
    </row>
    <row r="1422" spans="1:9" x14ac:dyDescent="0.15">
      <c r="A1422" s="6">
        <v>1421</v>
      </c>
      <c r="B1422" s="7" t="s">
        <v>9</v>
      </c>
      <c r="C1422" s="8">
        <v>1886</v>
      </c>
      <c r="D1422" s="9">
        <v>45418</v>
      </c>
      <c r="E1422" s="13" t="str">
        <f>+HYPERLINK("http://trademark.i-assist.jp/data/china/image_1886th/76953970.pdf","76953970")</f>
        <v>76953970</v>
      </c>
      <c r="F1422" s="7" t="s">
        <v>3868</v>
      </c>
      <c r="G1422" s="7" t="s">
        <v>3869</v>
      </c>
      <c r="H1422" s="7" t="s">
        <v>3870</v>
      </c>
      <c r="I1422" s="9">
        <v>45348</v>
      </c>
    </row>
    <row r="1423" spans="1:9" x14ac:dyDescent="0.15">
      <c r="A1423" s="6">
        <v>1422</v>
      </c>
      <c r="B1423" s="7" t="s">
        <v>9</v>
      </c>
      <c r="C1423" s="8">
        <v>1886</v>
      </c>
      <c r="D1423" s="9">
        <v>45418</v>
      </c>
      <c r="E1423" s="13" t="str">
        <f>+HYPERLINK("http://trademark.i-assist.jp/data/china/image_1886th/76954233.pdf","76954233")</f>
        <v>76954233</v>
      </c>
      <c r="F1423" s="7" t="s">
        <v>3871</v>
      </c>
      <c r="G1423" s="7" t="s">
        <v>3872</v>
      </c>
      <c r="H1423" s="7" t="s">
        <v>3873</v>
      </c>
      <c r="I1423" s="9">
        <v>45348</v>
      </c>
    </row>
    <row r="1424" spans="1:9" x14ac:dyDescent="0.15">
      <c r="A1424" s="6">
        <v>1423</v>
      </c>
      <c r="B1424" s="7" t="s">
        <v>9</v>
      </c>
      <c r="C1424" s="8">
        <v>1886</v>
      </c>
      <c r="D1424" s="9">
        <v>45418</v>
      </c>
      <c r="E1424" s="13" t="str">
        <f>+HYPERLINK("http://trademark.i-assist.jp/data/china/image_1886th/76954437.pdf","76954437")</f>
        <v>76954437</v>
      </c>
      <c r="F1424" s="7" t="s">
        <v>3874</v>
      </c>
      <c r="G1424" s="7" t="s">
        <v>3875</v>
      </c>
      <c r="H1424" s="7" t="s">
        <v>3876</v>
      </c>
      <c r="I1424" s="9">
        <v>45348</v>
      </c>
    </row>
    <row r="1425" spans="1:9" x14ac:dyDescent="0.15">
      <c r="A1425" s="6">
        <v>1424</v>
      </c>
      <c r="B1425" s="7" t="s">
        <v>9</v>
      </c>
      <c r="C1425" s="8">
        <v>1886</v>
      </c>
      <c r="D1425" s="9">
        <v>45418</v>
      </c>
      <c r="E1425" s="13" t="str">
        <f>+HYPERLINK("http://trademark.i-assist.jp/data/china/image_1886th/76954608.pdf","76954608")</f>
        <v>76954608</v>
      </c>
      <c r="F1425" s="7" t="s">
        <v>3877</v>
      </c>
      <c r="G1425" s="7" t="s">
        <v>3878</v>
      </c>
      <c r="H1425" s="7" t="s">
        <v>3879</v>
      </c>
      <c r="I1425" s="9">
        <v>45348</v>
      </c>
    </row>
    <row r="1426" spans="1:9" x14ac:dyDescent="0.15">
      <c r="A1426" s="6">
        <v>1425</v>
      </c>
      <c r="B1426" s="7" t="s">
        <v>9</v>
      </c>
      <c r="C1426" s="8">
        <v>1886</v>
      </c>
      <c r="D1426" s="9">
        <v>45418</v>
      </c>
      <c r="E1426" s="13" t="str">
        <f>+HYPERLINK("http://trademark.i-assist.jp/data/china/image_1886th/76955162.pdf","76955162")</f>
        <v>76955162</v>
      </c>
      <c r="F1426" s="7" t="s">
        <v>3880</v>
      </c>
      <c r="G1426" s="7" t="s">
        <v>3881</v>
      </c>
      <c r="H1426" s="7" t="s">
        <v>3882</v>
      </c>
      <c r="I1426" s="9">
        <v>45348</v>
      </c>
    </row>
    <row r="1427" spans="1:9" x14ac:dyDescent="0.15">
      <c r="A1427" s="6">
        <v>1426</v>
      </c>
      <c r="B1427" s="7" t="s">
        <v>9</v>
      </c>
      <c r="C1427" s="8">
        <v>1886</v>
      </c>
      <c r="D1427" s="9">
        <v>45418</v>
      </c>
      <c r="E1427" s="13" t="str">
        <f>+HYPERLINK("http://trademark.i-assist.jp/data/china/image_1886th/76955343.pdf","76955343")</f>
        <v>76955343</v>
      </c>
      <c r="F1427" s="7" t="s">
        <v>3883</v>
      </c>
      <c r="G1427" s="7" t="s">
        <v>3884</v>
      </c>
      <c r="H1427" s="7" t="s">
        <v>3885</v>
      </c>
      <c r="I1427" s="9">
        <v>45348</v>
      </c>
    </row>
    <row r="1428" spans="1:9" x14ac:dyDescent="0.15">
      <c r="A1428" s="6">
        <v>1427</v>
      </c>
      <c r="B1428" s="7" t="s">
        <v>9</v>
      </c>
      <c r="C1428" s="8">
        <v>1886</v>
      </c>
      <c r="D1428" s="9">
        <v>45418</v>
      </c>
      <c r="E1428" s="13" t="str">
        <f>+HYPERLINK("http://trademark.i-assist.jp/data/china/image_1886th/76955682.pdf","76955682")</f>
        <v>76955682</v>
      </c>
      <c r="F1428" s="7" t="s">
        <v>3886</v>
      </c>
      <c r="G1428" s="7" t="s">
        <v>3887</v>
      </c>
      <c r="H1428" s="7" t="s">
        <v>3888</v>
      </c>
      <c r="I1428" s="9">
        <v>45348</v>
      </c>
    </row>
    <row r="1429" spans="1:9" x14ac:dyDescent="0.15">
      <c r="A1429" s="6">
        <v>1428</v>
      </c>
      <c r="B1429" s="7" t="s">
        <v>9</v>
      </c>
      <c r="C1429" s="8">
        <v>1886</v>
      </c>
      <c r="D1429" s="9">
        <v>45418</v>
      </c>
      <c r="E1429" s="13" t="str">
        <f>+HYPERLINK("http://trademark.i-assist.jp/data/china/image_1886th/76955829.pdf","76955829")</f>
        <v>76955829</v>
      </c>
      <c r="F1429" s="7" t="s">
        <v>3889</v>
      </c>
      <c r="G1429" s="7" t="s">
        <v>3890</v>
      </c>
      <c r="H1429" s="7" t="s">
        <v>3891</v>
      </c>
      <c r="I1429" s="9">
        <v>45348</v>
      </c>
    </row>
    <row r="1430" spans="1:9" x14ac:dyDescent="0.15">
      <c r="A1430" s="6">
        <v>1429</v>
      </c>
      <c r="B1430" s="7" t="s">
        <v>9</v>
      </c>
      <c r="C1430" s="8">
        <v>1886</v>
      </c>
      <c r="D1430" s="9">
        <v>45418</v>
      </c>
      <c r="E1430" s="13" t="str">
        <f>+HYPERLINK("http://trademark.i-assist.jp/data/china/image_1886th/76956417.pdf","76956417")</f>
        <v>76956417</v>
      </c>
      <c r="F1430" s="7" t="s">
        <v>3892</v>
      </c>
      <c r="G1430" s="7" t="s">
        <v>3893</v>
      </c>
      <c r="H1430" s="7" t="s">
        <v>3894</v>
      </c>
      <c r="I1430" s="9">
        <v>45348</v>
      </c>
    </row>
    <row r="1431" spans="1:9" x14ac:dyDescent="0.15">
      <c r="A1431" s="6">
        <v>1430</v>
      </c>
      <c r="B1431" s="7" t="s">
        <v>9</v>
      </c>
      <c r="C1431" s="8">
        <v>1886</v>
      </c>
      <c r="D1431" s="9">
        <v>45418</v>
      </c>
      <c r="E1431" s="13" t="str">
        <f>+HYPERLINK("http://trademark.i-assist.jp/data/china/image_1886th/76956457.pdf","76956457")</f>
        <v>76956457</v>
      </c>
      <c r="F1431" s="7" t="s">
        <v>3895</v>
      </c>
      <c r="G1431" s="7" t="s">
        <v>3896</v>
      </c>
      <c r="H1431" s="7" t="s">
        <v>3897</v>
      </c>
      <c r="I1431" s="9">
        <v>45348</v>
      </c>
    </row>
    <row r="1432" spans="1:9" x14ac:dyDescent="0.15">
      <c r="A1432" s="6">
        <v>1431</v>
      </c>
      <c r="B1432" s="7" t="s">
        <v>9</v>
      </c>
      <c r="C1432" s="8">
        <v>1886</v>
      </c>
      <c r="D1432" s="9">
        <v>45418</v>
      </c>
      <c r="E1432" s="13" t="str">
        <f>+HYPERLINK("http://trademark.i-assist.jp/data/china/image_1886th/76956616.pdf","76956616")</f>
        <v>76956616</v>
      </c>
      <c r="F1432" s="7" t="s">
        <v>3898</v>
      </c>
      <c r="G1432" s="7" t="s">
        <v>3899</v>
      </c>
      <c r="H1432" s="7" t="s">
        <v>3900</v>
      </c>
      <c r="I1432" s="9">
        <v>45348</v>
      </c>
    </row>
    <row r="1433" spans="1:9" ht="27" x14ac:dyDescent="0.15">
      <c r="A1433" s="6">
        <v>1432</v>
      </c>
      <c r="B1433" s="7" t="s">
        <v>9</v>
      </c>
      <c r="C1433" s="8">
        <v>1886</v>
      </c>
      <c r="D1433" s="9">
        <v>45418</v>
      </c>
      <c r="E1433" s="13" t="str">
        <f>+HYPERLINK("http://trademark.i-assist.jp/data/china/image_1886th/76956668.pdf","76956668")</f>
        <v>76956668</v>
      </c>
      <c r="F1433" s="7" t="s">
        <v>33</v>
      </c>
      <c r="G1433" s="7" t="s">
        <v>3901</v>
      </c>
      <c r="H1433" s="7" t="s">
        <v>3902</v>
      </c>
      <c r="I1433" s="9">
        <v>45348</v>
      </c>
    </row>
    <row r="1434" spans="1:9" x14ac:dyDescent="0.15">
      <c r="A1434" s="6">
        <v>1433</v>
      </c>
      <c r="B1434" s="7" t="s">
        <v>9</v>
      </c>
      <c r="C1434" s="8">
        <v>1886</v>
      </c>
      <c r="D1434" s="9">
        <v>45418</v>
      </c>
      <c r="E1434" s="13" t="str">
        <f>+HYPERLINK("http://trademark.i-assist.jp/data/china/image_1886th/76956802.pdf","76956802")</f>
        <v>76956802</v>
      </c>
      <c r="F1434" s="7" t="s">
        <v>3903</v>
      </c>
      <c r="G1434" s="7" t="s">
        <v>3904</v>
      </c>
      <c r="H1434" s="7" t="s">
        <v>3905</v>
      </c>
      <c r="I1434" s="9">
        <v>45348</v>
      </c>
    </row>
    <row r="1435" spans="1:9" x14ac:dyDescent="0.15">
      <c r="A1435" s="6">
        <v>1434</v>
      </c>
      <c r="B1435" s="7" t="s">
        <v>9</v>
      </c>
      <c r="C1435" s="8">
        <v>1886</v>
      </c>
      <c r="D1435" s="9">
        <v>45418</v>
      </c>
      <c r="E1435" s="13" t="str">
        <f>+HYPERLINK("http://trademark.i-assist.jp/data/china/image_1886th/76956918.pdf","76956918")</f>
        <v>76956918</v>
      </c>
      <c r="F1435" s="7" t="s">
        <v>3906</v>
      </c>
      <c r="G1435" s="7" t="s">
        <v>3907</v>
      </c>
      <c r="H1435" s="7" t="s">
        <v>3908</v>
      </c>
      <c r="I1435" s="9">
        <v>45348</v>
      </c>
    </row>
    <row r="1436" spans="1:9" x14ac:dyDescent="0.15">
      <c r="A1436" s="6">
        <v>1435</v>
      </c>
      <c r="B1436" s="7" t="s">
        <v>9</v>
      </c>
      <c r="C1436" s="8">
        <v>1886</v>
      </c>
      <c r="D1436" s="9">
        <v>45418</v>
      </c>
      <c r="E1436" s="13" t="str">
        <f>+HYPERLINK("http://trademark.i-assist.jp/data/china/image_1886th/76957256.pdf","76957256")</f>
        <v>76957256</v>
      </c>
      <c r="F1436" s="7" t="s">
        <v>3871</v>
      </c>
      <c r="G1436" s="7" t="s">
        <v>3872</v>
      </c>
      <c r="H1436" s="7" t="s">
        <v>3909</v>
      </c>
      <c r="I1436" s="9">
        <v>45348</v>
      </c>
    </row>
    <row r="1437" spans="1:9" x14ac:dyDescent="0.15">
      <c r="A1437" s="6">
        <v>1436</v>
      </c>
      <c r="B1437" s="7" t="s">
        <v>9</v>
      </c>
      <c r="C1437" s="8">
        <v>1886</v>
      </c>
      <c r="D1437" s="9">
        <v>45418</v>
      </c>
      <c r="E1437" s="13" t="str">
        <f>+HYPERLINK("http://trademark.i-assist.jp/data/china/image_1886th/76957284.pdf","76957284")</f>
        <v>76957284</v>
      </c>
      <c r="F1437" s="7" t="s">
        <v>3910</v>
      </c>
      <c r="G1437" s="7" t="s">
        <v>134</v>
      </c>
      <c r="H1437" s="7" t="s">
        <v>3911</v>
      </c>
      <c r="I1437" s="9">
        <v>45348</v>
      </c>
    </row>
    <row r="1438" spans="1:9" x14ac:dyDescent="0.15">
      <c r="A1438" s="6">
        <v>1437</v>
      </c>
      <c r="B1438" s="7" t="s">
        <v>9</v>
      </c>
      <c r="C1438" s="8">
        <v>1886</v>
      </c>
      <c r="D1438" s="9">
        <v>45418</v>
      </c>
      <c r="E1438" s="13" t="str">
        <f>+HYPERLINK("http://trademark.i-assist.jp/data/china/image_1886th/76957644.pdf","76957644")</f>
        <v>76957644</v>
      </c>
      <c r="F1438" s="7" t="s">
        <v>3912</v>
      </c>
      <c r="G1438" s="7" t="s">
        <v>3913</v>
      </c>
      <c r="H1438" s="7" t="s">
        <v>3914</v>
      </c>
      <c r="I1438" s="9">
        <v>45348</v>
      </c>
    </row>
    <row r="1439" spans="1:9" x14ac:dyDescent="0.15">
      <c r="A1439" s="6">
        <v>1438</v>
      </c>
      <c r="B1439" s="7" t="s">
        <v>9</v>
      </c>
      <c r="C1439" s="8">
        <v>1886</v>
      </c>
      <c r="D1439" s="9">
        <v>45418</v>
      </c>
      <c r="E1439" s="13" t="str">
        <f>+HYPERLINK("http://trademark.i-assist.jp/data/china/image_1886th/76957852.pdf","76957852")</f>
        <v>76957852</v>
      </c>
      <c r="F1439" s="7" t="s">
        <v>3915</v>
      </c>
      <c r="G1439" s="7" t="s">
        <v>3916</v>
      </c>
      <c r="H1439" s="7" t="s">
        <v>3917</v>
      </c>
      <c r="I1439" s="9">
        <v>45348</v>
      </c>
    </row>
    <row r="1440" spans="1:9" x14ac:dyDescent="0.15">
      <c r="A1440" s="6">
        <v>1439</v>
      </c>
      <c r="B1440" s="7" t="s">
        <v>9</v>
      </c>
      <c r="C1440" s="8">
        <v>1886</v>
      </c>
      <c r="D1440" s="9">
        <v>45418</v>
      </c>
      <c r="E1440" s="13" t="str">
        <f>+HYPERLINK("http://trademark.i-assist.jp/data/china/image_1886th/76958046.pdf","76958046")</f>
        <v>76958046</v>
      </c>
      <c r="F1440" s="7" t="s">
        <v>3918</v>
      </c>
      <c r="G1440" s="7" t="s">
        <v>3919</v>
      </c>
      <c r="H1440" s="7" t="s">
        <v>3920</v>
      </c>
      <c r="I1440" s="9">
        <v>45348</v>
      </c>
    </row>
    <row r="1441" spans="1:9" x14ac:dyDescent="0.15">
      <c r="A1441" s="6">
        <v>1440</v>
      </c>
      <c r="B1441" s="7" t="s">
        <v>9</v>
      </c>
      <c r="C1441" s="8">
        <v>1886</v>
      </c>
      <c r="D1441" s="9">
        <v>45418</v>
      </c>
      <c r="E1441" s="13" t="str">
        <f>+HYPERLINK("http://trademark.i-assist.jp/data/china/image_1886th/76958056.pdf","76958056")</f>
        <v>76958056</v>
      </c>
      <c r="F1441" s="7" t="s">
        <v>3921</v>
      </c>
      <c r="G1441" s="7" t="s">
        <v>3884</v>
      </c>
      <c r="H1441" s="7" t="s">
        <v>3922</v>
      </c>
      <c r="I1441" s="9">
        <v>45348</v>
      </c>
    </row>
    <row r="1442" spans="1:9" x14ac:dyDescent="0.15">
      <c r="A1442" s="6">
        <v>1441</v>
      </c>
      <c r="B1442" s="7" t="s">
        <v>9</v>
      </c>
      <c r="C1442" s="8">
        <v>1886</v>
      </c>
      <c r="D1442" s="9">
        <v>45418</v>
      </c>
      <c r="E1442" s="13" t="str">
        <f>+HYPERLINK("http://trademark.i-assist.jp/data/china/image_1886th/76959214.pdf","76959214")</f>
        <v>76959214</v>
      </c>
      <c r="F1442" s="7" t="s">
        <v>3923</v>
      </c>
      <c r="G1442" s="7" t="s">
        <v>3924</v>
      </c>
      <c r="H1442" s="7" t="s">
        <v>3925</v>
      </c>
      <c r="I1442" s="9">
        <v>45348</v>
      </c>
    </row>
    <row r="1443" spans="1:9" x14ac:dyDescent="0.15">
      <c r="A1443" s="6">
        <v>1442</v>
      </c>
      <c r="B1443" s="7" t="s">
        <v>9</v>
      </c>
      <c r="C1443" s="8">
        <v>1886</v>
      </c>
      <c r="D1443" s="9">
        <v>45418</v>
      </c>
      <c r="E1443" s="13" t="str">
        <f>+HYPERLINK("http://trademark.i-assist.jp/data/china/image_1886th/76959267.pdf","76959267")</f>
        <v>76959267</v>
      </c>
      <c r="F1443" s="7" t="s">
        <v>3926</v>
      </c>
      <c r="G1443" s="7" t="s">
        <v>3927</v>
      </c>
      <c r="H1443" s="7" t="s">
        <v>3928</v>
      </c>
      <c r="I1443" s="9">
        <v>45348</v>
      </c>
    </row>
    <row r="1444" spans="1:9" x14ac:dyDescent="0.15">
      <c r="A1444" s="6">
        <v>1443</v>
      </c>
      <c r="B1444" s="7" t="s">
        <v>9</v>
      </c>
      <c r="C1444" s="8">
        <v>1886</v>
      </c>
      <c r="D1444" s="9">
        <v>45418</v>
      </c>
      <c r="E1444" s="13" t="str">
        <f>+HYPERLINK("http://trademark.i-assist.jp/data/china/image_1886th/76959924.pdf","76959924")</f>
        <v>76959924</v>
      </c>
      <c r="F1444" s="7" t="s">
        <v>3929</v>
      </c>
      <c r="G1444" s="7" t="s">
        <v>3904</v>
      </c>
      <c r="H1444" s="7" t="s">
        <v>3930</v>
      </c>
      <c r="I1444" s="9">
        <v>45348</v>
      </c>
    </row>
    <row r="1445" spans="1:9" x14ac:dyDescent="0.15">
      <c r="A1445" s="6">
        <v>1444</v>
      </c>
      <c r="B1445" s="7" t="s">
        <v>9</v>
      </c>
      <c r="C1445" s="8">
        <v>1886</v>
      </c>
      <c r="D1445" s="9">
        <v>45418</v>
      </c>
      <c r="E1445" s="13" t="str">
        <f>+HYPERLINK("http://trademark.i-assist.jp/data/china/image_1886th/76959992.pdf","76959992")</f>
        <v>76959992</v>
      </c>
      <c r="F1445" s="7" t="s">
        <v>3931</v>
      </c>
      <c r="G1445" s="7" t="s">
        <v>3932</v>
      </c>
      <c r="H1445" s="7" t="s">
        <v>3933</v>
      </c>
      <c r="I1445" s="9">
        <v>45348</v>
      </c>
    </row>
    <row r="1446" spans="1:9" x14ac:dyDescent="0.15">
      <c r="A1446" s="6">
        <v>1445</v>
      </c>
      <c r="B1446" s="7" t="s">
        <v>9</v>
      </c>
      <c r="C1446" s="8">
        <v>1886</v>
      </c>
      <c r="D1446" s="9">
        <v>45418</v>
      </c>
      <c r="E1446" s="13" t="str">
        <f>+HYPERLINK("http://trademark.i-assist.jp/data/china/image_1886th/76960316.pdf","76960316")</f>
        <v>76960316</v>
      </c>
      <c r="F1446" s="7" t="s">
        <v>3934</v>
      </c>
      <c r="G1446" s="7" t="s">
        <v>3834</v>
      </c>
      <c r="H1446" s="7" t="s">
        <v>3935</v>
      </c>
      <c r="I1446" s="9">
        <v>45348</v>
      </c>
    </row>
    <row r="1447" spans="1:9" x14ac:dyDescent="0.15">
      <c r="A1447" s="6">
        <v>1446</v>
      </c>
      <c r="B1447" s="7" t="s">
        <v>9</v>
      </c>
      <c r="C1447" s="8">
        <v>1886</v>
      </c>
      <c r="D1447" s="9">
        <v>45418</v>
      </c>
      <c r="E1447" s="13" t="str">
        <f>+HYPERLINK("http://trademark.i-assist.jp/data/china/image_1886th/76960372.pdf","76960372")</f>
        <v>76960372</v>
      </c>
      <c r="F1447" s="7" t="s">
        <v>3936</v>
      </c>
      <c r="G1447" s="7" t="s">
        <v>3937</v>
      </c>
      <c r="H1447" s="7" t="s">
        <v>3938</v>
      </c>
      <c r="I1447" s="9">
        <v>45348</v>
      </c>
    </row>
    <row r="1448" spans="1:9" x14ac:dyDescent="0.15">
      <c r="A1448" s="6">
        <v>1447</v>
      </c>
      <c r="B1448" s="7" t="s">
        <v>9</v>
      </c>
      <c r="C1448" s="8">
        <v>1886</v>
      </c>
      <c r="D1448" s="9">
        <v>45418</v>
      </c>
      <c r="E1448" s="13" t="str">
        <f>+HYPERLINK("http://trademark.i-assist.jp/data/china/image_1886th/76961649.pdf","76961649")</f>
        <v>76961649</v>
      </c>
      <c r="F1448" s="7" t="s">
        <v>3939</v>
      </c>
      <c r="G1448" s="7" t="s">
        <v>3940</v>
      </c>
      <c r="H1448" s="7" t="s">
        <v>3941</v>
      </c>
      <c r="I1448" s="9">
        <v>45348</v>
      </c>
    </row>
    <row r="1449" spans="1:9" x14ac:dyDescent="0.15">
      <c r="A1449" s="6">
        <v>1448</v>
      </c>
      <c r="B1449" s="7" t="s">
        <v>9</v>
      </c>
      <c r="C1449" s="8">
        <v>1886</v>
      </c>
      <c r="D1449" s="9">
        <v>45418</v>
      </c>
      <c r="E1449" s="13" t="str">
        <f>+HYPERLINK("http://trademark.i-assist.jp/data/china/image_1886th/76961979.pdf","76961979")</f>
        <v>76961979</v>
      </c>
      <c r="F1449" s="7" t="s">
        <v>3942</v>
      </c>
      <c r="G1449" s="7" t="s">
        <v>3943</v>
      </c>
      <c r="H1449" s="7" t="s">
        <v>3944</v>
      </c>
      <c r="I1449" s="9">
        <v>45348</v>
      </c>
    </row>
    <row r="1450" spans="1:9" ht="27" x14ac:dyDescent="0.15">
      <c r="A1450" s="6">
        <v>1449</v>
      </c>
      <c r="B1450" s="7" t="s">
        <v>9</v>
      </c>
      <c r="C1450" s="8">
        <v>1886</v>
      </c>
      <c r="D1450" s="9">
        <v>45418</v>
      </c>
      <c r="E1450" s="13" t="str">
        <f>+HYPERLINK("http://trademark.i-assist.jp/data/china/image_1886th/76962056.pdf","76962056")</f>
        <v>76962056</v>
      </c>
      <c r="F1450" s="7" t="s">
        <v>33</v>
      </c>
      <c r="G1450" s="7" t="s">
        <v>3945</v>
      </c>
      <c r="H1450" s="7" t="s">
        <v>3946</v>
      </c>
      <c r="I1450" s="9">
        <v>45348</v>
      </c>
    </row>
    <row r="1451" spans="1:9" ht="27" x14ac:dyDescent="0.15">
      <c r="A1451" s="6">
        <v>1450</v>
      </c>
      <c r="B1451" s="7" t="s">
        <v>9</v>
      </c>
      <c r="C1451" s="8">
        <v>1886</v>
      </c>
      <c r="D1451" s="9">
        <v>45418</v>
      </c>
      <c r="E1451" s="13" t="str">
        <f>+HYPERLINK("http://trademark.i-assist.jp/data/china/image_1886th/76962242.pdf","76962242")</f>
        <v>76962242</v>
      </c>
      <c r="F1451" s="7" t="s">
        <v>3947</v>
      </c>
      <c r="G1451" s="7" t="s">
        <v>3948</v>
      </c>
      <c r="H1451" s="7" t="s">
        <v>3949</v>
      </c>
      <c r="I1451" s="9">
        <v>45348</v>
      </c>
    </row>
    <row r="1452" spans="1:9" x14ac:dyDescent="0.15">
      <c r="A1452" s="6">
        <v>1451</v>
      </c>
      <c r="B1452" s="7" t="s">
        <v>9</v>
      </c>
      <c r="C1452" s="8">
        <v>1886</v>
      </c>
      <c r="D1452" s="9">
        <v>45418</v>
      </c>
      <c r="E1452" s="13" t="str">
        <f>+HYPERLINK("http://trademark.i-assist.jp/data/china/image_1886th/76962292.pdf","76962292")</f>
        <v>76962292</v>
      </c>
      <c r="F1452" s="7" t="s">
        <v>3950</v>
      </c>
      <c r="G1452" s="7" t="s">
        <v>134</v>
      </c>
      <c r="H1452" s="7" t="s">
        <v>3951</v>
      </c>
      <c r="I1452" s="9">
        <v>45348</v>
      </c>
    </row>
    <row r="1453" spans="1:9" ht="27" x14ac:dyDescent="0.15">
      <c r="A1453" s="6">
        <v>1452</v>
      </c>
      <c r="B1453" s="7" t="s">
        <v>9</v>
      </c>
      <c r="C1453" s="8">
        <v>1886</v>
      </c>
      <c r="D1453" s="9">
        <v>45418</v>
      </c>
      <c r="E1453" s="13" t="str">
        <f>+HYPERLINK("http://trademark.i-assist.jp/data/china/image_1886th/76962391.pdf","76962391")</f>
        <v>76962391</v>
      </c>
      <c r="F1453" s="7" t="s">
        <v>3952</v>
      </c>
      <c r="G1453" s="7" t="s">
        <v>3953</v>
      </c>
      <c r="H1453" s="7" t="s">
        <v>3954</v>
      </c>
      <c r="I1453" s="9">
        <v>45348</v>
      </c>
    </row>
    <row r="1454" spans="1:9" x14ac:dyDescent="0.15">
      <c r="A1454" s="6">
        <v>1453</v>
      </c>
      <c r="B1454" s="7" t="s">
        <v>9</v>
      </c>
      <c r="C1454" s="8">
        <v>1886</v>
      </c>
      <c r="D1454" s="9">
        <v>45418</v>
      </c>
      <c r="E1454" s="13" t="str">
        <f>+HYPERLINK("http://trademark.i-assist.jp/data/china/image_1886th/76963070.pdf","76963070")</f>
        <v>76963070</v>
      </c>
      <c r="F1454" s="7" t="s">
        <v>3955</v>
      </c>
      <c r="G1454" s="7" t="s">
        <v>3956</v>
      </c>
      <c r="H1454" s="7" t="s">
        <v>3957</v>
      </c>
      <c r="I1454" s="9">
        <v>45348</v>
      </c>
    </row>
    <row r="1455" spans="1:9" ht="27" x14ac:dyDescent="0.15">
      <c r="A1455" s="6">
        <v>1454</v>
      </c>
      <c r="B1455" s="7" t="s">
        <v>9</v>
      </c>
      <c r="C1455" s="8">
        <v>1886</v>
      </c>
      <c r="D1455" s="9">
        <v>45418</v>
      </c>
      <c r="E1455" s="13" t="str">
        <f>+HYPERLINK("http://trademark.i-assist.jp/data/china/image_1886th/76963230.pdf","76963230")</f>
        <v>76963230</v>
      </c>
      <c r="F1455" s="7" t="s">
        <v>33</v>
      </c>
      <c r="G1455" s="7" t="s">
        <v>3945</v>
      </c>
      <c r="H1455" s="7" t="s">
        <v>3958</v>
      </c>
      <c r="I1455" s="9">
        <v>45348</v>
      </c>
    </row>
    <row r="1456" spans="1:9" x14ac:dyDescent="0.15">
      <c r="A1456" s="6">
        <v>1455</v>
      </c>
      <c r="B1456" s="7" t="s">
        <v>9</v>
      </c>
      <c r="C1456" s="8">
        <v>1886</v>
      </c>
      <c r="D1456" s="9">
        <v>45418</v>
      </c>
      <c r="E1456" s="13" t="str">
        <f>+HYPERLINK("http://trademark.i-assist.jp/data/china/image_1886th/76963451.pdf","76963451")</f>
        <v>76963451</v>
      </c>
      <c r="F1456" s="7" t="s">
        <v>3959</v>
      </c>
      <c r="G1456" s="7" t="s">
        <v>3960</v>
      </c>
      <c r="H1456" s="7" t="s">
        <v>3961</v>
      </c>
      <c r="I1456" s="9">
        <v>45348</v>
      </c>
    </row>
    <row r="1457" spans="1:9" x14ac:dyDescent="0.15">
      <c r="A1457" s="6">
        <v>1456</v>
      </c>
      <c r="B1457" s="7" t="s">
        <v>9</v>
      </c>
      <c r="C1457" s="8">
        <v>1886</v>
      </c>
      <c r="D1457" s="9">
        <v>45418</v>
      </c>
      <c r="E1457" s="13" t="str">
        <f>+HYPERLINK("http://trademark.i-assist.jp/data/china/image_1886th/76963572.pdf","76963572")</f>
        <v>76963572</v>
      </c>
      <c r="F1457" s="7" t="s">
        <v>3962</v>
      </c>
      <c r="G1457" s="7" t="s">
        <v>3963</v>
      </c>
      <c r="H1457" s="7" t="s">
        <v>3964</v>
      </c>
      <c r="I1457" s="9">
        <v>45348</v>
      </c>
    </row>
    <row r="1458" spans="1:9" x14ac:dyDescent="0.15">
      <c r="A1458" s="6">
        <v>1457</v>
      </c>
      <c r="B1458" s="7" t="s">
        <v>9</v>
      </c>
      <c r="C1458" s="8">
        <v>1886</v>
      </c>
      <c r="D1458" s="9">
        <v>45418</v>
      </c>
      <c r="E1458" s="13" t="str">
        <f>+HYPERLINK("http://trademark.i-assist.jp/data/china/image_1886th/76963706.pdf","76963706")</f>
        <v>76963706</v>
      </c>
      <c r="F1458" s="7" t="s">
        <v>3965</v>
      </c>
      <c r="G1458" s="7" t="s">
        <v>3966</v>
      </c>
      <c r="H1458" s="7" t="s">
        <v>3967</v>
      </c>
      <c r="I1458" s="9">
        <v>45348</v>
      </c>
    </row>
    <row r="1459" spans="1:9" x14ac:dyDescent="0.15">
      <c r="A1459" s="6">
        <v>1458</v>
      </c>
      <c r="B1459" s="7" t="s">
        <v>9</v>
      </c>
      <c r="C1459" s="8">
        <v>1886</v>
      </c>
      <c r="D1459" s="9">
        <v>45418</v>
      </c>
      <c r="E1459" s="13" t="str">
        <f>+HYPERLINK("http://trademark.i-assist.jp/data/china/image_1886th/76963896.pdf","76963896")</f>
        <v>76963896</v>
      </c>
      <c r="F1459" s="7" t="s">
        <v>3968</v>
      </c>
      <c r="G1459" s="7" t="s">
        <v>3969</v>
      </c>
      <c r="H1459" s="7" t="s">
        <v>3970</v>
      </c>
      <c r="I1459" s="9">
        <v>45348</v>
      </c>
    </row>
    <row r="1460" spans="1:9" x14ac:dyDescent="0.15">
      <c r="A1460" s="6">
        <v>1459</v>
      </c>
      <c r="B1460" s="7" t="s">
        <v>9</v>
      </c>
      <c r="C1460" s="8">
        <v>1886</v>
      </c>
      <c r="D1460" s="9">
        <v>45418</v>
      </c>
      <c r="E1460" s="13" t="str">
        <f>+HYPERLINK("http://trademark.i-assist.jp/data/china/image_1886th/76964061.pdf","76964061")</f>
        <v>76964061</v>
      </c>
      <c r="F1460" s="7" t="s">
        <v>3971</v>
      </c>
      <c r="G1460" s="7" t="s">
        <v>3972</v>
      </c>
      <c r="H1460" s="7" t="s">
        <v>3973</v>
      </c>
      <c r="I1460" s="9">
        <v>45348</v>
      </c>
    </row>
    <row r="1461" spans="1:9" ht="27" x14ac:dyDescent="0.15">
      <c r="A1461" s="6">
        <v>1460</v>
      </c>
      <c r="B1461" s="7" t="s">
        <v>9</v>
      </c>
      <c r="C1461" s="8">
        <v>1886</v>
      </c>
      <c r="D1461" s="9">
        <v>45418</v>
      </c>
      <c r="E1461" s="13" t="str">
        <f>+HYPERLINK("http://trademark.i-assist.jp/data/china/image_1886th/76964942.pdf","76964942")</f>
        <v>76964942</v>
      </c>
      <c r="F1461" s="7" t="s">
        <v>3974</v>
      </c>
      <c r="G1461" s="7" t="s">
        <v>3975</v>
      </c>
      <c r="H1461" s="7" t="s">
        <v>3976</v>
      </c>
      <c r="I1461" s="9">
        <v>45348</v>
      </c>
    </row>
    <row r="1462" spans="1:9" x14ac:dyDescent="0.15">
      <c r="A1462" s="6">
        <v>1461</v>
      </c>
      <c r="B1462" s="7" t="s">
        <v>9</v>
      </c>
      <c r="C1462" s="8">
        <v>1886</v>
      </c>
      <c r="D1462" s="9">
        <v>45418</v>
      </c>
      <c r="E1462" s="13" t="str">
        <f>+HYPERLINK("http://trademark.i-assist.jp/data/china/image_1886th/76965501.pdf","76965501")</f>
        <v>76965501</v>
      </c>
      <c r="F1462" s="7" t="s">
        <v>3977</v>
      </c>
      <c r="G1462" s="7" t="s">
        <v>3849</v>
      </c>
      <c r="H1462" s="7" t="s">
        <v>3978</v>
      </c>
      <c r="I1462" s="9">
        <v>45348</v>
      </c>
    </row>
    <row r="1463" spans="1:9" x14ac:dyDescent="0.15">
      <c r="A1463" s="6">
        <v>1462</v>
      </c>
      <c r="B1463" s="7" t="s">
        <v>9</v>
      </c>
      <c r="C1463" s="8">
        <v>1886</v>
      </c>
      <c r="D1463" s="9">
        <v>45418</v>
      </c>
      <c r="E1463" s="13" t="str">
        <f>+HYPERLINK("http://trademark.i-assist.jp/data/china/image_1886th/76965981.pdf","76965981")</f>
        <v>76965981</v>
      </c>
      <c r="F1463" s="7" t="s">
        <v>3979</v>
      </c>
      <c r="G1463" s="7" t="s">
        <v>3980</v>
      </c>
      <c r="H1463" s="7" t="s">
        <v>3981</v>
      </c>
      <c r="I1463" s="9">
        <v>45348</v>
      </c>
    </row>
    <row r="1464" spans="1:9" x14ac:dyDescent="0.15">
      <c r="A1464" s="6">
        <v>1463</v>
      </c>
      <c r="B1464" s="7" t="s">
        <v>9</v>
      </c>
      <c r="C1464" s="8">
        <v>1886</v>
      </c>
      <c r="D1464" s="9">
        <v>45418</v>
      </c>
      <c r="E1464" s="13" t="str">
        <f>+HYPERLINK("http://trademark.i-assist.jp/data/china/image_1886th/76965987.pdf","76965987")</f>
        <v>76965987</v>
      </c>
      <c r="F1464" s="7" t="s">
        <v>3982</v>
      </c>
      <c r="G1464" s="7" t="s">
        <v>3983</v>
      </c>
      <c r="H1464" s="7" t="s">
        <v>3984</v>
      </c>
      <c r="I1464" s="9">
        <v>45348</v>
      </c>
    </row>
    <row r="1465" spans="1:9" x14ac:dyDescent="0.15">
      <c r="A1465" s="6">
        <v>1464</v>
      </c>
      <c r="B1465" s="7" t="s">
        <v>9</v>
      </c>
      <c r="C1465" s="8">
        <v>1886</v>
      </c>
      <c r="D1465" s="9">
        <v>45418</v>
      </c>
      <c r="E1465" s="13" t="str">
        <f>+HYPERLINK("http://trademark.i-assist.jp/data/china/image_1886th/76966034.pdf","76966034")</f>
        <v>76966034</v>
      </c>
      <c r="F1465" s="7" t="s">
        <v>3985</v>
      </c>
      <c r="G1465" s="7" t="s">
        <v>3825</v>
      </c>
      <c r="H1465" s="7" t="s">
        <v>3986</v>
      </c>
      <c r="I1465" s="9">
        <v>45348</v>
      </c>
    </row>
    <row r="1466" spans="1:9" ht="27" x14ac:dyDescent="0.15">
      <c r="A1466" s="6">
        <v>1465</v>
      </c>
      <c r="B1466" s="7" t="s">
        <v>9</v>
      </c>
      <c r="C1466" s="8">
        <v>1886</v>
      </c>
      <c r="D1466" s="9">
        <v>45418</v>
      </c>
      <c r="E1466" s="13" t="str">
        <f>+HYPERLINK("http://trademark.i-assist.jp/data/china/image_1886th/76966416.pdf","76966416")</f>
        <v>76966416</v>
      </c>
      <c r="F1466" s="7" t="s">
        <v>3987</v>
      </c>
      <c r="G1466" s="7" t="s">
        <v>3988</v>
      </c>
      <c r="H1466" s="7" t="s">
        <v>3989</v>
      </c>
      <c r="I1466" s="9">
        <v>45348</v>
      </c>
    </row>
    <row r="1467" spans="1:9" x14ac:dyDescent="0.15">
      <c r="A1467" s="6">
        <v>1466</v>
      </c>
      <c r="B1467" s="7" t="s">
        <v>9</v>
      </c>
      <c r="C1467" s="8">
        <v>1886</v>
      </c>
      <c r="D1467" s="9">
        <v>45418</v>
      </c>
      <c r="E1467" s="13" t="str">
        <f>+HYPERLINK("http://trademark.i-assist.jp/data/china/image_1886th/76967062.pdf","76967062")</f>
        <v>76967062</v>
      </c>
      <c r="F1467" s="7" t="s">
        <v>3990</v>
      </c>
      <c r="G1467" s="7" t="s">
        <v>251</v>
      </c>
      <c r="H1467" s="7" t="s">
        <v>3991</v>
      </c>
      <c r="I1467" s="9">
        <v>45348</v>
      </c>
    </row>
    <row r="1468" spans="1:9" x14ac:dyDescent="0.15">
      <c r="A1468" s="6">
        <v>1467</v>
      </c>
      <c r="B1468" s="7" t="s">
        <v>9</v>
      </c>
      <c r="C1468" s="8">
        <v>1886</v>
      </c>
      <c r="D1468" s="9">
        <v>45418</v>
      </c>
      <c r="E1468" s="13" t="str">
        <f>+HYPERLINK("http://trademark.i-assist.jp/data/china/image_1886th/76967228.pdf","76967228")</f>
        <v>76967228</v>
      </c>
      <c r="F1468" s="7" t="s">
        <v>3992</v>
      </c>
      <c r="G1468" s="7" t="s">
        <v>3993</v>
      </c>
      <c r="H1468" s="7" t="s">
        <v>3994</v>
      </c>
      <c r="I1468" s="9">
        <v>45348</v>
      </c>
    </row>
    <row r="1469" spans="1:9" x14ac:dyDescent="0.15">
      <c r="A1469" s="6">
        <v>1468</v>
      </c>
      <c r="B1469" s="7" t="s">
        <v>9</v>
      </c>
      <c r="C1469" s="8">
        <v>1886</v>
      </c>
      <c r="D1469" s="9">
        <v>45418</v>
      </c>
      <c r="E1469" s="13" t="str">
        <f>+HYPERLINK("http://trademark.i-assist.jp/data/china/image_1886th/76967705.pdf","76967705")</f>
        <v>76967705</v>
      </c>
      <c r="F1469" s="7" t="s">
        <v>3995</v>
      </c>
      <c r="G1469" s="7" t="s">
        <v>134</v>
      </c>
      <c r="H1469" s="7" t="s">
        <v>3996</v>
      </c>
      <c r="I1469" s="9">
        <v>45348</v>
      </c>
    </row>
    <row r="1470" spans="1:9" x14ac:dyDescent="0.15">
      <c r="A1470" s="6">
        <v>1469</v>
      </c>
      <c r="B1470" s="7" t="s">
        <v>9</v>
      </c>
      <c r="C1470" s="8">
        <v>1886</v>
      </c>
      <c r="D1470" s="9">
        <v>45418</v>
      </c>
      <c r="E1470" s="13" t="str">
        <f>+HYPERLINK("http://trademark.i-assist.jp/data/china/image_1886th/76967827.pdf","76967827")</f>
        <v>76967827</v>
      </c>
      <c r="F1470" s="7" t="s">
        <v>3997</v>
      </c>
      <c r="G1470" s="7" t="s">
        <v>3998</v>
      </c>
      <c r="H1470" s="7" t="s">
        <v>3999</v>
      </c>
      <c r="I1470" s="9">
        <v>45348</v>
      </c>
    </row>
    <row r="1471" spans="1:9" ht="27" x14ac:dyDescent="0.15">
      <c r="A1471" s="6">
        <v>1470</v>
      </c>
      <c r="B1471" s="7" t="s">
        <v>9</v>
      </c>
      <c r="C1471" s="8">
        <v>1886</v>
      </c>
      <c r="D1471" s="9">
        <v>45418</v>
      </c>
      <c r="E1471" s="13" t="str">
        <f>+HYPERLINK("http://trademark.i-assist.jp/data/china/image_1886th/76968099.pdf","76968099")</f>
        <v>76968099</v>
      </c>
      <c r="F1471" s="7" t="s">
        <v>33</v>
      </c>
      <c r="G1471" s="7" t="s">
        <v>4000</v>
      </c>
      <c r="H1471" s="7" t="s">
        <v>4001</v>
      </c>
      <c r="I1471" s="9">
        <v>45348</v>
      </c>
    </row>
    <row r="1472" spans="1:9" x14ac:dyDescent="0.15">
      <c r="A1472" s="6">
        <v>1471</v>
      </c>
      <c r="B1472" s="7" t="s">
        <v>9</v>
      </c>
      <c r="C1472" s="8">
        <v>1886</v>
      </c>
      <c r="D1472" s="9">
        <v>45418</v>
      </c>
      <c r="E1472" s="13" t="str">
        <f>+HYPERLINK("http://trademark.i-assist.jp/data/china/image_1886th/76968456.pdf","76968456")</f>
        <v>76968456</v>
      </c>
      <c r="F1472" s="7" t="s">
        <v>4002</v>
      </c>
      <c r="G1472" s="7" t="s">
        <v>3916</v>
      </c>
      <c r="H1472" s="7" t="s">
        <v>4003</v>
      </c>
      <c r="I1472" s="9">
        <v>45348</v>
      </c>
    </row>
    <row r="1473" spans="1:9" x14ac:dyDescent="0.15">
      <c r="A1473" s="6">
        <v>1472</v>
      </c>
      <c r="B1473" s="7" t="s">
        <v>9</v>
      </c>
      <c r="C1473" s="8">
        <v>1886</v>
      </c>
      <c r="D1473" s="9">
        <v>45418</v>
      </c>
      <c r="E1473" s="13" t="str">
        <f>+HYPERLINK("http://trademark.i-assist.jp/data/china/image_1886th/76969063.pdf","76969063")</f>
        <v>76969063</v>
      </c>
      <c r="F1473" s="7" t="s">
        <v>4004</v>
      </c>
      <c r="G1473" s="7" t="s">
        <v>4005</v>
      </c>
      <c r="H1473" s="7" t="s">
        <v>4006</v>
      </c>
      <c r="I1473" s="9">
        <v>45348</v>
      </c>
    </row>
    <row r="1474" spans="1:9" x14ac:dyDescent="0.15">
      <c r="A1474" s="6">
        <v>1473</v>
      </c>
      <c r="B1474" s="7" t="s">
        <v>9</v>
      </c>
      <c r="C1474" s="8">
        <v>1886</v>
      </c>
      <c r="D1474" s="9">
        <v>45418</v>
      </c>
      <c r="E1474" s="13" t="str">
        <f>+HYPERLINK("http://trademark.i-assist.jp/data/china/image_1886th/76969313.pdf","76969313")</f>
        <v>76969313</v>
      </c>
      <c r="F1474" s="7" t="s">
        <v>4007</v>
      </c>
      <c r="G1474" s="7" t="s">
        <v>4008</v>
      </c>
      <c r="H1474" s="7" t="s">
        <v>4009</v>
      </c>
      <c r="I1474" s="9">
        <v>45348</v>
      </c>
    </row>
    <row r="1475" spans="1:9" x14ac:dyDescent="0.15">
      <c r="A1475" s="6">
        <v>1474</v>
      </c>
      <c r="B1475" s="7" t="s">
        <v>9</v>
      </c>
      <c r="C1475" s="8">
        <v>1886</v>
      </c>
      <c r="D1475" s="9">
        <v>45418</v>
      </c>
      <c r="E1475" s="13" t="str">
        <f>+HYPERLINK("http://trademark.i-assist.jp/data/china/image_1886th/76969402.pdf","76969402")</f>
        <v>76969402</v>
      </c>
      <c r="F1475" s="7" t="s">
        <v>4010</v>
      </c>
      <c r="G1475" s="7" t="s">
        <v>4011</v>
      </c>
      <c r="H1475" s="7" t="s">
        <v>4012</v>
      </c>
      <c r="I1475" s="9">
        <v>45348</v>
      </c>
    </row>
    <row r="1476" spans="1:9" x14ac:dyDescent="0.15">
      <c r="A1476" s="6">
        <v>1475</v>
      </c>
      <c r="B1476" s="7" t="s">
        <v>9</v>
      </c>
      <c r="C1476" s="8">
        <v>1886</v>
      </c>
      <c r="D1476" s="9">
        <v>45418</v>
      </c>
      <c r="E1476" s="13" t="str">
        <f>+HYPERLINK("http://trademark.i-assist.jp/data/china/image_1886th/76969830.pdf","76969830")</f>
        <v>76969830</v>
      </c>
      <c r="F1476" s="7" t="s">
        <v>4013</v>
      </c>
      <c r="G1476" s="7" t="s">
        <v>4014</v>
      </c>
      <c r="H1476" s="7" t="s">
        <v>4015</v>
      </c>
      <c r="I1476" s="9">
        <v>45348</v>
      </c>
    </row>
    <row r="1477" spans="1:9" x14ac:dyDescent="0.15">
      <c r="A1477" s="6">
        <v>1476</v>
      </c>
      <c r="B1477" s="7" t="s">
        <v>9</v>
      </c>
      <c r="C1477" s="8">
        <v>1886</v>
      </c>
      <c r="D1477" s="9">
        <v>45418</v>
      </c>
      <c r="E1477" s="13" t="str">
        <f>+HYPERLINK("http://trademark.i-assist.jp/data/china/image_1886th/76969842.pdf","76969842")</f>
        <v>76969842</v>
      </c>
      <c r="F1477" s="7" t="s">
        <v>4016</v>
      </c>
      <c r="G1477" s="7" t="s">
        <v>4014</v>
      </c>
      <c r="H1477" s="7" t="s">
        <v>4017</v>
      </c>
      <c r="I1477" s="9">
        <v>45348</v>
      </c>
    </row>
    <row r="1478" spans="1:9" x14ac:dyDescent="0.15">
      <c r="A1478" s="6">
        <v>1477</v>
      </c>
      <c r="B1478" s="7" t="s">
        <v>9</v>
      </c>
      <c r="C1478" s="8">
        <v>1886</v>
      </c>
      <c r="D1478" s="9">
        <v>45418</v>
      </c>
      <c r="E1478" s="13" t="str">
        <f>+HYPERLINK("http://trademark.i-assist.jp/data/china/image_1886th/76969972.pdf","76969972")</f>
        <v>76969972</v>
      </c>
      <c r="F1478" s="7" t="s">
        <v>4018</v>
      </c>
      <c r="G1478" s="7" t="s">
        <v>4019</v>
      </c>
      <c r="H1478" s="7" t="s">
        <v>4020</v>
      </c>
      <c r="I1478" s="9">
        <v>45348</v>
      </c>
    </row>
    <row r="1479" spans="1:9" ht="27" x14ac:dyDescent="0.15">
      <c r="A1479" s="6">
        <v>1478</v>
      </c>
      <c r="B1479" s="7" t="s">
        <v>9</v>
      </c>
      <c r="C1479" s="8">
        <v>1886</v>
      </c>
      <c r="D1479" s="9">
        <v>45418</v>
      </c>
      <c r="E1479" s="13" t="str">
        <f>+HYPERLINK("http://trademark.i-assist.jp/data/china/image_1886th/76970458.pdf","76970458")</f>
        <v>76970458</v>
      </c>
      <c r="F1479" s="7" t="s">
        <v>4021</v>
      </c>
      <c r="G1479" s="7" t="s">
        <v>4022</v>
      </c>
      <c r="H1479" s="7" t="s">
        <v>4023</v>
      </c>
      <c r="I1479" s="9">
        <v>45349</v>
      </c>
    </row>
    <row r="1480" spans="1:9" x14ac:dyDescent="0.15">
      <c r="A1480" s="6">
        <v>1479</v>
      </c>
      <c r="B1480" s="7" t="s">
        <v>9</v>
      </c>
      <c r="C1480" s="8">
        <v>1886</v>
      </c>
      <c r="D1480" s="9">
        <v>45418</v>
      </c>
      <c r="E1480" s="13" t="str">
        <f>+HYPERLINK("http://trademark.i-assist.jp/data/china/image_1886th/76971037.pdf","76971037")</f>
        <v>76971037</v>
      </c>
      <c r="F1480" s="7" t="s">
        <v>33</v>
      </c>
      <c r="G1480" s="7" t="s">
        <v>4024</v>
      </c>
      <c r="H1480" s="7" t="s">
        <v>4025</v>
      </c>
      <c r="I1480" s="9">
        <v>45349</v>
      </c>
    </row>
    <row r="1481" spans="1:9" ht="40.5" x14ac:dyDescent="0.15">
      <c r="A1481" s="6">
        <v>1480</v>
      </c>
      <c r="B1481" s="7" t="s">
        <v>9</v>
      </c>
      <c r="C1481" s="8">
        <v>1886</v>
      </c>
      <c r="D1481" s="9">
        <v>45418</v>
      </c>
      <c r="E1481" s="13" t="str">
        <f>+HYPERLINK("http://trademark.i-assist.jp/data/china/image_1886th/76971038.pdf","76971038")</f>
        <v>76971038</v>
      </c>
      <c r="F1481" s="7" t="s">
        <v>4026</v>
      </c>
      <c r="G1481" s="7" t="s">
        <v>4027</v>
      </c>
      <c r="H1481" s="7" t="s">
        <v>4028</v>
      </c>
      <c r="I1481" s="9">
        <v>45349</v>
      </c>
    </row>
    <row r="1482" spans="1:9" x14ac:dyDescent="0.15">
      <c r="A1482" s="6">
        <v>1481</v>
      </c>
      <c r="B1482" s="7" t="s">
        <v>9</v>
      </c>
      <c r="C1482" s="8">
        <v>1886</v>
      </c>
      <c r="D1482" s="9">
        <v>45418</v>
      </c>
      <c r="E1482" s="13" t="str">
        <f>+HYPERLINK("http://trademark.i-assist.jp/data/china/image_1886th/76971112.pdf","76971112")</f>
        <v>76971112</v>
      </c>
      <c r="F1482" s="7" t="s">
        <v>4029</v>
      </c>
      <c r="G1482" s="7" t="s">
        <v>4030</v>
      </c>
      <c r="H1482" s="7" t="s">
        <v>4031</v>
      </c>
      <c r="I1482" s="9">
        <v>45349</v>
      </c>
    </row>
    <row r="1483" spans="1:9" ht="27" x14ac:dyDescent="0.15">
      <c r="A1483" s="6">
        <v>1482</v>
      </c>
      <c r="B1483" s="7" t="s">
        <v>9</v>
      </c>
      <c r="C1483" s="8">
        <v>1886</v>
      </c>
      <c r="D1483" s="9">
        <v>45418</v>
      </c>
      <c r="E1483" s="13" t="str">
        <f>+HYPERLINK("http://trademark.i-assist.jp/data/china/image_1886th/76971145.pdf","76971145")</f>
        <v>76971145</v>
      </c>
      <c r="F1483" s="7" t="s">
        <v>4032</v>
      </c>
      <c r="G1483" s="7" t="s">
        <v>4033</v>
      </c>
      <c r="H1483" s="7" t="s">
        <v>4034</v>
      </c>
      <c r="I1483" s="9">
        <v>45349</v>
      </c>
    </row>
    <row r="1484" spans="1:9" ht="27" x14ac:dyDescent="0.15">
      <c r="A1484" s="6">
        <v>1483</v>
      </c>
      <c r="B1484" s="7" t="s">
        <v>9</v>
      </c>
      <c r="C1484" s="8">
        <v>1886</v>
      </c>
      <c r="D1484" s="9">
        <v>45418</v>
      </c>
      <c r="E1484" s="13" t="str">
        <f>+HYPERLINK("http://trademark.i-assist.jp/data/china/image_1886th/76971470.pdf","76971470")</f>
        <v>76971470</v>
      </c>
      <c r="F1484" s="7" t="s">
        <v>4035</v>
      </c>
      <c r="G1484" s="7" t="s">
        <v>4036</v>
      </c>
      <c r="H1484" s="7" t="s">
        <v>4037</v>
      </c>
      <c r="I1484" s="9">
        <v>45349</v>
      </c>
    </row>
    <row r="1485" spans="1:9" ht="27" x14ac:dyDescent="0.15">
      <c r="A1485" s="6">
        <v>1484</v>
      </c>
      <c r="B1485" s="7" t="s">
        <v>9</v>
      </c>
      <c r="C1485" s="8">
        <v>1886</v>
      </c>
      <c r="D1485" s="9">
        <v>45418</v>
      </c>
      <c r="E1485" s="13" t="str">
        <f>+HYPERLINK("http://trademark.i-assist.jp/data/china/image_1886th/76971973.pdf","76971973")</f>
        <v>76971973</v>
      </c>
      <c r="F1485" s="7" t="s">
        <v>4038</v>
      </c>
      <c r="G1485" s="7" t="s">
        <v>4039</v>
      </c>
      <c r="H1485" s="7" t="s">
        <v>4040</v>
      </c>
      <c r="I1485" s="9">
        <v>45349</v>
      </c>
    </row>
    <row r="1486" spans="1:9" x14ac:dyDescent="0.15">
      <c r="A1486" s="6">
        <v>1485</v>
      </c>
      <c r="B1486" s="7" t="s">
        <v>9</v>
      </c>
      <c r="C1486" s="8">
        <v>1886</v>
      </c>
      <c r="D1486" s="9">
        <v>45418</v>
      </c>
      <c r="E1486" s="13" t="str">
        <f>+HYPERLINK("http://trademark.i-assist.jp/data/china/image_1886th/76972037.pdf","76972037")</f>
        <v>76972037</v>
      </c>
      <c r="F1486" s="7" t="s">
        <v>4041</v>
      </c>
      <c r="G1486" s="7" t="s">
        <v>4042</v>
      </c>
      <c r="H1486" s="7" t="s">
        <v>4043</v>
      </c>
      <c r="I1486" s="9">
        <v>45349</v>
      </c>
    </row>
    <row r="1487" spans="1:9" x14ac:dyDescent="0.15">
      <c r="A1487" s="6">
        <v>1486</v>
      </c>
      <c r="B1487" s="7" t="s">
        <v>9</v>
      </c>
      <c r="C1487" s="8">
        <v>1886</v>
      </c>
      <c r="D1487" s="9">
        <v>45418</v>
      </c>
      <c r="E1487" s="13" t="str">
        <f>+HYPERLINK("http://trademark.i-assist.jp/data/china/image_1886th/76972435.pdf","76972435")</f>
        <v>76972435</v>
      </c>
      <c r="F1487" s="7" t="s">
        <v>4044</v>
      </c>
      <c r="G1487" s="7" t="s">
        <v>4045</v>
      </c>
      <c r="H1487" s="7" t="s">
        <v>4046</v>
      </c>
      <c r="I1487" s="9">
        <v>45349</v>
      </c>
    </row>
    <row r="1488" spans="1:9" ht="27" x14ac:dyDescent="0.15">
      <c r="A1488" s="6">
        <v>1487</v>
      </c>
      <c r="B1488" s="7" t="s">
        <v>9</v>
      </c>
      <c r="C1488" s="8">
        <v>1886</v>
      </c>
      <c r="D1488" s="9">
        <v>45418</v>
      </c>
      <c r="E1488" s="13" t="str">
        <f>+HYPERLINK("http://trademark.i-assist.jp/data/china/image_1886th/76972933.pdf","76972933")</f>
        <v>76972933</v>
      </c>
      <c r="F1488" s="7" t="s">
        <v>4047</v>
      </c>
      <c r="G1488" s="7" t="s">
        <v>4048</v>
      </c>
      <c r="H1488" s="7" t="s">
        <v>4049</v>
      </c>
      <c r="I1488" s="9">
        <v>45349</v>
      </c>
    </row>
    <row r="1489" spans="1:9" ht="27" x14ac:dyDescent="0.15">
      <c r="A1489" s="6">
        <v>1488</v>
      </c>
      <c r="B1489" s="7" t="s">
        <v>9</v>
      </c>
      <c r="C1489" s="8">
        <v>1886</v>
      </c>
      <c r="D1489" s="9">
        <v>45418</v>
      </c>
      <c r="E1489" s="13" t="str">
        <f>+HYPERLINK("http://trademark.i-assist.jp/data/china/image_1886th/76973011.pdf","76973011")</f>
        <v>76973011</v>
      </c>
      <c r="F1489" s="7" t="s">
        <v>4050</v>
      </c>
      <c r="G1489" s="7" t="s">
        <v>4051</v>
      </c>
      <c r="H1489" s="7" t="s">
        <v>4052</v>
      </c>
      <c r="I1489" s="9">
        <v>45349</v>
      </c>
    </row>
    <row r="1490" spans="1:9" x14ac:dyDescent="0.15">
      <c r="A1490" s="6">
        <v>1489</v>
      </c>
      <c r="B1490" s="7" t="s">
        <v>9</v>
      </c>
      <c r="C1490" s="8">
        <v>1886</v>
      </c>
      <c r="D1490" s="9">
        <v>45418</v>
      </c>
      <c r="E1490" s="13" t="str">
        <f>+HYPERLINK("http://trademark.i-assist.jp/data/china/image_1886th/76973292.pdf","76973292")</f>
        <v>76973292</v>
      </c>
      <c r="F1490" s="7" t="s">
        <v>4053</v>
      </c>
      <c r="G1490" s="7" t="s">
        <v>4054</v>
      </c>
      <c r="H1490" s="7" t="s">
        <v>4055</v>
      </c>
      <c r="I1490" s="9">
        <v>45349</v>
      </c>
    </row>
    <row r="1491" spans="1:9" x14ac:dyDescent="0.15">
      <c r="A1491" s="6">
        <v>1490</v>
      </c>
      <c r="B1491" s="7" t="s">
        <v>9</v>
      </c>
      <c r="C1491" s="8">
        <v>1886</v>
      </c>
      <c r="D1491" s="9">
        <v>45418</v>
      </c>
      <c r="E1491" s="13" t="str">
        <f>+HYPERLINK("http://trademark.i-assist.jp/data/china/image_1886th/76973309.pdf","76973309")</f>
        <v>76973309</v>
      </c>
      <c r="F1491" s="7" t="s">
        <v>4056</v>
      </c>
      <c r="G1491" s="7" t="s">
        <v>4057</v>
      </c>
      <c r="H1491" s="7" t="s">
        <v>4058</v>
      </c>
      <c r="I1491" s="9">
        <v>45349</v>
      </c>
    </row>
    <row r="1492" spans="1:9" x14ac:dyDescent="0.15">
      <c r="A1492" s="6">
        <v>1491</v>
      </c>
      <c r="B1492" s="7" t="s">
        <v>9</v>
      </c>
      <c r="C1492" s="8">
        <v>1886</v>
      </c>
      <c r="D1492" s="9">
        <v>45418</v>
      </c>
      <c r="E1492" s="13" t="str">
        <f>+HYPERLINK("http://trademark.i-assist.jp/data/china/image_1886th/76973390.pdf","76973390")</f>
        <v>76973390</v>
      </c>
      <c r="F1492" s="7" t="s">
        <v>4059</v>
      </c>
      <c r="G1492" s="7" t="s">
        <v>4060</v>
      </c>
      <c r="H1492" s="7" t="s">
        <v>4061</v>
      </c>
      <c r="I1492" s="9">
        <v>45349</v>
      </c>
    </row>
    <row r="1493" spans="1:9" x14ac:dyDescent="0.15">
      <c r="A1493" s="6">
        <v>1492</v>
      </c>
      <c r="B1493" s="7" t="s">
        <v>9</v>
      </c>
      <c r="C1493" s="8">
        <v>1886</v>
      </c>
      <c r="D1493" s="9">
        <v>45418</v>
      </c>
      <c r="E1493" s="13" t="str">
        <f>+HYPERLINK("http://trademark.i-assist.jp/data/china/image_1886th/76973503.pdf","76973503")</f>
        <v>76973503</v>
      </c>
      <c r="F1493" s="7" t="s">
        <v>4062</v>
      </c>
      <c r="G1493" s="7" t="s">
        <v>4063</v>
      </c>
      <c r="H1493" s="7" t="s">
        <v>4064</v>
      </c>
      <c r="I1493" s="9">
        <v>45349</v>
      </c>
    </row>
    <row r="1494" spans="1:9" x14ac:dyDescent="0.15">
      <c r="A1494" s="6">
        <v>1493</v>
      </c>
      <c r="B1494" s="7" t="s">
        <v>9</v>
      </c>
      <c r="C1494" s="8">
        <v>1886</v>
      </c>
      <c r="D1494" s="9">
        <v>45418</v>
      </c>
      <c r="E1494" s="13" t="str">
        <f>+HYPERLINK("http://trademark.i-assist.jp/data/china/image_1886th/76974875.pdf","76974875")</f>
        <v>76974875</v>
      </c>
      <c r="F1494" s="7" t="s">
        <v>4065</v>
      </c>
      <c r="G1494" s="7" t="s">
        <v>4066</v>
      </c>
      <c r="H1494" s="7" t="s">
        <v>4067</v>
      </c>
      <c r="I1494" s="9">
        <v>45349</v>
      </c>
    </row>
    <row r="1495" spans="1:9" x14ac:dyDescent="0.15">
      <c r="A1495" s="6">
        <v>1494</v>
      </c>
      <c r="B1495" s="7" t="s">
        <v>9</v>
      </c>
      <c r="C1495" s="8">
        <v>1886</v>
      </c>
      <c r="D1495" s="9">
        <v>45418</v>
      </c>
      <c r="E1495" s="13" t="str">
        <f>+HYPERLINK("http://trademark.i-assist.jp/data/china/image_1886th/76974909.pdf","76974909")</f>
        <v>76974909</v>
      </c>
      <c r="F1495" s="7" t="s">
        <v>4068</v>
      </c>
      <c r="G1495" s="7" t="s">
        <v>4069</v>
      </c>
      <c r="H1495" s="7" t="s">
        <v>4070</v>
      </c>
      <c r="I1495" s="9">
        <v>45349</v>
      </c>
    </row>
    <row r="1496" spans="1:9" x14ac:dyDescent="0.15">
      <c r="A1496" s="6">
        <v>1495</v>
      </c>
      <c r="B1496" s="7" t="s">
        <v>9</v>
      </c>
      <c r="C1496" s="8">
        <v>1886</v>
      </c>
      <c r="D1496" s="9">
        <v>45418</v>
      </c>
      <c r="E1496" s="13" t="str">
        <f>+HYPERLINK("http://trademark.i-assist.jp/data/china/image_1886th/76975228.pdf","76975228")</f>
        <v>76975228</v>
      </c>
      <c r="F1496" s="7" t="s">
        <v>4071</v>
      </c>
      <c r="G1496" s="7" t="s">
        <v>4072</v>
      </c>
      <c r="H1496" s="7" t="s">
        <v>4073</v>
      </c>
      <c r="I1496" s="9">
        <v>45349</v>
      </c>
    </row>
    <row r="1497" spans="1:9" x14ac:dyDescent="0.15">
      <c r="A1497" s="6">
        <v>1496</v>
      </c>
      <c r="B1497" s="7" t="s">
        <v>9</v>
      </c>
      <c r="C1497" s="8">
        <v>1886</v>
      </c>
      <c r="D1497" s="9">
        <v>45418</v>
      </c>
      <c r="E1497" s="13" t="str">
        <f>+HYPERLINK("http://trademark.i-assist.jp/data/china/image_1886th/76975253.pdf","76975253")</f>
        <v>76975253</v>
      </c>
      <c r="F1497" s="7" t="s">
        <v>4074</v>
      </c>
      <c r="G1497" s="7" t="s">
        <v>4075</v>
      </c>
      <c r="H1497" s="7" t="s">
        <v>4076</v>
      </c>
      <c r="I1497" s="9">
        <v>45349</v>
      </c>
    </row>
    <row r="1498" spans="1:9" x14ac:dyDescent="0.15">
      <c r="A1498" s="6">
        <v>1497</v>
      </c>
      <c r="B1498" s="7" t="s">
        <v>9</v>
      </c>
      <c r="C1498" s="8">
        <v>1886</v>
      </c>
      <c r="D1498" s="9">
        <v>45418</v>
      </c>
      <c r="E1498" s="13" t="str">
        <f>+HYPERLINK("http://trademark.i-assist.jp/data/china/image_1886th/76975284.pdf","76975284")</f>
        <v>76975284</v>
      </c>
      <c r="F1498" s="7" t="s">
        <v>4077</v>
      </c>
      <c r="G1498" s="7" t="s">
        <v>4078</v>
      </c>
      <c r="H1498" s="7" t="s">
        <v>4079</v>
      </c>
      <c r="I1498" s="9">
        <v>45349</v>
      </c>
    </row>
    <row r="1499" spans="1:9" x14ac:dyDescent="0.15">
      <c r="A1499" s="6">
        <v>1498</v>
      </c>
      <c r="B1499" s="7" t="s">
        <v>9</v>
      </c>
      <c r="C1499" s="8">
        <v>1886</v>
      </c>
      <c r="D1499" s="9">
        <v>45418</v>
      </c>
      <c r="E1499" s="13" t="str">
        <f>+HYPERLINK("http://trademark.i-assist.jp/data/china/image_1886th/76975336.pdf","76975336")</f>
        <v>76975336</v>
      </c>
      <c r="F1499" s="7" t="s">
        <v>4080</v>
      </c>
      <c r="G1499" s="7" t="s">
        <v>774</v>
      </c>
      <c r="H1499" s="7" t="s">
        <v>4081</v>
      </c>
      <c r="I1499" s="9">
        <v>45349</v>
      </c>
    </row>
    <row r="1500" spans="1:9" x14ac:dyDescent="0.15">
      <c r="A1500" s="6">
        <v>1499</v>
      </c>
      <c r="B1500" s="7" t="s">
        <v>9</v>
      </c>
      <c r="C1500" s="8">
        <v>1886</v>
      </c>
      <c r="D1500" s="9">
        <v>45418</v>
      </c>
      <c r="E1500" s="13" t="str">
        <f>+HYPERLINK("http://trademark.i-assist.jp/data/china/image_1886th/76975519.pdf","76975519")</f>
        <v>76975519</v>
      </c>
      <c r="F1500" s="7" t="s">
        <v>4082</v>
      </c>
      <c r="G1500" s="7" t="s">
        <v>4083</v>
      </c>
      <c r="H1500" s="7" t="s">
        <v>4084</v>
      </c>
      <c r="I1500" s="9">
        <v>45349</v>
      </c>
    </row>
    <row r="1501" spans="1:9" x14ac:dyDescent="0.15">
      <c r="A1501" s="6">
        <v>1500</v>
      </c>
      <c r="B1501" s="7" t="s">
        <v>9</v>
      </c>
      <c r="C1501" s="8">
        <v>1886</v>
      </c>
      <c r="D1501" s="9">
        <v>45418</v>
      </c>
      <c r="E1501" s="13" t="str">
        <f>+HYPERLINK("http://trademark.i-assist.jp/data/china/image_1886th/76975658.pdf","76975658")</f>
        <v>76975658</v>
      </c>
      <c r="F1501" s="7" t="s">
        <v>4085</v>
      </c>
      <c r="G1501" s="7" t="s">
        <v>4086</v>
      </c>
      <c r="H1501" s="7" t="s">
        <v>4087</v>
      </c>
      <c r="I1501" s="9">
        <v>45349</v>
      </c>
    </row>
    <row r="1502" spans="1:9" x14ac:dyDescent="0.15">
      <c r="A1502" s="6">
        <v>1501</v>
      </c>
      <c r="B1502" s="7" t="s">
        <v>9</v>
      </c>
      <c r="C1502" s="8">
        <v>1886</v>
      </c>
      <c r="D1502" s="9">
        <v>45418</v>
      </c>
      <c r="E1502" s="13" t="str">
        <f>+HYPERLINK("http://trademark.i-assist.jp/data/china/image_1886th/76976603.pdf","76976603")</f>
        <v>76976603</v>
      </c>
      <c r="F1502" s="7" t="s">
        <v>4088</v>
      </c>
      <c r="G1502" s="7" t="s">
        <v>4089</v>
      </c>
      <c r="H1502" s="7" t="s">
        <v>4090</v>
      </c>
      <c r="I1502" s="9">
        <v>45349</v>
      </c>
    </row>
    <row r="1503" spans="1:9" x14ac:dyDescent="0.15">
      <c r="A1503" s="6">
        <v>1502</v>
      </c>
      <c r="B1503" s="7" t="s">
        <v>9</v>
      </c>
      <c r="C1503" s="8">
        <v>1886</v>
      </c>
      <c r="D1503" s="9">
        <v>45418</v>
      </c>
      <c r="E1503" s="13" t="str">
        <f>+HYPERLINK("http://trademark.i-assist.jp/data/china/image_1886th/76976814.pdf","76976814")</f>
        <v>76976814</v>
      </c>
      <c r="F1503" s="7" t="s">
        <v>4091</v>
      </c>
      <c r="G1503" s="7" t="s">
        <v>4092</v>
      </c>
      <c r="H1503" s="7" t="s">
        <v>4093</v>
      </c>
      <c r="I1503" s="9">
        <v>45349</v>
      </c>
    </row>
    <row r="1504" spans="1:9" x14ac:dyDescent="0.15">
      <c r="A1504" s="6">
        <v>1503</v>
      </c>
      <c r="B1504" s="7" t="s">
        <v>9</v>
      </c>
      <c r="C1504" s="8">
        <v>1886</v>
      </c>
      <c r="D1504" s="9">
        <v>45418</v>
      </c>
      <c r="E1504" s="13" t="str">
        <f>+HYPERLINK("http://trademark.i-assist.jp/data/china/image_1886th/76976921.pdf","76976921")</f>
        <v>76976921</v>
      </c>
      <c r="F1504" s="7" t="s">
        <v>4094</v>
      </c>
      <c r="G1504" s="7" t="s">
        <v>4095</v>
      </c>
      <c r="H1504" s="7" t="s">
        <v>4096</v>
      </c>
      <c r="I1504" s="9">
        <v>45349</v>
      </c>
    </row>
    <row r="1505" spans="1:9" x14ac:dyDescent="0.15">
      <c r="A1505" s="6">
        <v>1504</v>
      </c>
      <c r="B1505" s="7" t="s">
        <v>9</v>
      </c>
      <c r="C1505" s="8">
        <v>1886</v>
      </c>
      <c r="D1505" s="9">
        <v>45418</v>
      </c>
      <c r="E1505" s="13" t="str">
        <f>+HYPERLINK("http://trademark.i-assist.jp/data/china/image_1886th/76977018.pdf","76977018")</f>
        <v>76977018</v>
      </c>
      <c r="F1505" s="7" t="s">
        <v>4097</v>
      </c>
      <c r="G1505" s="7" t="s">
        <v>4098</v>
      </c>
      <c r="H1505" s="7" t="s">
        <v>4099</v>
      </c>
      <c r="I1505" s="9">
        <v>45349</v>
      </c>
    </row>
    <row r="1506" spans="1:9" x14ac:dyDescent="0.15">
      <c r="A1506" s="6">
        <v>1505</v>
      </c>
      <c r="B1506" s="7" t="s">
        <v>9</v>
      </c>
      <c r="C1506" s="8">
        <v>1886</v>
      </c>
      <c r="D1506" s="9">
        <v>45418</v>
      </c>
      <c r="E1506" s="13" t="str">
        <f>+HYPERLINK("http://trademark.i-assist.jp/data/china/image_1886th/76977079.pdf","76977079")</f>
        <v>76977079</v>
      </c>
      <c r="F1506" s="7" t="s">
        <v>4100</v>
      </c>
      <c r="G1506" s="7" t="s">
        <v>4101</v>
      </c>
      <c r="H1506" s="7" t="s">
        <v>4102</v>
      </c>
      <c r="I1506" s="9">
        <v>45349</v>
      </c>
    </row>
    <row r="1507" spans="1:9" x14ac:dyDescent="0.15">
      <c r="A1507" s="6">
        <v>1506</v>
      </c>
      <c r="B1507" s="7" t="s">
        <v>9</v>
      </c>
      <c r="C1507" s="8">
        <v>1886</v>
      </c>
      <c r="D1507" s="9">
        <v>45418</v>
      </c>
      <c r="E1507" s="13" t="str">
        <f>+HYPERLINK("http://trademark.i-assist.jp/data/china/image_1886th/76977164.pdf","76977164")</f>
        <v>76977164</v>
      </c>
      <c r="F1507" s="7" t="s">
        <v>4103</v>
      </c>
      <c r="G1507" s="7" t="s">
        <v>4104</v>
      </c>
      <c r="H1507" s="7" t="s">
        <v>4105</v>
      </c>
      <c r="I1507" s="9">
        <v>45349</v>
      </c>
    </row>
    <row r="1508" spans="1:9" x14ac:dyDescent="0.15">
      <c r="A1508" s="6">
        <v>1507</v>
      </c>
      <c r="B1508" s="7" t="s">
        <v>9</v>
      </c>
      <c r="C1508" s="8">
        <v>1886</v>
      </c>
      <c r="D1508" s="9">
        <v>45418</v>
      </c>
      <c r="E1508" s="13" t="str">
        <f>+HYPERLINK("http://trademark.i-assist.jp/data/china/image_1886th/76977176.pdf","76977176")</f>
        <v>76977176</v>
      </c>
      <c r="F1508" s="7" t="s">
        <v>4106</v>
      </c>
      <c r="G1508" s="7" t="s">
        <v>4107</v>
      </c>
      <c r="H1508" s="7" t="s">
        <v>4108</v>
      </c>
      <c r="I1508" s="9">
        <v>45349</v>
      </c>
    </row>
    <row r="1509" spans="1:9" x14ac:dyDescent="0.15">
      <c r="A1509" s="6">
        <v>1508</v>
      </c>
      <c r="B1509" s="7" t="s">
        <v>9</v>
      </c>
      <c r="C1509" s="8">
        <v>1886</v>
      </c>
      <c r="D1509" s="9">
        <v>45418</v>
      </c>
      <c r="E1509" s="13" t="str">
        <f>+HYPERLINK("http://trademark.i-assist.jp/data/china/image_1886th/76977782.pdf","76977782")</f>
        <v>76977782</v>
      </c>
      <c r="F1509" s="7" t="s">
        <v>4109</v>
      </c>
      <c r="G1509" s="7" t="s">
        <v>4110</v>
      </c>
      <c r="H1509" s="7" t="s">
        <v>4111</v>
      </c>
      <c r="I1509" s="9">
        <v>45349</v>
      </c>
    </row>
    <row r="1510" spans="1:9" x14ac:dyDescent="0.15">
      <c r="A1510" s="6">
        <v>1509</v>
      </c>
      <c r="B1510" s="7" t="s">
        <v>9</v>
      </c>
      <c r="C1510" s="8">
        <v>1886</v>
      </c>
      <c r="D1510" s="9">
        <v>45418</v>
      </c>
      <c r="E1510" s="13" t="str">
        <f>+HYPERLINK("http://trademark.i-assist.jp/data/china/image_1886th/76977932.pdf","76977932")</f>
        <v>76977932</v>
      </c>
      <c r="F1510" s="7" t="s">
        <v>4112</v>
      </c>
      <c r="G1510" s="7" t="s">
        <v>4113</v>
      </c>
      <c r="H1510" s="7" t="s">
        <v>4114</v>
      </c>
      <c r="I1510" s="9">
        <v>45349</v>
      </c>
    </row>
    <row r="1511" spans="1:9" ht="40.5" x14ac:dyDescent="0.15">
      <c r="A1511" s="6">
        <v>1510</v>
      </c>
      <c r="B1511" s="7" t="s">
        <v>9</v>
      </c>
      <c r="C1511" s="8">
        <v>1886</v>
      </c>
      <c r="D1511" s="9">
        <v>45418</v>
      </c>
      <c r="E1511" s="13" t="str">
        <f>+HYPERLINK("http://trademark.i-assist.jp/data/china/image_1886th/76977983.pdf","76977983")</f>
        <v>76977983</v>
      </c>
      <c r="F1511" s="7" t="s">
        <v>4115</v>
      </c>
      <c r="G1511" s="7" t="s">
        <v>4116</v>
      </c>
      <c r="H1511" s="7" t="s">
        <v>4117</v>
      </c>
      <c r="I1511" s="9">
        <v>45349</v>
      </c>
    </row>
    <row r="1512" spans="1:9" ht="27" x14ac:dyDescent="0.15">
      <c r="A1512" s="6">
        <v>1511</v>
      </c>
      <c r="B1512" s="7" t="s">
        <v>9</v>
      </c>
      <c r="C1512" s="8">
        <v>1886</v>
      </c>
      <c r="D1512" s="9">
        <v>45418</v>
      </c>
      <c r="E1512" s="13" t="str">
        <f>+HYPERLINK("http://trademark.i-assist.jp/data/china/image_1886th/76978118.pdf","76978118")</f>
        <v>76978118</v>
      </c>
      <c r="F1512" s="7" t="s">
        <v>4118</v>
      </c>
      <c r="G1512" s="7" t="s">
        <v>4119</v>
      </c>
      <c r="H1512" s="7" t="s">
        <v>4120</v>
      </c>
      <c r="I1512" s="9">
        <v>45349</v>
      </c>
    </row>
    <row r="1513" spans="1:9" x14ac:dyDescent="0.15">
      <c r="A1513" s="6">
        <v>1512</v>
      </c>
      <c r="B1513" s="7" t="s">
        <v>9</v>
      </c>
      <c r="C1513" s="8">
        <v>1886</v>
      </c>
      <c r="D1513" s="9">
        <v>45418</v>
      </c>
      <c r="E1513" s="13" t="str">
        <f>+HYPERLINK("http://trademark.i-assist.jp/data/china/image_1886th/76978201.pdf","76978201")</f>
        <v>76978201</v>
      </c>
      <c r="F1513" s="7" t="s">
        <v>4121</v>
      </c>
      <c r="G1513" s="7" t="s">
        <v>4122</v>
      </c>
      <c r="H1513" s="7" t="s">
        <v>4123</v>
      </c>
      <c r="I1513" s="9">
        <v>45349</v>
      </c>
    </row>
    <row r="1514" spans="1:9" x14ac:dyDescent="0.15">
      <c r="A1514" s="6">
        <v>1513</v>
      </c>
      <c r="B1514" s="7" t="s">
        <v>9</v>
      </c>
      <c r="C1514" s="8">
        <v>1886</v>
      </c>
      <c r="D1514" s="9">
        <v>45418</v>
      </c>
      <c r="E1514" s="13" t="str">
        <f>+HYPERLINK("http://trademark.i-assist.jp/data/china/image_1886th/76978296.pdf","76978296")</f>
        <v>76978296</v>
      </c>
      <c r="F1514" s="7" t="s">
        <v>33</v>
      </c>
      <c r="G1514" s="7" t="s">
        <v>4124</v>
      </c>
      <c r="H1514" s="7" t="s">
        <v>4125</v>
      </c>
      <c r="I1514" s="9">
        <v>45349</v>
      </c>
    </row>
    <row r="1515" spans="1:9" x14ac:dyDescent="0.15">
      <c r="A1515" s="6">
        <v>1514</v>
      </c>
      <c r="B1515" s="7" t="s">
        <v>9</v>
      </c>
      <c r="C1515" s="8">
        <v>1886</v>
      </c>
      <c r="D1515" s="9">
        <v>45418</v>
      </c>
      <c r="E1515" s="13" t="str">
        <f>+HYPERLINK("http://trademark.i-assist.jp/data/china/image_1886th/76978796.pdf","76978796")</f>
        <v>76978796</v>
      </c>
      <c r="F1515" s="7" t="s">
        <v>4126</v>
      </c>
      <c r="G1515" s="7" t="s">
        <v>2412</v>
      </c>
      <c r="H1515" s="7" t="s">
        <v>4127</v>
      </c>
      <c r="I1515" s="9">
        <v>45349</v>
      </c>
    </row>
    <row r="1516" spans="1:9" x14ac:dyDescent="0.15">
      <c r="A1516" s="6">
        <v>1515</v>
      </c>
      <c r="B1516" s="7" t="s">
        <v>9</v>
      </c>
      <c r="C1516" s="8">
        <v>1886</v>
      </c>
      <c r="D1516" s="9">
        <v>45418</v>
      </c>
      <c r="E1516" s="13" t="str">
        <f>+HYPERLINK("http://trademark.i-assist.jp/data/china/image_1886th/76979392.pdf","76979392")</f>
        <v>76979392</v>
      </c>
      <c r="F1516" s="7" t="s">
        <v>4128</v>
      </c>
      <c r="G1516" s="7" t="s">
        <v>4129</v>
      </c>
      <c r="H1516" s="7" t="s">
        <v>4130</v>
      </c>
      <c r="I1516" s="9">
        <v>45349</v>
      </c>
    </row>
    <row r="1517" spans="1:9" x14ac:dyDescent="0.15">
      <c r="A1517" s="6">
        <v>1516</v>
      </c>
      <c r="B1517" s="7" t="s">
        <v>9</v>
      </c>
      <c r="C1517" s="8">
        <v>1886</v>
      </c>
      <c r="D1517" s="9">
        <v>45418</v>
      </c>
      <c r="E1517" s="13" t="str">
        <f>+HYPERLINK("http://trademark.i-assist.jp/data/china/image_1886th/76979668.pdf","76979668")</f>
        <v>76979668</v>
      </c>
      <c r="F1517" s="7" t="s">
        <v>4131</v>
      </c>
      <c r="G1517" s="7" t="s">
        <v>4078</v>
      </c>
      <c r="H1517" s="7" t="s">
        <v>4132</v>
      </c>
      <c r="I1517" s="9">
        <v>45349</v>
      </c>
    </row>
    <row r="1518" spans="1:9" ht="27" x14ac:dyDescent="0.15">
      <c r="A1518" s="6">
        <v>1517</v>
      </c>
      <c r="B1518" s="7" t="s">
        <v>9</v>
      </c>
      <c r="C1518" s="8">
        <v>1886</v>
      </c>
      <c r="D1518" s="9">
        <v>45418</v>
      </c>
      <c r="E1518" s="13" t="str">
        <f>+HYPERLINK("http://trademark.i-assist.jp/data/china/image_1886th/76979727.pdf","76979727")</f>
        <v>76979727</v>
      </c>
      <c r="F1518" s="7" t="s">
        <v>4133</v>
      </c>
      <c r="G1518" s="7" t="s">
        <v>4134</v>
      </c>
      <c r="H1518" s="7" t="s">
        <v>4135</v>
      </c>
      <c r="I1518" s="9">
        <v>45349</v>
      </c>
    </row>
    <row r="1519" spans="1:9" x14ac:dyDescent="0.15">
      <c r="A1519" s="6">
        <v>1518</v>
      </c>
      <c r="B1519" s="7" t="s">
        <v>9</v>
      </c>
      <c r="C1519" s="8">
        <v>1886</v>
      </c>
      <c r="D1519" s="9">
        <v>45418</v>
      </c>
      <c r="E1519" s="13" t="str">
        <f>+HYPERLINK("http://trademark.i-assist.jp/data/china/image_1886th/76980112.pdf","76980112")</f>
        <v>76980112</v>
      </c>
      <c r="F1519" s="7" t="s">
        <v>4136</v>
      </c>
      <c r="G1519" s="7" t="s">
        <v>4137</v>
      </c>
      <c r="H1519" s="7" t="s">
        <v>4138</v>
      </c>
      <c r="I1519" s="9">
        <v>45349</v>
      </c>
    </row>
    <row r="1520" spans="1:9" x14ac:dyDescent="0.15">
      <c r="A1520" s="6">
        <v>1519</v>
      </c>
      <c r="B1520" s="7" t="s">
        <v>9</v>
      </c>
      <c r="C1520" s="8">
        <v>1886</v>
      </c>
      <c r="D1520" s="9">
        <v>45418</v>
      </c>
      <c r="E1520" s="13" t="str">
        <f>+HYPERLINK("http://trademark.i-assist.jp/data/china/image_1886th/76980320.pdf","76980320")</f>
        <v>76980320</v>
      </c>
      <c r="F1520" s="7" t="s">
        <v>4139</v>
      </c>
      <c r="G1520" s="7" t="s">
        <v>4140</v>
      </c>
      <c r="H1520" s="7" t="s">
        <v>4141</v>
      </c>
      <c r="I1520" s="9">
        <v>45349</v>
      </c>
    </row>
    <row r="1521" spans="1:9" x14ac:dyDescent="0.15">
      <c r="A1521" s="6">
        <v>1520</v>
      </c>
      <c r="B1521" s="7" t="s">
        <v>9</v>
      </c>
      <c r="C1521" s="8">
        <v>1886</v>
      </c>
      <c r="D1521" s="9">
        <v>45418</v>
      </c>
      <c r="E1521" s="13" t="str">
        <f>+HYPERLINK("http://trademark.i-assist.jp/data/china/image_1886th/76980825.pdf","76980825")</f>
        <v>76980825</v>
      </c>
      <c r="F1521" s="7" t="s">
        <v>4142</v>
      </c>
      <c r="G1521" s="7" t="s">
        <v>4143</v>
      </c>
      <c r="H1521" s="7" t="s">
        <v>4144</v>
      </c>
      <c r="I1521" s="9">
        <v>45349</v>
      </c>
    </row>
    <row r="1522" spans="1:9" x14ac:dyDescent="0.15">
      <c r="A1522" s="6">
        <v>1521</v>
      </c>
      <c r="B1522" s="7" t="s">
        <v>9</v>
      </c>
      <c r="C1522" s="8">
        <v>1886</v>
      </c>
      <c r="D1522" s="9">
        <v>45418</v>
      </c>
      <c r="E1522" s="13" t="str">
        <f>+HYPERLINK("http://trademark.i-assist.jp/data/china/image_1886th/76980935.pdf","76980935")</f>
        <v>76980935</v>
      </c>
      <c r="F1522" s="7" t="s">
        <v>4145</v>
      </c>
      <c r="G1522" s="7" t="s">
        <v>4146</v>
      </c>
      <c r="H1522" s="7" t="s">
        <v>4147</v>
      </c>
      <c r="I1522" s="9">
        <v>45349</v>
      </c>
    </row>
    <row r="1523" spans="1:9" x14ac:dyDescent="0.15">
      <c r="A1523" s="6">
        <v>1522</v>
      </c>
      <c r="B1523" s="7" t="s">
        <v>9</v>
      </c>
      <c r="C1523" s="8">
        <v>1886</v>
      </c>
      <c r="D1523" s="9">
        <v>45418</v>
      </c>
      <c r="E1523" s="13" t="str">
        <f>+HYPERLINK("http://trademark.i-assist.jp/data/china/image_1886th/76982136.pdf","76982136")</f>
        <v>76982136</v>
      </c>
      <c r="F1523" s="7" t="s">
        <v>33</v>
      </c>
      <c r="G1523" s="7" t="s">
        <v>4148</v>
      </c>
      <c r="H1523" s="7" t="s">
        <v>4149</v>
      </c>
      <c r="I1523" s="9">
        <v>45349</v>
      </c>
    </row>
    <row r="1524" spans="1:9" x14ac:dyDescent="0.15">
      <c r="A1524" s="6">
        <v>1523</v>
      </c>
      <c r="B1524" s="7" t="s">
        <v>9</v>
      </c>
      <c r="C1524" s="8">
        <v>1886</v>
      </c>
      <c r="D1524" s="9">
        <v>45418</v>
      </c>
      <c r="E1524" s="13" t="str">
        <f>+HYPERLINK("http://trademark.i-assist.jp/data/china/image_1886th/76982151.pdf","76982151")</f>
        <v>76982151</v>
      </c>
      <c r="F1524" s="7" t="s">
        <v>4150</v>
      </c>
      <c r="G1524" s="7" t="s">
        <v>4113</v>
      </c>
      <c r="H1524" s="7" t="s">
        <v>4151</v>
      </c>
      <c r="I1524" s="9">
        <v>45349</v>
      </c>
    </row>
    <row r="1525" spans="1:9" ht="40.5" x14ac:dyDescent="0.15">
      <c r="A1525" s="6">
        <v>1524</v>
      </c>
      <c r="B1525" s="7" t="s">
        <v>9</v>
      </c>
      <c r="C1525" s="8">
        <v>1886</v>
      </c>
      <c r="D1525" s="9">
        <v>45418</v>
      </c>
      <c r="E1525" s="13" t="str">
        <f>+HYPERLINK("http://trademark.i-assist.jp/data/china/image_1886th/76982899.pdf","76982899")</f>
        <v>76982899</v>
      </c>
      <c r="F1525" s="7" t="s">
        <v>4152</v>
      </c>
      <c r="G1525" s="7" t="s">
        <v>4116</v>
      </c>
      <c r="H1525" s="7" t="s">
        <v>4153</v>
      </c>
      <c r="I1525" s="9">
        <v>45349</v>
      </c>
    </row>
    <row r="1526" spans="1:9" x14ac:dyDescent="0.15">
      <c r="A1526" s="6">
        <v>1525</v>
      </c>
      <c r="B1526" s="7" t="s">
        <v>9</v>
      </c>
      <c r="C1526" s="8">
        <v>1886</v>
      </c>
      <c r="D1526" s="9">
        <v>45418</v>
      </c>
      <c r="E1526" s="13" t="str">
        <f>+HYPERLINK("http://trademark.i-assist.jp/data/china/image_1886th/76983846.pdf","76983846")</f>
        <v>76983846</v>
      </c>
      <c r="F1526" s="7" t="s">
        <v>4154</v>
      </c>
      <c r="G1526" s="7" t="s">
        <v>4155</v>
      </c>
      <c r="H1526" s="7" t="s">
        <v>4156</v>
      </c>
      <c r="I1526" s="9">
        <v>45349</v>
      </c>
    </row>
    <row r="1527" spans="1:9" x14ac:dyDescent="0.15">
      <c r="A1527" s="6">
        <v>1526</v>
      </c>
      <c r="B1527" s="7" t="s">
        <v>9</v>
      </c>
      <c r="C1527" s="8">
        <v>1886</v>
      </c>
      <c r="D1527" s="9">
        <v>45418</v>
      </c>
      <c r="E1527" s="13" t="str">
        <f>+HYPERLINK("http://trademark.i-assist.jp/data/china/image_1886th/76984159.pdf","76984159")</f>
        <v>76984159</v>
      </c>
      <c r="F1527" s="7" t="s">
        <v>4157</v>
      </c>
      <c r="G1527" s="7" t="s">
        <v>4095</v>
      </c>
      <c r="H1527" s="7" t="s">
        <v>4158</v>
      </c>
      <c r="I1527" s="9">
        <v>45349</v>
      </c>
    </row>
    <row r="1528" spans="1:9" x14ac:dyDescent="0.15">
      <c r="A1528" s="6">
        <v>1527</v>
      </c>
      <c r="B1528" s="7" t="s">
        <v>9</v>
      </c>
      <c r="C1528" s="8">
        <v>1886</v>
      </c>
      <c r="D1528" s="9">
        <v>45418</v>
      </c>
      <c r="E1528" s="13" t="str">
        <f>+HYPERLINK("http://trademark.i-assist.jp/data/china/image_1886th/76984172.pdf","76984172")</f>
        <v>76984172</v>
      </c>
      <c r="F1528" s="7" t="s">
        <v>4159</v>
      </c>
      <c r="G1528" s="7" t="s">
        <v>1845</v>
      </c>
      <c r="H1528" s="7" t="s">
        <v>4160</v>
      </c>
      <c r="I1528" s="9">
        <v>45349</v>
      </c>
    </row>
    <row r="1529" spans="1:9" x14ac:dyDescent="0.15">
      <c r="A1529" s="6">
        <v>1528</v>
      </c>
      <c r="B1529" s="7" t="s">
        <v>9</v>
      </c>
      <c r="C1529" s="8">
        <v>1886</v>
      </c>
      <c r="D1529" s="9">
        <v>45418</v>
      </c>
      <c r="E1529" s="13" t="str">
        <f>+HYPERLINK("http://trademark.i-assist.jp/data/china/image_1886th/76984690.pdf","76984690")</f>
        <v>76984690</v>
      </c>
      <c r="F1529" s="7" t="s">
        <v>33</v>
      </c>
      <c r="G1529" s="7" t="s">
        <v>4161</v>
      </c>
      <c r="H1529" s="7" t="s">
        <v>4162</v>
      </c>
      <c r="I1529" s="9">
        <v>45349</v>
      </c>
    </row>
    <row r="1530" spans="1:9" x14ac:dyDescent="0.15">
      <c r="A1530" s="6">
        <v>1529</v>
      </c>
      <c r="B1530" s="7" t="s">
        <v>9</v>
      </c>
      <c r="C1530" s="8">
        <v>1886</v>
      </c>
      <c r="D1530" s="9">
        <v>45418</v>
      </c>
      <c r="E1530" s="13" t="str">
        <f>+HYPERLINK("http://trademark.i-assist.jp/data/china/image_1886th/76985021.pdf","76985021")</f>
        <v>76985021</v>
      </c>
      <c r="F1530" s="7" t="s">
        <v>4163</v>
      </c>
      <c r="G1530" s="7" t="s">
        <v>4164</v>
      </c>
      <c r="H1530" s="7" t="s">
        <v>4165</v>
      </c>
      <c r="I1530" s="9">
        <v>45349</v>
      </c>
    </row>
    <row r="1531" spans="1:9" x14ac:dyDescent="0.15">
      <c r="A1531" s="6">
        <v>1530</v>
      </c>
      <c r="B1531" s="7" t="s">
        <v>9</v>
      </c>
      <c r="C1531" s="8">
        <v>1886</v>
      </c>
      <c r="D1531" s="9">
        <v>45418</v>
      </c>
      <c r="E1531" s="13" t="str">
        <f>+HYPERLINK("http://trademark.i-assist.jp/data/china/image_1886th/76985076.pdf","76985076")</f>
        <v>76985076</v>
      </c>
      <c r="F1531" s="7" t="s">
        <v>4166</v>
      </c>
      <c r="G1531" s="7" t="s">
        <v>4167</v>
      </c>
      <c r="H1531" s="7" t="s">
        <v>4168</v>
      </c>
      <c r="I1531" s="9">
        <v>45349</v>
      </c>
    </row>
    <row r="1532" spans="1:9" x14ac:dyDescent="0.15">
      <c r="A1532" s="6">
        <v>1531</v>
      </c>
      <c r="B1532" s="7" t="s">
        <v>9</v>
      </c>
      <c r="C1532" s="8">
        <v>1886</v>
      </c>
      <c r="D1532" s="9">
        <v>45418</v>
      </c>
      <c r="E1532" s="13" t="str">
        <f>+HYPERLINK("http://trademark.i-assist.jp/data/china/image_1886th/76985084.pdf","76985084")</f>
        <v>76985084</v>
      </c>
      <c r="F1532" s="7" t="s">
        <v>4169</v>
      </c>
      <c r="G1532" s="7" t="s">
        <v>4167</v>
      </c>
      <c r="H1532" s="7" t="s">
        <v>4170</v>
      </c>
      <c r="I1532" s="9">
        <v>45349</v>
      </c>
    </row>
    <row r="1533" spans="1:9" ht="27" x14ac:dyDescent="0.15">
      <c r="A1533" s="6">
        <v>1532</v>
      </c>
      <c r="B1533" s="7" t="s">
        <v>9</v>
      </c>
      <c r="C1533" s="8">
        <v>1886</v>
      </c>
      <c r="D1533" s="9">
        <v>45418</v>
      </c>
      <c r="E1533" s="13" t="str">
        <f>+HYPERLINK("http://trademark.i-assist.jp/data/china/image_1886th/76985104.pdf","76985104")</f>
        <v>76985104</v>
      </c>
      <c r="F1533" s="7" t="s">
        <v>4171</v>
      </c>
      <c r="G1533" s="7" t="s">
        <v>4172</v>
      </c>
      <c r="H1533" s="7" t="s">
        <v>4173</v>
      </c>
      <c r="I1533" s="9">
        <v>45349</v>
      </c>
    </row>
    <row r="1534" spans="1:9" x14ac:dyDescent="0.15">
      <c r="A1534" s="6">
        <v>1533</v>
      </c>
      <c r="B1534" s="7" t="s">
        <v>9</v>
      </c>
      <c r="C1534" s="8">
        <v>1886</v>
      </c>
      <c r="D1534" s="9">
        <v>45418</v>
      </c>
      <c r="E1534" s="13" t="str">
        <f>+HYPERLINK("http://trademark.i-assist.jp/data/china/image_1886th/76985245.pdf","76985245")</f>
        <v>76985245</v>
      </c>
      <c r="F1534" s="7" t="s">
        <v>4174</v>
      </c>
      <c r="G1534" s="7" t="s">
        <v>4175</v>
      </c>
      <c r="H1534" s="7" t="s">
        <v>4176</v>
      </c>
      <c r="I1534" s="9">
        <v>45349</v>
      </c>
    </row>
    <row r="1535" spans="1:9" x14ac:dyDescent="0.15">
      <c r="A1535" s="6">
        <v>1534</v>
      </c>
      <c r="B1535" s="7" t="s">
        <v>9</v>
      </c>
      <c r="C1535" s="8">
        <v>1886</v>
      </c>
      <c r="D1535" s="9">
        <v>45418</v>
      </c>
      <c r="E1535" s="13" t="str">
        <f>+HYPERLINK("http://trademark.i-assist.jp/data/china/image_1886th/76985681.pdf","76985681")</f>
        <v>76985681</v>
      </c>
      <c r="F1535" s="7" t="s">
        <v>4177</v>
      </c>
      <c r="G1535" s="7" t="s">
        <v>4178</v>
      </c>
      <c r="H1535" s="7" t="s">
        <v>4179</v>
      </c>
      <c r="I1535" s="9">
        <v>45349</v>
      </c>
    </row>
    <row r="1536" spans="1:9" ht="27" x14ac:dyDescent="0.15">
      <c r="A1536" s="6">
        <v>1535</v>
      </c>
      <c r="B1536" s="7" t="s">
        <v>9</v>
      </c>
      <c r="C1536" s="8">
        <v>1886</v>
      </c>
      <c r="D1536" s="9">
        <v>45418</v>
      </c>
      <c r="E1536" s="13" t="str">
        <f>+HYPERLINK("http://trademark.i-assist.jp/data/china/image_1886th/76985682.pdf","76985682")</f>
        <v>76985682</v>
      </c>
      <c r="F1536" s="7" t="s">
        <v>4180</v>
      </c>
      <c r="G1536" s="7" t="s">
        <v>4181</v>
      </c>
      <c r="H1536" s="7" t="s">
        <v>4182</v>
      </c>
      <c r="I1536" s="9">
        <v>45349</v>
      </c>
    </row>
    <row r="1537" spans="1:9" x14ac:dyDescent="0.15">
      <c r="A1537" s="6">
        <v>1536</v>
      </c>
      <c r="B1537" s="7" t="s">
        <v>9</v>
      </c>
      <c r="C1537" s="8">
        <v>1886</v>
      </c>
      <c r="D1537" s="9">
        <v>45418</v>
      </c>
      <c r="E1537" s="13" t="str">
        <f>+HYPERLINK("http://trademark.i-assist.jp/data/china/image_1886th/76986490.pdf","76986490")</f>
        <v>76986490</v>
      </c>
      <c r="F1537" s="7" t="s">
        <v>4183</v>
      </c>
      <c r="G1537" s="7" t="s">
        <v>4113</v>
      </c>
      <c r="H1537" s="7" t="s">
        <v>4184</v>
      </c>
      <c r="I1537" s="9">
        <v>45349</v>
      </c>
    </row>
    <row r="1538" spans="1:9" ht="27" x14ac:dyDescent="0.15">
      <c r="A1538" s="6">
        <v>1537</v>
      </c>
      <c r="B1538" s="7" t="s">
        <v>9</v>
      </c>
      <c r="C1538" s="8">
        <v>1886</v>
      </c>
      <c r="D1538" s="9">
        <v>45418</v>
      </c>
      <c r="E1538" s="13" t="str">
        <f>+HYPERLINK("http://trademark.i-assist.jp/data/china/image_1886th/76986608.pdf","76986608")</f>
        <v>76986608</v>
      </c>
      <c r="F1538" s="7" t="s">
        <v>4185</v>
      </c>
      <c r="G1538" s="7" t="s">
        <v>4186</v>
      </c>
      <c r="H1538" s="7" t="s">
        <v>4187</v>
      </c>
      <c r="I1538" s="9">
        <v>45349</v>
      </c>
    </row>
    <row r="1539" spans="1:9" x14ac:dyDescent="0.15">
      <c r="A1539" s="6">
        <v>1538</v>
      </c>
      <c r="B1539" s="7" t="s">
        <v>9</v>
      </c>
      <c r="C1539" s="8">
        <v>1886</v>
      </c>
      <c r="D1539" s="9">
        <v>45418</v>
      </c>
      <c r="E1539" s="13" t="str">
        <f>+HYPERLINK("http://trademark.i-assist.jp/data/china/image_1886th/76986698.pdf","76986698")</f>
        <v>76986698</v>
      </c>
      <c r="F1539" s="7" t="s">
        <v>4188</v>
      </c>
      <c r="G1539" s="7" t="s">
        <v>4189</v>
      </c>
      <c r="H1539" s="7" t="s">
        <v>4190</v>
      </c>
      <c r="I1539" s="9">
        <v>45349</v>
      </c>
    </row>
    <row r="1540" spans="1:9" x14ac:dyDescent="0.15">
      <c r="A1540" s="6">
        <v>1539</v>
      </c>
      <c r="B1540" s="7" t="s">
        <v>9</v>
      </c>
      <c r="C1540" s="8">
        <v>1886</v>
      </c>
      <c r="D1540" s="9">
        <v>45418</v>
      </c>
      <c r="E1540" s="13" t="str">
        <f>+HYPERLINK("http://trademark.i-assist.jp/data/china/image_1886th/76986961.pdf","76986961")</f>
        <v>76986961</v>
      </c>
      <c r="F1540" s="7" t="s">
        <v>4191</v>
      </c>
      <c r="G1540" s="7" t="s">
        <v>4140</v>
      </c>
      <c r="H1540" s="7" t="s">
        <v>4192</v>
      </c>
      <c r="I1540" s="9">
        <v>45349</v>
      </c>
    </row>
    <row r="1541" spans="1:9" x14ac:dyDescent="0.15">
      <c r="A1541" s="6">
        <v>1540</v>
      </c>
      <c r="B1541" s="7" t="s">
        <v>9</v>
      </c>
      <c r="C1541" s="8">
        <v>1886</v>
      </c>
      <c r="D1541" s="9">
        <v>45418</v>
      </c>
      <c r="E1541" s="13" t="str">
        <f>+HYPERLINK("http://trademark.i-assist.jp/data/china/image_1886th/76986971.pdf","76986971")</f>
        <v>76986971</v>
      </c>
      <c r="F1541" s="7" t="s">
        <v>4193</v>
      </c>
      <c r="G1541" s="7" t="s">
        <v>4140</v>
      </c>
      <c r="H1541" s="7" t="s">
        <v>4194</v>
      </c>
      <c r="I1541" s="9">
        <v>45349</v>
      </c>
    </row>
    <row r="1542" spans="1:9" x14ac:dyDescent="0.15">
      <c r="A1542" s="6">
        <v>1541</v>
      </c>
      <c r="B1542" s="7" t="s">
        <v>9</v>
      </c>
      <c r="C1542" s="8">
        <v>1886</v>
      </c>
      <c r="D1542" s="9">
        <v>45418</v>
      </c>
      <c r="E1542" s="13" t="str">
        <f>+HYPERLINK("http://trademark.i-assist.jp/data/china/image_1886th/76986994.pdf","76986994")</f>
        <v>76986994</v>
      </c>
      <c r="F1542" s="7" t="s">
        <v>4195</v>
      </c>
      <c r="G1542" s="7" t="s">
        <v>4196</v>
      </c>
      <c r="H1542" s="7" t="s">
        <v>4197</v>
      </c>
      <c r="I1542" s="9">
        <v>45349</v>
      </c>
    </row>
    <row r="1543" spans="1:9" x14ac:dyDescent="0.15">
      <c r="A1543" s="6">
        <v>1542</v>
      </c>
      <c r="B1543" s="7" t="s">
        <v>9</v>
      </c>
      <c r="C1543" s="8">
        <v>1886</v>
      </c>
      <c r="D1543" s="9">
        <v>45418</v>
      </c>
      <c r="E1543" s="13" t="str">
        <f>+HYPERLINK("http://trademark.i-assist.jp/data/china/image_1886th/76987642.pdf","76987642")</f>
        <v>76987642</v>
      </c>
      <c r="F1543" s="7" t="s">
        <v>4198</v>
      </c>
      <c r="G1543" s="7" t="s">
        <v>4199</v>
      </c>
      <c r="H1543" s="7" t="s">
        <v>4200</v>
      </c>
      <c r="I1543" s="9">
        <v>45349</v>
      </c>
    </row>
    <row r="1544" spans="1:9" x14ac:dyDescent="0.15">
      <c r="A1544" s="6">
        <v>1543</v>
      </c>
      <c r="B1544" s="7" t="s">
        <v>9</v>
      </c>
      <c r="C1544" s="8">
        <v>1886</v>
      </c>
      <c r="D1544" s="9">
        <v>45418</v>
      </c>
      <c r="E1544" s="13" t="str">
        <f>+HYPERLINK("http://trademark.i-assist.jp/data/china/image_1886th/76987975.pdf","76987975")</f>
        <v>76987975</v>
      </c>
      <c r="F1544" s="7" t="s">
        <v>4201</v>
      </c>
      <c r="G1544" s="7" t="s">
        <v>4078</v>
      </c>
      <c r="H1544" s="7" t="s">
        <v>4202</v>
      </c>
      <c r="I1544" s="9">
        <v>45349</v>
      </c>
    </row>
    <row r="1545" spans="1:9" x14ac:dyDescent="0.15">
      <c r="A1545" s="6">
        <v>1544</v>
      </c>
      <c r="B1545" s="7" t="s">
        <v>9</v>
      </c>
      <c r="C1545" s="8">
        <v>1886</v>
      </c>
      <c r="D1545" s="9">
        <v>45418</v>
      </c>
      <c r="E1545" s="13" t="str">
        <f>+HYPERLINK("http://trademark.i-assist.jp/data/china/image_1886th/76988139.pdf","76988139")</f>
        <v>76988139</v>
      </c>
      <c r="F1545" s="7" t="s">
        <v>4203</v>
      </c>
      <c r="G1545" s="7" t="s">
        <v>4204</v>
      </c>
      <c r="H1545" s="7" t="s">
        <v>4205</v>
      </c>
      <c r="I1545" s="9">
        <v>45349</v>
      </c>
    </row>
    <row r="1546" spans="1:9" x14ac:dyDescent="0.15">
      <c r="A1546" s="6">
        <v>1545</v>
      </c>
      <c r="B1546" s="7" t="s">
        <v>9</v>
      </c>
      <c r="C1546" s="8">
        <v>1886</v>
      </c>
      <c r="D1546" s="9">
        <v>45418</v>
      </c>
      <c r="E1546" s="13" t="str">
        <f>+HYPERLINK("http://trademark.i-assist.jp/data/china/image_1886th/76988923.pdf","76988923")</f>
        <v>76988923</v>
      </c>
      <c r="F1546" s="7" t="s">
        <v>4206</v>
      </c>
      <c r="G1546" s="7" t="s">
        <v>4207</v>
      </c>
      <c r="H1546" s="7" t="s">
        <v>4208</v>
      </c>
      <c r="I1546" s="9">
        <v>45349</v>
      </c>
    </row>
    <row r="1547" spans="1:9" x14ac:dyDescent="0.15">
      <c r="A1547" s="6">
        <v>1546</v>
      </c>
      <c r="B1547" s="7" t="s">
        <v>9</v>
      </c>
      <c r="C1547" s="8">
        <v>1886</v>
      </c>
      <c r="D1547" s="9">
        <v>45418</v>
      </c>
      <c r="E1547" s="13" t="str">
        <f>+HYPERLINK("http://trademark.i-assist.jp/data/china/image_1886th/76989089.pdf","76989089")</f>
        <v>76989089</v>
      </c>
      <c r="F1547" s="7" t="s">
        <v>4209</v>
      </c>
      <c r="G1547" s="7" t="s">
        <v>4210</v>
      </c>
      <c r="H1547" s="7" t="s">
        <v>4211</v>
      </c>
      <c r="I1547" s="9">
        <v>45349</v>
      </c>
    </row>
    <row r="1548" spans="1:9" ht="27" x14ac:dyDescent="0.15">
      <c r="A1548" s="6">
        <v>1547</v>
      </c>
      <c r="B1548" s="7" t="s">
        <v>9</v>
      </c>
      <c r="C1548" s="8">
        <v>1886</v>
      </c>
      <c r="D1548" s="9">
        <v>45418</v>
      </c>
      <c r="E1548" s="13" t="str">
        <f>+HYPERLINK("http://trademark.i-assist.jp/data/china/image_1886th/76989409.pdf","76989409")</f>
        <v>76989409</v>
      </c>
      <c r="F1548" s="7" t="s">
        <v>4212</v>
      </c>
      <c r="G1548" s="7" t="s">
        <v>4213</v>
      </c>
      <c r="H1548" s="7" t="s">
        <v>4214</v>
      </c>
      <c r="I1548" s="9">
        <v>45349</v>
      </c>
    </row>
    <row r="1549" spans="1:9" x14ac:dyDescent="0.15">
      <c r="A1549" s="6">
        <v>1548</v>
      </c>
      <c r="B1549" s="7" t="s">
        <v>9</v>
      </c>
      <c r="C1549" s="8">
        <v>1886</v>
      </c>
      <c r="D1549" s="9">
        <v>45418</v>
      </c>
      <c r="E1549" s="13" t="str">
        <f>+HYPERLINK("http://trademark.i-assist.jp/data/china/image_1886th/76989515.pdf","76989515")</f>
        <v>76989515</v>
      </c>
      <c r="F1549" s="7" t="s">
        <v>4215</v>
      </c>
      <c r="G1549" s="7" t="s">
        <v>4060</v>
      </c>
      <c r="H1549" s="7" t="s">
        <v>4216</v>
      </c>
      <c r="I1549" s="9">
        <v>45349</v>
      </c>
    </row>
    <row r="1550" spans="1:9" ht="27" x14ac:dyDescent="0.15">
      <c r="A1550" s="6">
        <v>1549</v>
      </c>
      <c r="B1550" s="7" t="s">
        <v>9</v>
      </c>
      <c r="C1550" s="8">
        <v>1886</v>
      </c>
      <c r="D1550" s="9">
        <v>45418</v>
      </c>
      <c r="E1550" s="13" t="str">
        <f>+HYPERLINK("http://trademark.i-assist.jp/data/china/image_1886th/76989618.pdf","76989618")</f>
        <v>76989618</v>
      </c>
      <c r="F1550" s="7" t="s">
        <v>4217</v>
      </c>
      <c r="G1550" s="7" t="s">
        <v>4218</v>
      </c>
      <c r="H1550" s="7" t="s">
        <v>4219</v>
      </c>
      <c r="I1550" s="9">
        <v>45349</v>
      </c>
    </row>
    <row r="1551" spans="1:9" x14ac:dyDescent="0.15">
      <c r="A1551" s="6">
        <v>1550</v>
      </c>
      <c r="B1551" s="7" t="s">
        <v>9</v>
      </c>
      <c r="C1551" s="8">
        <v>1886</v>
      </c>
      <c r="D1551" s="9">
        <v>45418</v>
      </c>
      <c r="E1551" s="13" t="str">
        <f>+HYPERLINK("http://trademark.i-assist.jp/data/china/image_1886th/76989938.pdf","76989938")</f>
        <v>76989938</v>
      </c>
      <c r="F1551" s="7" t="s">
        <v>4220</v>
      </c>
      <c r="G1551" s="7" t="s">
        <v>4221</v>
      </c>
      <c r="H1551" s="7" t="s">
        <v>4222</v>
      </c>
      <c r="I1551" s="9">
        <v>45349</v>
      </c>
    </row>
    <row r="1552" spans="1:9" x14ac:dyDescent="0.15">
      <c r="A1552" s="6">
        <v>1551</v>
      </c>
      <c r="B1552" s="7" t="s">
        <v>9</v>
      </c>
      <c r="C1552" s="8">
        <v>1886</v>
      </c>
      <c r="D1552" s="9">
        <v>45418</v>
      </c>
      <c r="E1552" s="13" t="str">
        <f>+HYPERLINK("http://trademark.i-assist.jp/data/china/image_1886th/76990162.pdf","76990162")</f>
        <v>76990162</v>
      </c>
      <c r="F1552" s="7" t="s">
        <v>4223</v>
      </c>
      <c r="G1552" s="7" t="s">
        <v>4224</v>
      </c>
      <c r="H1552" s="7" t="s">
        <v>4225</v>
      </c>
      <c r="I1552" s="9">
        <v>45349</v>
      </c>
    </row>
    <row r="1553" spans="1:9" x14ac:dyDescent="0.15">
      <c r="A1553" s="6">
        <v>1552</v>
      </c>
      <c r="B1553" s="7" t="s">
        <v>9</v>
      </c>
      <c r="C1553" s="8">
        <v>1886</v>
      </c>
      <c r="D1553" s="9">
        <v>45418</v>
      </c>
      <c r="E1553" s="13" t="str">
        <f>+HYPERLINK("http://trademark.i-assist.jp/data/china/image_1886th/76990459.pdf","76990459")</f>
        <v>76990459</v>
      </c>
      <c r="F1553" s="7" t="s">
        <v>4226</v>
      </c>
      <c r="G1553" s="7" t="s">
        <v>4227</v>
      </c>
      <c r="H1553" s="7" t="s">
        <v>4228</v>
      </c>
      <c r="I1553" s="9">
        <v>45349</v>
      </c>
    </row>
    <row r="1554" spans="1:9" ht="27" x14ac:dyDescent="0.15">
      <c r="A1554" s="6">
        <v>1553</v>
      </c>
      <c r="B1554" s="7" t="s">
        <v>9</v>
      </c>
      <c r="C1554" s="8">
        <v>1886</v>
      </c>
      <c r="D1554" s="9">
        <v>45418</v>
      </c>
      <c r="E1554" s="13" t="str">
        <f>+HYPERLINK("http://trademark.i-assist.jp/data/china/image_1886th/76990593.pdf","76990593")</f>
        <v>76990593</v>
      </c>
      <c r="F1554" s="7" t="s">
        <v>4229</v>
      </c>
      <c r="G1554" s="7" t="s">
        <v>4230</v>
      </c>
      <c r="H1554" s="7" t="s">
        <v>4231</v>
      </c>
      <c r="I1554" s="9">
        <v>45349</v>
      </c>
    </row>
    <row r="1555" spans="1:9" x14ac:dyDescent="0.15">
      <c r="A1555" s="6">
        <v>1554</v>
      </c>
      <c r="B1555" s="7" t="s">
        <v>9</v>
      </c>
      <c r="C1555" s="8">
        <v>1886</v>
      </c>
      <c r="D1555" s="9">
        <v>45418</v>
      </c>
      <c r="E1555" s="13" t="str">
        <f>+HYPERLINK("http://trademark.i-assist.jp/data/china/image_1886th/76990654.pdf","76990654")</f>
        <v>76990654</v>
      </c>
      <c r="F1555" s="7" t="s">
        <v>4232</v>
      </c>
      <c r="G1555" s="7" t="s">
        <v>4233</v>
      </c>
      <c r="H1555" s="7" t="s">
        <v>4234</v>
      </c>
      <c r="I1555" s="9">
        <v>45349</v>
      </c>
    </row>
    <row r="1556" spans="1:9" x14ac:dyDescent="0.15">
      <c r="A1556" s="6">
        <v>1555</v>
      </c>
      <c r="B1556" s="7" t="s">
        <v>9</v>
      </c>
      <c r="C1556" s="8">
        <v>1886</v>
      </c>
      <c r="D1556" s="9">
        <v>45418</v>
      </c>
      <c r="E1556" s="13" t="str">
        <f>+HYPERLINK("http://trademark.i-assist.jp/data/china/image_1886th/76991695.pdf","76991695")</f>
        <v>76991695</v>
      </c>
      <c r="F1556" s="7" t="s">
        <v>4235</v>
      </c>
      <c r="G1556" s="7" t="s">
        <v>4207</v>
      </c>
      <c r="H1556" s="7" t="s">
        <v>4236</v>
      </c>
      <c r="I1556" s="9">
        <v>45349</v>
      </c>
    </row>
    <row r="1557" spans="1:9" x14ac:dyDescent="0.15">
      <c r="A1557" s="6">
        <v>1556</v>
      </c>
      <c r="B1557" s="7" t="s">
        <v>9</v>
      </c>
      <c r="C1557" s="8">
        <v>1886</v>
      </c>
      <c r="D1557" s="9">
        <v>45418</v>
      </c>
      <c r="E1557" s="13" t="str">
        <f>+HYPERLINK("http://trademark.i-assist.jp/data/china/image_1886th/76991837.pdf","76991837")</f>
        <v>76991837</v>
      </c>
      <c r="F1557" s="7" t="s">
        <v>33</v>
      </c>
      <c r="G1557" s="7" t="s">
        <v>4221</v>
      </c>
      <c r="H1557" s="7" t="s">
        <v>4237</v>
      </c>
      <c r="I1557" s="9">
        <v>45349</v>
      </c>
    </row>
    <row r="1558" spans="1:9" x14ac:dyDescent="0.15">
      <c r="A1558" s="6">
        <v>1557</v>
      </c>
      <c r="B1558" s="7" t="s">
        <v>9</v>
      </c>
      <c r="C1558" s="8">
        <v>1886</v>
      </c>
      <c r="D1558" s="9">
        <v>45418</v>
      </c>
      <c r="E1558" s="13" t="str">
        <f>+HYPERLINK("http://trademark.i-assist.jp/data/china/image_1886th/76991888.pdf","76991888")</f>
        <v>76991888</v>
      </c>
      <c r="F1558" s="7" t="s">
        <v>4238</v>
      </c>
      <c r="G1558" s="7" t="s">
        <v>4239</v>
      </c>
      <c r="H1558" s="7" t="s">
        <v>4240</v>
      </c>
      <c r="I1558" s="9">
        <v>45349</v>
      </c>
    </row>
    <row r="1559" spans="1:9" x14ac:dyDescent="0.15">
      <c r="A1559" s="6">
        <v>1558</v>
      </c>
      <c r="B1559" s="7" t="s">
        <v>9</v>
      </c>
      <c r="C1559" s="8">
        <v>1886</v>
      </c>
      <c r="D1559" s="9">
        <v>45418</v>
      </c>
      <c r="E1559" s="13" t="str">
        <f>+HYPERLINK("http://trademark.i-assist.jp/data/china/image_1886th/76992152.pdf","76992152")</f>
        <v>76992152</v>
      </c>
      <c r="F1559" s="7" t="s">
        <v>4241</v>
      </c>
      <c r="G1559" s="7" t="s">
        <v>4242</v>
      </c>
      <c r="H1559" s="7" t="s">
        <v>4243</v>
      </c>
      <c r="I1559" s="9">
        <v>45349</v>
      </c>
    </row>
    <row r="1560" spans="1:9" x14ac:dyDescent="0.15">
      <c r="A1560" s="6">
        <v>1559</v>
      </c>
      <c r="B1560" s="7" t="s">
        <v>9</v>
      </c>
      <c r="C1560" s="8">
        <v>1886</v>
      </c>
      <c r="D1560" s="9">
        <v>45418</v>
      </c>
      <c r="E1560" s="13" t="str">
        <f>+HYPERLINK("http://trademark.i-assist.jp/data/china/image_1886th/76992371.pdf","76992371")</f>
        <v>76992371</v>
      </c>
      <c r="F1560" s="7" t="s">
        <v>4244</v>
      </c>
      <c r="G1560" s="7" t="s">
        <v>4245</v>
      </c>
      <c r="H1560" s="7" t="s">
        <v>4246</v>
      </c>
      <c r="I1560" s="9">
        <v>45349</v>
      </c>
    </row>
    <row r="1561" spans="1:9" x14ac:dyDescent="0.15">
      <c r="A1561" s="6">
        <v>1560</v>
      </c>
      <c r="B1561" s="7" t="s">
        <v>9</v>
      </c>
      <c r="C1561" s="8">
        <v>1886</v>
      </c>
      <c r="D1561" s="9">
        <v>45418</v>
      </c>
      <c r="E1561" s="13" t="str">
        <f>+HYPERLINK("http://trademark.i-assist.jp/data/china/image_1886th/76992707.pdf","76992707")</f>
        <v>76992707</v>
      </c>
      <c r="F1561" s="7" t="s">
        <v>4247</v>
      </c>
      <c r="G1561" s="7" t="s">
        <v>4248</v>
      </c>
      <c r="H1561" s="7" t="s">
        <v>4249</v>
      </c>
      <c r="I1561" s="9">
        <v>45350</v>
      </c>
    </row>
    <row r="1562" spans="1:9" x14ac:dyDescent="0.15">
      <c r="A1562" s="6">
        <v>1561</v>
      </c>
      <c r="B1562" s="7" t="s">
        <v>9</v>
      </c>
      <c r="C1562" s="8">
        <v>1886</v>
      </c>
      <c r="D1562" s="9">
        <v>45418</v>
      </c>
      <c r="E1562" s="13" t="str">
        <f>+HYPERLINK("http://trademark.i-assist.jp/data/china/image_1886th/76992759.pdf","76992759")</f>
        <v>76992759</v>
      </c>
      <c r="F1562" s="7" t="s">
        <v>4250</v>
      </c>
      <c r="G1562" s="7" t="s">
        <v>4251</v>
      </c>
      <c r="H1562" s="7" t="s">
        <v>4252</v>
      </c>
      <c r="I1562" s="9">
        <v>45350</v>
      </c>
    </row>
    <row r="1563" spans="1:9" x14ac:dyDescent="0.15">
      <c r="A1563" s="6">
        <v>1562</v>
      </c>
      <c r="B1563" s="7" t="s">
        <v>9</v>
      </c>
      <c r="C1563" s="8">
        <v>1886</v>
      </c>
      <c r="D1563" s="9">
        <v>45418</v>
      </c>
      <c r="E1563" s="13" t="str">
        <f>+HYPERLINK("http://trademark.i-assist.jp/data/china/image_1886th/76993039.pdf","76993039")</f>
        <v>76993039</v>
      </c>
      <c r="F1563" s="7" t="s">
        <v>4253</v>
      </c>
      <c r="G1563" s="7" t="s">
        <v>4254</v>
      </c>
      <c r="H1563" s="7" t="s">
        <v>4255</v>
      </c>
      <c r="I1563" s="9">
        <v>45350</v>
      </c>
    </row>
    <row r="1564" spans="1:9" x14ac:dyDescent="0.15">
      <c r="A1564" s="6">
        <v>1563</v>
      </c>
      <c r="B1564" s="7" t="s">
        <v>9</v>
      </c>
      <c r="C1564" s="8">
        <v>1886</v>
      </c>
      <c r="D1564" s="9">
        <v>45418</v>
      </c>
      <c r="E1564" s="13" t="str">
        <f>+HYPERLINK("http://trademark.i-assist.jp/data/china/image_1886th/76993223.pdf","76993223")</f>
        <v>76993223</v>
      </c>
      <c r="F1564" s="7" t="s">
        <v>4256</v>
      </c>
      <c r="G1564" s="7" t="s">
        <v>4257</v>
      </c>
      <c r="H1564" s="7" t="s">
        <v>4258</v>
      </c>
      <c r="I1564" s="9">
        <v>45350</v>
      </c>
    </row>
    <row r="1565" spans="1:9" x14ac:dyDescent="0.15">
      <c r="A1565" s="6">
        <v>1564</v>
      </c>
      <c r="B1565" s="7" t="s">
        <v>9</v>
      </c>
      <c r="C1565" s="8">
        <v>1886</v>
      </c>
      <c r="D1565" s="9">
        <v>45418</v>
      </c>
      <c r="E1565" s="13" t="str">
        <f>+HYPERLINK("http://trademark.i-assist.jp/data/china/image_1886th/76993876.pdf","76993876")</f>
        <v>76993876</v>
      </c>
      <c r="F1565" s="7" t="s">
        <v>4259</v>
      </c>
      <c r="G1565" s="7" t="s">
        <v>4260</v>
      </c>
      <c r="H1565" s="7" t="s">
        <v>4261</v>
      </c>
      <c r="I1565" s="9">
        <v>45350</v>
      </c>
    </row>
    <row r="1566" spans="1:9" x14ac:dyDescent="0.15">
      <c r="A1566" s="6">
        <v>1565</v>
      </c>
      <c r="B1566" s="7" t="s">
        <v>9</v>
      </c>
      <c r="C1566" s="8">
        <v>1886</v>
      </c>
      <c r="D1566" s="9">
        <v>45418</v>
      </c>
      <c r="E1566" s="13" t="str">
        <f>+HYPERLINK("http://trademark.i-assist.jp/data/china/image_1886th/76994211.pdf","76994211")</f>
        <v>76994211</v>
      </c>
      <c r="F1566" s="7" t="s">
        <v>4262</v>
      </c>
      <c r="G1566" s="7" t="s">
        <v>4263</v>
      </c>
      <c r="H1566" s="7" t="s">
        <v>4264</v>
      </c>
      <c r="I1566" s="9">
        <v>45350</v>
      </c>
    </row>
    <row r="1567" spans="1:9" x14ac:dyDescent="0.15">
      <c r="A1567" s="6">
        <v>1566</v>
      </c>
      <c r="B1567" s="7" t="s">
        <v>9</v>
      </c>
      <c r="C1567" s="8">
        <v>1886</v>
      </c>
      <c r="D1567" s="9">
        <v>45418</v>
      </c>
      <c r="E1567" s="13" t="str">
        <f>+HYPERLINK("http://trademark.i-assist.jp/data/china/image_1886th/76994704.pdf","76994704")</f>
        <v>76994704</v>
      </c>
      <c r="F1567" s="7" t="s">
        <v>4265</v>
      </c>
      <c r="G1567" s="7" t="s">
        <v>4266</v>
      </c>
      <c r="H1567" s="7" t="s">
        <v>4267</v>
      </c>
      <c r="I1567" s="9">
        <v>45350</v>
      </c>
    </row>
    <row r="1568" spans="1:9" x14ac:dyDescent="0.15">
      <c r="A1568" s="6">
        <v>1567</v>
      </c>
      <c r="B1568" s="7" t="s">
        <v>9</v>
      </c>
      <c r="C1568" s="8">
        <v>1886</v>
      </c>
      <c r="D1568" s="9">
        <v>45418</v>
      </c>
      <c r="E1568" s="13" t="str">
        <f>+HYPERLINK("http://trademark.i-assist.jp/data/china/image_1886th/76995467.pdf","76995467")</f>
        <v>76995467</v>
      </c>
      <c r="F1568" s="7" t="s">
        <v>4268</v>
      </c>
      <c r="G1568" s="7" t="s">
        <v>4269</v>
      </c>
      <c r="H1568" s="7" t="s">
        <v>4270</v>
      </c>
      <c r="I1568" s="9">
        <v>45350</v>
      </c>
    </row>
    <row r="1569" spans="1:9" x14ac:dyDescent="0.15">
      <c r="A1569" s="6">
        <v>1568</v>
      </c>
      <c r="B1569" s="7" t="s">
        <v>9</v>
      </c>
      <c r="C1569" s="8">
        <v>1886</v>
      </c>
      <c r="D1569" s="9">
        <v>45418</v>
      </c>
      <c r="E1569" s="13" t="str">
        <f>+HYPERLINK("http://trademark.i-assist.jp/data/china/image_1886th/76995555.pdf","76995555")</f>
        <v>76995555</v>
      </c>
      <c r="F1569" s="7" t="s">
        <v>4271</v>
      </c>
      <c r="G1569" s="7" t="s">
        <v>4272</v>
      </c>
      <c r="H1569" s="7" t="s">
        <v>4273</v>
      </c>
      <c r="I1569" s="9">
        <v>45350</v>
      </c>
    </row>
    <row r="1570" spans="1:9" ht="27" x14ac:dyDescent="0.15">
      <c r="A1570" s="6">
        <v>1569</v>
      </c>
      <c r="B1570" s="7" t="s">
        <v>9</v>
      </c>
      <c r="C1570" s="8">
        <v>1886</v>
      </c>
      <c r="D1570" s="9">
        <v>45418</v>
      </c>
      <c r="E1570" s="13" t="str">
        <f>+HYPERLINK("http://trademark.i-assist.jp/data/china/image_1886th/76995613.pdf","76995613")</f>
        <v>76995613</v>
      </c>
      <c r="F1570" s="7" t="s">
        <v>4274</v>
      </c>
      <c r="G1570" s="7" t="s">
        <v>4275</v>
      </c>
      <c r="H1570" s="7" t="s">
        <v>4276</v>
      </c>
      <c r="I1570" s="9">
        <v>45350</v>
      </c>
    </row>
    <row r="1571" spans="1:9" x14ac:dyDescent="0.15">
      <c r="A1571" s="6">
        <v>1570</v>
      </c>
      <c r="B1571" s="7" t="s">
        <v>9</v>
      </c>
      <c r="C1571" s="8">
        <v>1886</v>
      </c>
      <c r="D1571" s="9">
        <v>45418</v>
      </c>
      <c r="E1571" s="13" t="str">
        <f>+HYPERLINK("http://trademark.i-assist.jp/data/china/image_1886th/76995869.pdf","76995869")</f>
        <v>76995869</v>
      </c>
      <c r="F1571" s="7" t="s">
        <v>4277</v>
      </c>
      <c r="G1571" s="7" t="s">
        <v>4248</v>
      </c>
      <c r="H1571" s="7" t="s">
        <v>4278</v>
      </c>
      <c r="I1571" s="9">
        <v>45350</v>
      </c>
    </row>
    <row r="1572" spans="1:9" x14ac:dyDescent="0.15">
      <c r="A1572" s="6">
        <v>1571</v>
      </c>
      <c r="B1572" s="7" t="s">
        <v>9</v>
      </c>
      <c r="C1572" s="8">
        <v>1886</v>
      </c>
      <c r="D1572" s="9">
        <v>45418</v>
      </c>
      <c r="E1572" s="13" t="str">
        <f>+HYPERLINK("http://trademark.i-assist.jp/data/china/image_1886th/76995948.pdf","76995948")</f>
        <v>76995948</v>
      </c>
      <c r="F1572" s="7" t="s">
        <v>33</v>
      </c>
      <c r="G1572" s="7" t="s">
        <v>4279</v>
      </c>
      <c r="H1572" s="7" t="s">
        <v>4280</v>
      </c>
      <c r="I1572" s="9">
        <v>45350</v>
      </c>
    </row>
    <row r="1573" spans="1:9" x14ac:dyDescent="0.15">
      <c r="A1573" s="6">
        <v>1572</v>
      </c>
      <c r="B1573" s="7" t="s">
        <v>9</v>
      </c>
      <c r="C1573" s="8">
        <v>1886</v>
      </c>
      <c r="D1573" s="9">
        <v>45418</v>
      </c>
      <c r="E1573" s="13" t="str">
        <f>+HYPERLINK("http://trademark.i-assist.jp/data/china/image_1886th/76996092.pdf","76996092")</f>
        <v>76996092</v>
      </c>
      <c r="F1573" s="7" t="s">
        <v>4281</v>
      </c>
      <c r="G1573" s="7" t="s">
        <v>4282</v>
      </c>
      <c r="H1573" s="7" t="s">
        <v>4283</v>
      </c>
      <c r="I1573" s="9">
        <v>45350</v>
      </c>
    </row>
    <row r="1574" spans="1:9" x14ac:dyDescent="0.15">
      <c r="A1574" s="6">
        <v>1573</v>
      </c>
      <c r="B1574" s="7" t="s">
        <v>9</v>
      </c>
      <c r="C1574" s="8">
        <v>1886</v>
      </c>
      <c r="D1574" s="9">
        <v>45418</v>
      </c>
      <c r="E1574" s="13" t="str">
        <f>+HYPERLINK("http://trademark.i-assist.jp/data/china/image_1886th/76996176.pdf","76996176")</f>
        <v>76996176</v>
      </c>
      <c r="F1574" s="7" t="s">
        <v>4284</v>
      </c>
      <c r="G1574" s="7" t="s">
        <v>4285</v>
      </c>
      <c r="H1574" s="7" t="s">
        <v>4286</v>
      </c>
      <c r="I1574" s="9">
        <v>45350</v>
      </c>
    </row>
    <row r="1575" spans="1:9" x14ac:dyDescent="0.15">
      <c r="A1575" s="6">
        <v>1574</v>
      </c>
      <c r="B1575" s="7" t="s">
        <v>9</v>
      </c>
      <c r="C1575" s="8">
        <v>1886</v>
      </c>
      <c r="D1575" s="9">
        <v>45418</v>
      </c>
      <c r="E1575" s="13" t="str">
        <f>+HYPERLINK("http://trademark.i-assist.jp/data/china/image_1886th/76996186.pdf","76996186")</f>
        <v>76996186</v>
      </c>
      <c r="F1575" s="7" t="s">
        <v>4287</v>
      </c>
      <c r="G1575" s="7" t="s">
        <v>4288</v>
      </c>
      <c r="H1575" s="7" t="s">
        <v>4289</v>
      </c>
      <c r="I1575" s="9">
        <v>45350</v>
      </c>
    </row>
    <row r="1576" spans="1:9" x14ac:dyDescent="0.15">
      <c r="A1576" s="6">
        <v>1575</v>
      </c>
      <c r="B1576" s="7" t="s">
        <v>9</v>
      </c>
      <c r="C1576" s="8">
        <v>1886</v>
      </c>
      <c r="D1576" s="9">
        <v>45418</v>
      </c>
      <c r="E1576" s="13" t="str">
        <f>+HYPERLINK("http://trademark.i-assist.jp/data/china/image_1886th/76996464.pdf","76996464")</f>
        <v>76996464</v>
      </c>
      <c r="F1576" s="7" t="s">
        <v>4290</v>
      </c>
      <c r="G1576" s="7" t="s">
        <v>4291</v>
      </c>
      <c r="H1576" s="7" t="s">
        <v>4292</v>
      </c>
      <c r="I1576" s="9">
        <v>45350</v>
      </c>
    </row>
    <row r="1577" spans="1:9" x14ac:dyDescent="0.15">
      <c r="A1577" s="6">
        <v>1576</v>
      </c>
      <c r="B1577" s="7" t="s">
        <v>9</v>
      </c>
      <c r="C1577" s="8">
        <v>1886</v>
      </c>
      <c r="D1577" s="9">
        <v>45418</v>
      </c>
      <c r="E1577" s="13" t="str">
        <f>+HYPERLINK("http://trademark.i-assist.jp/data/china/image_1886th/76996554.pdf","76996554")</f>
        <v>76996554</v>
      </c>
      <c r="F1577" s="7" t="s">
        <v>4293</v>
      </c>
      <c r="G1577" s="7" t="s">
        <v>4294</v>
      </c>
      <c r="H1577" s="7" t="s">
        <v>4295</v>
      </c>
      <c r="I1577" s="9">
        <v>45350</v>
      </c>
    </row>
    <row r="1578" spans="1:9" ht="27" x14ac:dyDescent="0.15">
      <c r="A1578" s="6">
        <v>1577</v>
      </c>
      <c r="B1578" s="7" t="s">
        <v>9</v>
      </c>
      <c r="C1578" s="8">
        <v>1886</v>
      </c>
      <c r="D1578" s="9">
        <v>45418</v>
      </c>
      <c r="E1578" s="13" t="str">
        <f>+HYPERLINK("http://trademark.i-assist.jp/data/china/image_1886th/76997362.pdf","76997362")</f>
        <v>76997362</v>
      </c>
      <c r="F1578" s="7" t="s">
        <v>4296</v>
      </c>
      <c r="G1578" s="7" t="s">
        <v>4297</v>
      </c>
      <c r="H1578" s="7" t="s">
        <v>4298</v>
      </c>
      <c r="I1578" s="9">
        <v>45350</v>
      </c>
    </row>
    <row r="1579" spans="1:9" x14ac:dyDescent="0.15">
      <c r="A1579" s="6">
        <v>1578</v>
      </c>
      <c r="B1579" s="7" t="s">
        <v>9</v>
      </c>
      <c r="C1579" s="8">
        <v>1886</v>
      </c>
      <c r="D1579" s="9">
        <v>45418</v>
      </c>
      <c r="E1579" s="13" t="str">
        <f>+HYPERLINK("http://trademark.i-assist.jp/data/china/image_1886th/76997733.pdf","76997733")</f>
        <v>76997733</v>
      </c>
      <c r="F1579" s="7" t="s">
        <v>4299</v>
      </c>
      <c r="G1579" s="7" t="s">
        <v>4260</v>
      </c>
      <c r="H1579" s="7" t="s">
        <v>4300</v>
      </c>
      <c r="I1579" s="9">
        <v>45350</v>
      </c>
    </row>
    <row r="1580" spans="1:9" x14ac:dyDescent="0.15">
      <c r="A1580" s="6">
        <v>1579</v>
      </c>
      <c r="B1580" s="7" t="s">
        <v>9</v>
      </c>
      <c r="C1580" s="8">
        <v>1886</v>
      </c>
      <c r="D1580" s="9">
        <v>45418</v>
      </c>
      <c r="E1580" s="13" t="str">
        <f>+HYPERLINK("http://trademark.i-assist.jp/data/china/image_1886th/76998146.pdf","76998146")</f>
        <v>76998146</v>
      </c>
      <c r="F1580" s="7" t="s">
        <v>4301</v>
      </c>
      <c r="G1580" s="7" t="s">
        <v>4302</v>
      </c>
      <c r="H1580" s="7" t="s">
        <v>4303</v>
      </c>
      <c r="I1580" s="9">
        <v>45350</v>
      </c>
    </row>
    <row r="1581" spans="1:9" x14ac:dyDescent="0.15">
      <c r="A1581" s="6">
        <v>1580</v>
      </c>
      <c r="B1581" s="7" t="s">
        <v>9</v>
      </c>
      <c r="C1581" s="8">
        <v>1886</v>
      </c>
      <c r="D1581" s="9">
        <v>45418</v>
      </c>
      <c r="E1581" s="13" t="str">
        <f>+HYPERLINK("http://trademark.i-assist.jp/data/china/image_1886th/76998543.pdf","76998543")</f>
        <v>76998543</v>
      </c>
      <c r="F1581" s="7" t="s">
        <v>4304</v>
      </c>
      <c r="G1581" s="7" t="s">
        <v>4305</v>
      </c>
      <c r="H1581" s="7" t="s">
        <v>4306</v>
      </c>
      <c r="I1581" s="9">
        <v>45350</v>
      </c>
    </row>
    <row r="1582" spans="1:9" x14ac:dyDescent="0.15">
      <c r="A1582" s="6">
        <v>1581</v>
      </c>
      <c r="B1582" s="7" t="s">
        <v>9</v>
      </c>
      <c r="C1582" s="8">
        <v>1886</v>
      </c>
      <c r="D1582" s="9">
        <v>45418</v>
      </c>
      <c r="E1582" s="13" t="str">
        <f>+HYPERLINK("http://trademark.i-assist.jp/data/china/image_1886th/76998557.pdf","76998557")</f>
        <v>76998557</v>
      </c>
      <c r="F1582" s="7" t="s">
        <v>4307</v>
      </c>
      <c r="G1582" s="7" t="s">
        <v>4308</v>
      </c>
      <c r="H1582" s="7" t="s">
        <v>4309</v>
      </c>
      <c r="I1582" s="9">
        <v>45350</v>
      </c>
    </row>
    <row r="1583" spans="1:9" x14ac:dyDescent="0.15">
      <c r="A1583" s="6">
        <v>1582</v>
      </c>
      <c r="B1583" s="7" t="s">
        <v>9</v>
      </c>
      <c r="C1583" s="8">
        <v>1886</v>
      </c>
      <c r="D1583" s="9">
        <v>45418</v>
      </c>
      <c r="E1583" s="13" t="str">
        <f>+HYPERLINK("http://trademark.i-assist.jp/data/china/image_1886th/76999310.pdf","76999310")</f>
        <v>76999310</v>
      </c>
      <c r="F1583" s="7" t="s">
        <v>4310</v>
      </c>
      <c r="G1583" s="7" t="s">
        <v>4311</v>
      </c>
      <c r="H1583" s="7" t="s">
        <v>4312</v>
      </c>
      <c r="I1583" s="9">
        <v>45350</v>
      </c>
    </row>
    <row r="1584" spans="1:9" x14ac:dyDescent="0.15">
      <c r="A1584" s="6">
        <v>1583</v>
      </c>
      <c r="B1584" s="7" t="s">
        <v>9</v>
      </c>
      <c r="C1584" s="8">
        <v>1886</v>
      </c>
      <c r="D1584" s="9">
        <v>45418</v>
      </c>
      <c r="E1584" s="13" t="str">
        <f>+HYPERLINK("http://trademark.i-assist.jp/data/china/image_1886th/76999794.pdf","76999794")</f>
        <v>76999794</v>
      </c>
      <c r="F1584" s="7" t="s">
        <v>4313</v>
      </c>
      <c r="G1584" s="7" t="s">
        <v>4314</v>
      </c>
      <c r="H1584" s="7" t="s">
        <v>4315</v>
      </c>
      <c r="I1584" s="9">
        <v>45350</v>
      </c>
    </row>
    <row r="1585" spans="1:9" x14ac:dyDescent="0.15">
      <c r="A1585" s="6">
        <v>1584</v>
      </c>
      <c r="B1585" s="7" t="s">
        <v>9</v>
      </c>
      <c r="C1585" s="8">
        <v>1886</v>
      </c>
      <c r="D1585" s="9">
        <v>45418</v>
      </c>
      <c r="E1585" s="13" t="str">
        <f>+HYPERLINK("http://trademark.i-assist.jp/data/china/image_1886th/77000046.pdf","77000046")</f>
        <v>77000046</v>
      </c>
      <c r="F1585" s="7" t="s">
        <v>4316</v>
      </c>
      <c r="G1585" s="7" t="s">
        <v>4317</v>
      </c>
      <c r="H1585" s="7" t="s">
        <v>4318</v>
      </c>
      <c r="I1585" s="9">
        <v>45350</v>
      </c>
    </row>
    <row r="1586" spans="1:9" x14ac:dyDescent="0.15">
      <c r="A1586" s="6">
        <v>1585</v>
      </c>
      <c r="B1586" s="7" t="s">
        <v>9</v>
      </c>
      <c r="C1586" s="8">
        <v>1886</v>
      </c>
      <c r="D1586" s="9">
        <v>45418</v>
      </c>
      <c r="E1586" s="13" t="str">
        <f>+HYPERLINK("http://trademark.i-assist.jp/data/china/image_1886th/77000328.pdf","77000328")</f>
        <v>77000328</v>
      </c>
      <c r="F1586" s="7" t="s">
        <v>4319</v>
      </c>
      <c r="G1586" s="7" t="s">
        <v>4320</v>
      </c>
      <c r="H1586" s="7" t="s">
        <v>4321</v>
      </c>
      <c r="I1586" s="9">
        <v>45350</v>
      </c>
    </row>
    <row r="1587" spans="1:9" x14ac:dyDescent="0.15">
      <c r="A1587" s="6">
        <v>1586</v>
      </c>
      <c r="B1587" s="7" t="s">
        <v>9</v>
      </c>
      <c r="C1587" s="8">
        <v>1886</v>
      </c>
      <c r="D1587" s="9">
        <v>45418</v>
      </c>
      <c r="E1587" s="13" t="str">
        <f>+HYPERLINK("http://trademark.i-assist.jp/data/china/image_1886th/77000944.pdf","77000944")</f>
        <v>77000944</v>
      </c>
      <c r="F1587" s="7" t="s">
        <v>4322</v>
      </c>
      <c r="G1587" s="7" t="s">
        <v>4323</v>
      </c>
      <c r="H1587" s="7" t="s">
        <v>4324</v>
      </c>
      <c r="I1587" s="9">
        <v>45350</v>
      </c>
    </row>
    <row r="1588" spans="1:9" x14ac:dyDescent="0.15">
      <c r="A1588" s="6">
        <v>1587</v>
      </c>
      <c r="B1588" s="7" t="s">
        <v>9</v>
      </c>
      <c r="C1588" s="8">
        <v>1886</v>
      </c>
      <c r="D1588" s="9">
        <v>45418</v>
      </c>
      <c r="E1588" s="13" t="str">
        <f>+HYPERLINK("http://trademark.i-assist.jp/data/china/image_1886th/77000946.pdf","77000946")</f>
        <v>77000946</v>
      </c>
      <c r="F1588" s="7" t="s">
        <v>33</v>
      </c>
      <c r="G1588" s="7" t="s">
        <v>4325</v>
      </c>
      <c r="H1588" s="7" t="s">
        <v>4326</v>
      </c>
      <c r="I1588" s="9">
        <v>45350</v>
      </c>
    </row>
    <row r="1589" spans="1:9" ht="27" x14ac:dyDescent="0.15">
      <c r="A1589" s="6">
        <v>1588</v>
      </c>
      <c r="B1589" s="7" t="s">
        <v>9</v>
      </c>
      <c r="C1589" s="8">
        <v>1886</v>
      </c>
      <c r="D1589" s="9">
        <v>45418</v>
      </c>
      <c r="E1589" s="13" t="str">
        <f>+HYPERLINK("http://trademark.i-assist.jp/data/china/image_1886th/77001420.pdf","77001420")</f>
        <v>77001420</v>
      </c>
      <c r="F1589" s="7" t="s">
        <v>4327</v>
      </c>
      <c r="G1589" s="7" t="s">
        <v>4328</v>
      </c>
      <c r="H1589" s="7" t="s">
        <v>4329</v>
      </c>
      <c r="I1589" s="9">
        <v>45350</v>
      </c>
    </row>
    <row r="1590" spans="1:9" ht="27" x14ac:dyDescent="0.15">
      <c r="A1590" s="6">
        <v>1589</v>
      </c>
      <c r="B1590" s="7" t="s">
        <v>9</v>
      </c>
      <c r="C1590" s="8">
        <v>1886</v>
      </c>
      <c r="D1590" s="9">
        <v>45418</v>
      </c>
      <c r="E1590" s="13" t="str">
        <f>+HYPERLINK("http://trademark.i-assist.jp/data/china/image_1886th/77001465.pdf","77001465")</f>
        <v>77001465</v>
      </c>
      <c r="F1590" s="7" t="s">
        <v>4330</v>
      </c>
      <c r="G1590" s="7" t="s">
        <v>4331</v>
      </c>
      <c r="H1590" s="7" t="s">
        <v>4332</v>
      </c>
      <c r="I1590" s="9">
        <v>45350</v>
      </c>
    </row>
    <row r="1591" spans="1:9" x14ac:dyDescent="0.15">
      <c r="A1591" s="6">
        <v>1590</v>
      </c>
      <c r="B1591" s="7" t="s">
        <v>9</v>
      </c>
      <c r="C1591" s="8">
        <v>1886</v>
      </c>
      <c r="D1591" s="9">
        <v>45418</v>
      </c>
      <c r="E1591" s="13" t="str">
        <f>+HYPERLINK("http://trademark.i-assist.jp/data/china/image_1886th/77001572.pdf","77001572")</f>
        <v>77001572</v>
      </c>
      <c r="F1591" s="7" t="s">
        <v>4287</v>
      </c>
      <c r="G1591" s="7" t="s">
        <v>4288</v>
      </c>
      <c r="H1591" s="7" t="s">
        <v>4333</v>
      </c>
      <c r="I1591" s="9">
        <v>45350</v>
      </c>
    </row>
    <row r="1592" spans="1:9" x14ac:dyDescent="0.15">
      <c r="A1592" s="6">
        <v>1591</v>
      </c>
      <c r="B1592" s="7" t="s">
        <v>9</v>
      </c>
      <c r="C1592" s="8">
        <v>1886</v>
      </c>
      <c r="D1592" s="9">
        <v>45418</v>
      </c>
      <c r="E1592" s="13" t="str">
        <f>+HYPERLINK("http://trademark.i-assist.jp/data/china/image_1886th/77001645.pdf","77001645")</f>
        <v>77001645</v>
      </c>
      <c r="F1592" s="7" t="s">
        <v>33</v>
      </c>
      <c r="G1592" s="7" t="s">
        <v>4279</v>
      </c>
      <c r="H1592" s="7" t="s">
        <v>4334</v>
      </c>
      <c r="I1592" s="9">
        <v>45350</v>
      </c>
    </row>
    <row r="1593" spans="1:9" x14ac:dyDescent="0.15">
      <c r="A1593" s="6">
        <v>1592</v>
      </c>
      <c r="B1593" s="7" t="s">
        <v>9</v>
      </c>
      <c r="C1593" s="8">
        <v>1886</v>
      </c>
      <c r="D1593" s="9">
        <v>45418</v>
      </c>
      <c r="E1593" s="13" t="str">
        <f>+HYPERLINK("http://trademark.i-assist.jp/data/china/image_1886th/77002199.pdf","77002199")</f>
        <v>77002199</v>
      </c>
      <c r="F1593" s="7" t="s">
        <v>4335</v>
      </c>
      <c r="G1593" s="7" t="s">
        <v>251</v>
      </c>
      <c r="H1593" s="7" t="s">
        <v>4336</v>
      </c>
      <c r="I1593" s="9">
        <v>45350</v>
      </c>
    </row>
    <row r="1594" spans="1:9" x14ac:dyDescent="0.15">
      <c r="A1594" s="6">
        <v>1593</v>
      </c>
      <c r="B1594" s="7" t="s">
        <v>9</v>
      </c>
      <c r="C1594" s="8">
        <v>1886</v>
      </c>
      <c r="D1594" s="9">
        <v>45418</v>
      </c>
      <c r="E1594" s="13" t="str">
        <f>+HYPERLINK("http://trademark.i-assist.jp/data/china/image_1886th/77003384.pdf","77003384")</f>
        <v>77003384</v>
      </c>
      <c r="F1594" s="7" t="s">
        <v>4337</v>
      </c>
      <c r="G1594" s="7" t="s">
        <v>4338</v>
      </c>
      <c r="H1594" s="7" t="s">
        <v>4339</v>
      </c>
      <c r="I1594" s="9">
        <v>45350</v>
      </c>
    </row>
    <row r="1595" spans="1:9" x14ac:dyDescent="0.15">
      <c r="A1595" s="6">
        <v>1594</v>
      </c>
      <c r="B1595" s="7" t="s">
        <v>9</v>
      </c>
      <c r="C1595" s="8">
        <v>1886</v>
      </c>
      <c r="D1595" s="9">
        <v>45418</v>
      </c>
      <c r="E1595" s="13" t="str">
        <f>+HYPERLINK("http://trademark.i-assist.jp/data/china/image_1886th/77004197.pdf","77004197")</f>
        <v>77004197</v>
      </c>
      <c r="F1595" s="7" t="s">
        <v>4340</v>
      </c>
      <c r="G1595" s="7" t="s">
        <v>4341</v>
      </c>
      <c r="H1595" s="7" t="s">
        <v>4342</v>
      </c>
      <c r="I1595" s="9">
        <v>45350</v>
      </c>
    </row>
    <row r="1596" spans="1:9" x14ac:dyDescent="0.15">
      <c r="A1596" s="6">
        <v>1595</v>
      </c>
      <c r="B1596" s="7" t="s">
        <v>9</v>
      </c>
      <c r="C1596" s="8">
        <v>1886</v>
      </c>
      <c r="D1596" s="9">
        <v>45418</v>
      </c>
      <c r="E1596" s="13" t="str">
        <f>+HYPERLINK("http://trademark.i-assist.jp/data/china/image_1886th/77004801.pdf","77004801")</f>
        <v>77004801</v>
      </c>
      <c r="F1596" s="7" t="s">
        <v>4343</v>
      </c>
      <c r="G1596" s="7" t="s">
        <v>4344</v>
      </c>
      <c r="H1596" s="7" t="s">
        <v>4345</v>
      </c>
      <c r="I1596" s="9">
        <v>45350</v>
      </c>
    </row>
    <row r="1597" spans="1:9" x14ac:dyDescent="0.15">
      <c r="A1597" s="6">
        <v>1596</v>
      </c>
      <c r="B1597" s="7" t="s">
        <v>9</v>
      </c>
      <c r="C1597" s="8">
        <v>1886</v>
      </c>
      <c r="D1597" s="9">
        <v>45418</v>
      </c>
      <c r="E1597" s="13" t="str">
        <f>+HYPERLINK("http://trademark.i-assist.jp/data/china/image_1886th/77005324.pdf","77005324")</f>
        <v>77005324</v>
      </c>
      <c r="F1597" s="7" t="s">
        <v>4346</v>
      </c>
      <c r="G1597" s="7" t="s">
        <v>4320</v>
      </c>
      <c r="H1597" s="7" t="s">
        <v>4347</v>
      </c>
      <c r="I1597" s="9">
        <v>45350</v>
      </c>
    </row>
    <row r="1598" spans="1:9" x14ac:dyDescent="0.15">
      <c r="A1598" s="6">
        <v>1597</v>
      </c>
      <c r="B1598" s="7" t="s">
        <v>9</v>
      </c>
      <c r="C1598" s="8">
        <v>1886</v>
      </c>
      <c r="D1598" s="9">
        <v>45418</v>
      </c>
      <c r="E1598" s="13" t="str">
        <f>+HYPERLINK("http://trademark.i-assist.jp/data/china/image_1886th/77005874.pdf","77005874")</f>
        <v>77005874</v>
      </c>
      <c r="F1598" s="7" t="s">
        <v>4348</v>
      </c>
      <c r="G1598" s="7" t="s">
        <v>4248</v>
      </c>
      <c r="H1598" s="7" t="s">
        <v>4349</v>
      </c>
      <c r="I1598" s="9">
        <v>45350</v>
      </c>
    </row>
    <row r="1599" spans="1:9" x14ac:dyDescent="0.15">
      <c r="A1599" s="6">
        <v>1598</v>
      </c>
      <c r="B1599" s="7" t="s">
        <v>9</v>
      </c>
      <c r="C1599" s="8">
        <v>1886</v>
      </c>
      <c r="D1599" s="9">
        <v>45418</v>
      </c>
      <c r="E1599" s="13" t="str">
        <f>+HYPERLINK("http://trademark.i-assist.jp/data/china/image_1886th/77007128.pdf","77007128")</f>
        <v>77007128</v>
      </c>
      <c r="F1599" s="7" t="s">
        <v>4350</v>
      </c>
      <c r="G1599" s="7" t="s">
        <v>4351</v>
      </c>
      <c r="H1599" s="7" t="s">
        <v>4352</v>
      </c>
      <c r="I1599" s="9">
        <v>45350</v>
      </c>
    </row>
    <row r="1600" spans="1:9" x14ac:dyDescent="0.15">
      <c r="A1600" s="6">
        <v>1599</v>
      </c>
      <c r="B1600" s="7" t="s">
        <v>9</v>
      </c>
      <c r="C1600" s="8">
        <v>1886</v>
      </c>
      <c r="D1600" s="9">
        <v>45418</v>
      </c>
      <c r="E1600" s="13" t="str">
        <f>+HYPERLINK("http://trademark.i-assist.jp/data/china/image_1886th/77007235.pdf","77007235")</f>
        <v>77007235</v>
      </c>
      <c r="F1600" s="7" t="s">
        <v>4353</v>
      </c>
      <c r="G1600" s="7" t="s">
        <v>4344</v>
      </c>
      <c r="H1600" s="7" t="s">
        <v>4354</v>
      </c>
      <c r="I1600" s="9">
        <v>45350</v>
      </c>
    </row>
    <row r="1601" spans="1:9" ht="40.5" x14ac:dyDescent="0.15">
      <c r="A1601" s="6">
        <v>1600</v>
      </c>
      <c r="B1601" s="7" t="s">
        <v>9</v>
      </c>
      <c r="C1601" s="8">
        <v>1886</v>
      </c>
      <c r="D1601" s="9">
        <v>45418</v>
      </c>
      <c r="E1601" s="13" t="str">
        <f>+HYPERLINK("http://trademark.i-assist.jp/data/china/image_1886th/77007397.pdf","77007397")</f>
        <v>77007397</v>
      </c>
      <c r="F1601" s="7" t="s">
        <v>4355</v>
      </c>
      <c r="G1601" s="7" t="s">
        <v>4356</v>
      </c>
      <c r="H1601" s="7" t="s">
        <v>4357</v>
      </c>
      <c r="I1601" s="9">
        <v>45350</v>
      </c>
    </row>
    <row r="1602" spans="1:9" x14ac:dyDescent="0.15">
      <c r="A1602" s="6">
        <v>1601</v>
      </c>
      <c r="B1602" s="7" t="s">
        <v>9</v>
      </c>
      <c r="C1602" s="8">
        <v>1886</v>
      </c>
      <c r="D1602" s="9">
        <v>45418</v>
      </c>
      <c r="E1602" s="13" t="str">
        <f>+HYPERLINK("http://trademark.i-assist.jp/data/china/image_1886th/77007961.pdf","77007961")</f>
        <v>77007961</v>
      </c>
      <c r="F1602" s="7" t="s">
        <v>4358</v>
      </c>
      <c r="G1602" s="7" t="s">
        <v>4248</v>
      </c>
      <c r="H1602" s="7" t="s">
        <v>4359</v>
      </c>
      <c r="I1602" s="9">
        <v>45350</v>
      </c>
    </row>
    <row r="1603" spans="1:9" x14ac:dyDescent="0.15">
      <c r="A1603" s="6">
        <v>1602</v>
      </c>
      <c r="B1603" s="7" t="s">
        <v>9</v>
      </c>
      <c r="C1603" s="8">
        <v>1886</v>
      </c>
      <c r="D1603" s="9">
        <v>45418</v>
      </c>
      <c r="E1603" s="13" t="str">
        <f>+HYPERLINK("http://trademark.i-assist.jp/data/china/image_1886th/77008282.pdf","77008282")</f>
        <v>77008282</v>
      </c>
      <c r="F1603" s="7" t="s">
        <v>4360</v>
      </c>
      <c r="G1603" s="7" t="s">
        <v>4251</v>
      </c>
      <c r="H1603" s="7" t="s">
        <v>4361</v>
      </c>
      <c r="I1603" s="9">
        <v>45350</v>
      </c>
    </row>
    <row r="1604" spans="1:9" x14ac:dyDescent="0.15">
      <c r="A1604" s="6">
        <v>1603</v>
      </c>
      <c r="B1604" s="7" t="s">
        <v>9</v>
      </c>
      <c r="C1604" s="8">
        <v>1886</v>
      </c>
      <c r="D1604" s="9">
        <v>45418</v>
      </c>
      <c r="E1604" s="13" t="str">
        <f>+HYPERLINK("http://trademark.i-assist.jp/data/china/image_1886th/77008483.pdf","77008483")</f>
        <v>77008483</v>
      </c>
      <c r="F1604" s="7" t="s">
        <v>4362</v>
      </c>
      <c r="G1604" s="7" t="s">
        <v>4363</v>
      </c>
      <c r="H1604" s="7" t="s">
        <v>4364</v>
      </c>
      <c r="I1604" s="9">
        <v>45350</v>
      </c>
    </row>
    <row r="1605" spans="1:9" ht="27" x14ac:dyDescent="0.15">
      <c r="A1605" s="6">
        <v>1604</v>
      </c>
      <c r="B1605" s="7" t="s">
        <v>9</v>
      </c>
      <c r="C1605" s="8">
        <v>1886</v>
      </c>
      <c r="D1605" s="9">
        <v>45418</v>
      </c>
      <c r="E1605" s="13" t="str">
        <f>+HYPERLINK("http://trademark.i-assist.jp/data/china/image_1886th/77008695.pdf","77008695")</f>
        <v>77008695</v>
      </c>
      <c r="F1605" s="7" t="s">
        <v>4365</v>
      </c>
      <c r="G1605" s="7" t="s">
        <v>4366</v>
      </c>
      <c r="H1605" s="7" t="s">
        <v>4367</v>
      </c>
      <c r="I1605" s="9">
        <v>45350</v>
      </c>
    </row>
    <row r="1606" spans="1:9" x14ac:dyDescent="0.15">
      <c r="A1606" s="6">
        <v>1605</v>
      </c>
      <c r="B1606" s="7" t="s">
        <v>9</v>
      </c>
      <c r="C1606" s="8">
        <v>1886</v>
      </c>
      <c r="D1606" s="9">
        <v>45418</v>
      </c>
      <c r="E1606" s="13" t="str">
        <f>+HYPERLINK("http://trademark.i-assist.jp/data/china/image_1886th/77009284.pdf","77009284")</f>
        <v>77009284</v>
      </c>
      <c r="F1606" s="7" t="s">
        <v>4368</v>
      </c>
      <c r="G1606" s="7" t="s">
        <v>4260</v>
      </c>
      <c r="H1606" s="7" t="s">
        <v>4369</v>
      </c>
      <c r="I1606" s="9">
        <v>45350</v>
      </c>
    </row>
    <row r="1607" spans="1:9" x14ac:dyDescent="0.15">
      <c r="A1607" s="6">
        <v>1606</v>
      </c>
      <c r="B1607" s="7" t="s">
        <v>9</v>
      </c>
      <c r="C1607" s="8">
        <v>1886</v>
      </c>
      <c r="D1607" s="9">
        <v>45418</v>
      </c>
      <c r="E1607" s="13" t="str">
        <f>+HYPERLINK("http://trademark.i-assist.jp/data/china/image_1886th/77009290.pdf","77009290")</f>
        <v>77009290</v>
      </c>
      <c r="F1607" s="7" t="s">
        <v>4370</v>
      </c>
      <c r="G1607" s="7" t="s">
        <v>4260</v>
      </c>
      <c r="H1607" s="7" t="s">
        <v>4371</v>
      </c>
      <c r="I1607" s="9">
        <v>45350</v>
      </c>
    </row>
    <row r="1608" spans="1:9" x14ac:dyDescent="0.15">
      <c r="A1608" s="6">
        <v>1607</v>
      </c>
      <c r="B1608" s="7" t="s">
        <v>9</v>
      </c>
      <c r="C1608" s="8">
        <v>1886</v>
      </c>
      <c r="D1608" s="9">
        <v>45418</v>
      </c>
      <c r="E1608" s="13" t="str">
        <f>+HYPERLINK("http://trademark.i-assist.jp/data/china/image_1886th/77009312.pdf","77009312")</f>
        <v>77009312</v>
      </c>
      <c r="F1608" s="7" t="s">
        <v>4372</v>
      </c>
      <c r="G1608" s="7" t="s">
        <v>4260</v>
      </c>
      <c r="H1608" s="7" t="s">
        <v>4373</v>
      </c>
      <c r="I1608" s="9">
        <v>45350</v>
      </c>
    </row>
    <row r="1609" spans="1:9" x14ac:dyDescent="0.15">
      <c r="A1609" s="6">
        <v>1608</v>
      </c>
      <c r="B1609" s="7" t="s">
        <v>9</v>
      </c>
      <c r="C1609" s="8">
        <v>1886</v>
      </c>
      <c r="D1609" s="9">
        <v>45418</v>
      </c>
      <c r="E1609" s="13" t="str">
        <f>+HYPERLINK("http://trademark.i-assist.jp/data/china/image_1886th/77011070.pdf","77011070")</f>
        <v>77011070</v>
      </c>
      <c r="F1609" s="7" t="s">
        <v>4374</v>
      </c>
      <c r="G1609" s="7" t="s">
        <v>4375</v>
      </c>
      <c r="H1609" s="7" t="s">
        <v>4376</v>
      </c>
      <c r="I1609" s="9">
        <v>45350</v>
      </c>
    </row>
    <row r="1610" spans="1:9" ht="27" x14ac:dyDescent="0.15">
      <c r="A1610" s="6">
        <v>1609</v>
      </c>
      <c r="B1610" s="7" t="s">
        <v>9</v>
      </c>
      <c r="C1610" s="8">
        <v>1886</v>
      </c>
      <c r="D1610" s="9">
        <v>45418</v>
      </c>
      <c r="E1610" s="13" t="str">
        <f>+HYPERLINK("http://trademark.i-assist.jp/data/china/image_1886th/77011692.pdf","77011692")</f>
        <v>77011692</v>
      </c>
      <c r="F1610" s="7" t="s">
        <v>4377</v>
      </c>
      <c r="G1610" s="7" t="s">
        <v>4378</v>
      </c>
      <c r="H1610" s="7" t="s">
        <v>4379</v>
      </c>
      <c r="I1610" s="9">
        <v>45350</v>
      </c>
    </row>
    <row r="1611" spans="1:9" x14ac:dyDescent="0.15">
      <c r="A1611" s="6">
        <v>1610</v>
      </c>
      <c r="B1611" s="7" t="s">
        <v>9</v>
      </c>
      <c r="C1611" s="8">
        <v>1886</v>
      </c>
      <c r="D1611" s="9">
        <v>45418</v>
      </c>
      <c r="E1611" s="13" t="str">
        <f>+HYPERLINK("http://trademark.i-assist.jp/data/china/image_1886th/77012882.pdf","77012882")</f>
        <v>77012882</v>
      </c>
      <c r="F1611" s="7" t="s">
        <v>4380</v>
      </c>
      <c r="G1611" s="7" t="s">
        <v>4381</v>
      </c>
      <c r="H1611" s="7" t="s">
        <v>4382</v>
      </c>
      <c r="I1611" s="9">
        <v>45350</v>
      </c>
    </row>
    <row r="1612" spans="1:9" x14ac:dyDescent="0.15">
      <c r="A1612" s="6">
        <v>1611</v>
      </c>
      <c r="B1612" s="7" t="s">
        <v>9</v>
      </c>
      <c r="C1612" s="8">
        <v>1886</v>
      </c>
      <c r="D1612" s="9">
        <v>45418</v>
      </c>
      <c r="E1612" s="13" t="str">
        <f>+HYPERLINK("http://trademark.i-assist.jp/data/china/image_1886th/77013162.pdf","77013162")</f>
        <v>77013162</v>
      </c>
      <c r="F1612" s="7" t="s">
        <v>4383</v>
      </c>
      <c r="G1612" s="7" t="s">
        <v>4384</v>
      </c>
      <c r="H1612" s="7" t="s">
        <v>4385</v>
      </c>
      <c r="I1612" s="9">
        <v>45350</v>
      </c>
    </row>
    <row r="1613" spans="1:9" x14ac:dyDescent="0.15">
      <c r="A1613" s="6">
        <v>1612</v>
      </c>
      <c r="B1613" s="7" t="s">
        <v>9</v>
      </c>
      <c r="C1613" s="8">
        <v>1886</v>
      </c>
      <c r="D1613" s="9">
        <v>45418</v>
      </c>
      <c r="E1613" s="13" t="str">
        <f>+HYPERLINK("http://trademark.i-assist.jp/data/china/image_1886th/77014167.pdf","77014167")</f>
        <v>77014167</v>
      </c>
      <c r="F1613" s="7" t="s">
        <v>4386</v>
      </c>
      <c r="G1613" s="7" t="s">
        <v>4387</v>
      </c>
      <c r="H1613" s="7" t="s">
        <v>4388</v>
      </c>
      <c r="I1613" s="9">
        <v>45350</v>
      </c>
    </row>
    <row r="1614" spans="1:9" x14ac:dyDescent="0.15">
      <c r="A1614" s="6">
        <v>1613</v>
      </c>
      <c r="B1614" s="7" t="s">
        <v>9</v>
      </c>
      <c r="C1614" s="8">
        <v>1886</v>
      </c>
      <c r="D1614" s="9">
        <v>45418</v>
      </c>
      <c r="E1614" s="13" t="str">
        <f>+HYPERLINK("http://trademark.i-assist.jp/data/china/image_1886th/77015938.pdf","77015938")</f>
        <v>77015938</v>
      </c>
      <c r="F1614" s="7" t="s">
        <v>4389</v>
      </c>
      <c r="G1614" s="7" t="s">
        <v>4390</v>
      </c>
      <c r="H1614" s="7" t="s">
        <v>4391</v>
      </c>
      <c r="I1614" s="9">
        <v>45351</v>
      </c>
    </row>
    <row r="1615" spans="1:9" x14ac:dyDescent="0.15">
      <c r="A1615" s="6">
        <v>1614</v>
      </c>
      <c r="B1615" s="7" t="s">
        <v>9</v>
      </c>
      <c r="C1615" s="8">
        <v>1886</v>
      </c>
      <c r="D1615" s="9">
        <v>45418</v>
      </c>
      <c r="E1615" s="13" t="str">
        <f>+HYPERLINK("http://trademark.i-assist.jp/data/china/image_1886th/77016280.pdf","77016280")</f>
        <v>77016280</v>
      </c>
      <c r="F1615" s="7" t="s">
        <v>4392</v>
      </c>
      <c r="G1615" s="7" t="s">
        <v>4393</v>
      </c>
      <c r="H1615" s="7" t="s">
        <v>161</v>
      </c>
      <c r="I1615" s="9">
        <v>45351</v>
      </c>
    </row>
    <row r="1616" spans="1:9" x14ac:dyDescent="0.15">
      <c r="A1616" s="6">
        <v>1615</v>
      </c>
      <c r="B1616" s="7" t="s">
        <v>9</v>
      </c>
      <c r="C1616" s="8">
        <v>1886</v>
      </c>
      <c r="D1616" s="9">
        <v>45418</v>
      </c>
      <c r="E1616" s="13" t="str">
        <f>+HYPERLINK("http://trademark.i-assist.jp/data/china/image_1886th/77016690.pdf","77016690")</f>
        <v>77016690</v>
      </c>
      <c r="F1616" s="7" t="s">
        <v>4394</v>
      </c>
      <c r="G1616" s="7" t="s">
        <v>4395</v>
      </c>
      <c r="H1616" s="7" t="s">
        <v>4396</v>
      </c>
      <c r="I1616" s="9">
        <v>45351</v>
      </c>
    </row>
    <row r="1617" spans="1:9" x14ac:dyDescent="0.15">
      <c r="A1617" s="6">
        <v>1616</v>
      </c>
      <c r="B1617" s="7" t="s">
        <v>9</v>
      </c>
      <c r="C1617" s="8">
        <v>1886</v>
      </c>
      <c r="D1617" s="9">
        <v>45418</v>
      </c>
      <c r="E1617" s="13" t="str">
        <f>+HYPERLINK("http://trademark.i-assist.jp/data/china/image_1886th/77017634.pdf","77017634")</f>
        <v>77017634</v>
      </c>
      <c r="F1617" s="7" t="s">
        <v>4397</v>
      </c>
      <c r="G1617" s="7" t="s">
        <v>4398</v>
      </c>
      <c r="H1617" s="7" t="s">
        <v>4399</v>
      </c>
      <c r="I1617" s="9">
        <v>45351</v>
      </c>
    </row>
    <row r="1618" spans="1:9" x14ac:dyDescent="0.15">
      <c r="A1618" s="6">
        <v>1617</v>
      </c>
      <c r="B1618" s="7" t="s">
        <v>9</v>
      </c>
      <c r="C1618" s="8">
        <v>1886</v>
      </c>
      <c r="D1618" s="9">
        <v>45418</v>
      </c>
      <c r="E1618" s="13" t="str">
        <f>+HYPERLINK("http://trademark.i-assist.jp/data/china/image_1886th/77017688.pdf","77017688")</f>
        <v>77017688</v>
      </c>
      <c r="F1618" s="7" t="s">
        <v>4400</v>
      </c>
      <c r="G1618" s="7" t="s">
        <v>4401</v>
      </c>
      <c r="H1618" s="7" t="s">
        <v>4402</v>
      </c>
      <c r="I1618" s="9">
        <v>45351</v>
      </c>
    </row>
    <row r="1619" spans="1:9" x14ac:dyDescent="0.15">
      <c r="A1619" s="6">
        <v>1618</v>
      </c>
      <c r="B1619" s="7" t="s">
        <v>9</v>
      </c>
      <c r="C1619" s="8">
        <v>1886</v>
      </c>
      <c r="D1619" s="9">
        <v>45418</v>
      </c>
      <c r="E1619" s="13" t="str">
        <f>+HYPERLINK("http://trademark.i-assist.jp/data/china/image_1886th/77018022.pdf","77018022")</f>
        <v>77018022</v>
      </c>
      <c r="F1619" s="7" t="s">
        <v>4403</v>
      </c>
      <c r="G1619" s="7" t="s">
        <v>4404</v>
      </c>
      <c r="H1619" s="7" t="s">
        <v>4405</v>
      </c>
      <c r="I1619" s="9">
        <v>45351</v>
      </c>
    </row>
    <row r="1620" spans="1:9" ht="27" x14ac:dyDescent="0.15">
      <c r="A1620" s="6">
        <v>1619</v>
      </c>
      <c r="B1620" s="7" t="s">
        <v>9</v>
      </c>
      <c r="C1620" s="8">
        <v>1886</v>
      </c>
      <c r="D1620" s="9">
        <v>45418</v>
      </c>
      <c r="E1620" s="13" t="str">
        <f>+HYPERLINK("http://trademark.i-assist.jp/data/china/image_1886th/77018278.pdf","77018278")</f>
        <v>77018278</v>
      </c>
      <c r="F1620" s="7" t="s">
        <v>4406</v>
      </c>
      <c r="G1620" s="7" t="s">
        <v>4407</v>
      </c>
      <c r="H1620" s="7" t="s">
        <v>4408</v>
      </c>
      <c r="I1620" s="9">
        <v>45351</v>
      </c>
    </row>
    <row r="1621" spans="1:9" x14ac:dyDescent="0.15">
      <c r="A1621" s="6">
        <v>1620</v>
      </c>
      <c r="B1621" s="7" t="s">
        <v>9</v>
      </c>
      <c r="C1621" s="8">
        <v>1886</v>
      </c>
      <c r="D1621" s="9">
        <v>45418</v>
      </c>
      <c r="E1621" s="13" t="str">
        <f>+HYPERLINK("http://trademark.i-assist.jp/data/china/image_1886th/77018387.pdf","77018387")</f>
        <v>77018387</v>
      </c>
      <c r="F1621" s="7" t="s">
        <v>4409</v>
      </c>
      <c r="G1621" s="7" t="s">
        <v>4410</v>
      </c>
      <c r="H1621" s="7" t="s">
        <v>4411</v>
      </c>
      <c r="I1621" s="9">
        <v>45351</v>
      </c>
    </row>
    <row r="1622" spans="1:9" x14ac:dyDescent="0.15">
      <c r="A1622" s="6">
        <v>1621</v>
      </c>
      <c r="B1622" s="7" t="s">
        <v>9</v>
      </c>
      <c r="C1622" s="8">
        <v>1886</v>
      </c>
      <c r="D1622" s="9">
        <v>45418</v>
      </c>
      <c r="E1622" s="13" t="str">
        <f>+HYPERLINK("http://trademark.i-assist.jp/data/china/image_1886th/77018469.pdf","77018469")</f>
        <v>77018469</v>
      </c>
      <c r="F1622" s="7" t="s">
        <v>4412</v>
      </c>
      <c r="G1622" s="7" t="s">
        <v>4413</v>
      </c>
      <c r="H1622" s="7" t="s">
        <v>4414</v>
      </c>
      <c r="I1622" s="9">
        <v>45351</v>
      </c>
    </row>
    <row r="1623" spans="1:9" x14ac:dyDescent="0.15">
      <c r="A1623" s="6">
        <v>1622</v>
      </c>
      <c r="B1623" s="7" t="s">
        <v>9</v>
      </c>
      <c r="C1623" s="8">
        <v>1886</v>
      </c>
      <c r="D1623" s="9">
        <v>45418</v>
      </c>
      <c r="E1623" s="13" t="str">
        <f>+HYPERLINK("http://trademark.i-assist.jp/data/china/image_1886th/77018867.pdf","77018867")</f>
        <v>77018867</v>
      </c>
      <c r="F1623" s="7" t="s">
        <v>4415</v>
      </c>
      <c r="G1623" s="7" t="s">
        <v>4416</v>
      </c>
      <c r="H1623" s="7" t="s">
        <v>4417</v>
      </c>
      <c r="I1623" s="9">
        <v>45351</v>
      </c>
    </row>
    <row r="1624" spans="1:9" x14ac:dyDescent="0.15">
      <c r="A1624" s="6">
        <v>1623</v>
      </c>
      <c r="B1624" s="7" t="s">
        <v>9</v>
      </c>
      <c r="C1624" s="8">
        <v>1886</v>
      </c>
      <c r="D1624" s="9">
        <v>45418</v>
      </c>
      <c r="E1624" s="13" t="str">
        <f>+HYPERLINK("http://trademark.i-assist.jp/data/china/image_1886th/77020466.pdf","77020466")</f>
        <v>77020466</v>
      </c>
      <c r="F1624" s="7" t="s">
        <v>4418</v>
      </c>
      <c r="G1624" s="7" t="s">
        <v>4419</v>
      </c>
      <c r="H1624" s="7" t="s">
        <v>4420</v>
      </c>
      <c r="I1624" s="9">
        <v>45351</v>
      </c>
    </row>
    <row r="1625" spans="1:9" x14ac:dyDescent="0.15">
      <c r="A1625" s="6">
        <v>1624</v>
      </c>
      <c r="B1625" s="7" t="s">
        <v>9</v>
      </c>
      <c r="C1625" s="8">
        <v>1886</v>
      </c>
      <c r="D1625" s="9">
        <v>45418</v>
      </c>
      <c r="E1625" s="13" t="str">
        <f>+HYPERLINK("http://trademark.i-assist.jp/data/china/image_1886th/77020517.pdf","77020517")</f>
        <v>77020517</v>
      </c>
      <c r="F1625" s="7" t="s">
        <v>4421</v>
      </c>
      <c r="G1625" s="7" t="s">
        <v>4422</v>
      </c>
      <c r="H1625" s="7" t="s">
        <v>4423</v>
      </c>
      <c r="I1625" s="9">
        <v>45351</v>
      </c>
    </row>
    <row r="1626" spans="1:9" x14ac:dyDescent="0.15">
      <c r="A1626" s="6">
        <v>1625</v>
      </c>
      <c r="B1626" s="7" t="s">
        <v>9</v>
      </c>
      <c r="C1626" s="8">
        <v>1886</v>
      </c>
      <c r="D1626" s="9">
        <v>45418</v>
      </c>
      <c r="E1626" s="13" t="str">
        <f>+HYPERLINK("http://trademark.i-assist.jp/data/china/image_1886th/77020919.pdf","77020919")</f>
        <v>77020919</v>
      </c>
      <c r="F1626" s="7" t="s">
        <v>4424</v>
      </c>
      <c r="G1626" s="7" t="s">
        <v>4425</v>
      </c>
      <c r="H1626" s="7" t="s">
        <v>4426</v>
      </c>
      <c r="I1626" s="9">
        <v>45351</v>
      </c>
    </row>
    <row r="1627" spans="1:9" x14ac:dyDescent="0.15">
      <c r="A1627" s="6">
        <v>1626</v>
      </c>
      <c r="B1627" s="7" t="s">
        <v>9</v>
      </c>
      <c r="C1627" s="8">
        <v>1886</v>
      </c>
      <c r="D1627" s="9">
        <v>45418</v>
      </c>
      <c r="E1627" s="13" t="str">
        <f>+HYPERLINK("http://trademark.i-assist.jp/data/china/image_1886th/77021369.pdf","77021369")</f>
        <v>77021369</v>
      </c>
      <c r="F1627" s="7" t="s">
        <v>4427</v>
      </c>
      <c r="G1627" s="7" t="s">
        <v>4428</v>
      </c>
      <c r="H1627" s="7" t="s">
        <v>4429</v>
      </c>
      <c r="I1627" s="9">
        <v>45351</v>
      </c>
    </row>
    <row r="1628" spans="1:9" x14ac:dyDescent="0.15">
      <c r="A1628" s="6">
        <v>1627</v>
      </c>
      <c r="B1628" s="7" t="s">
        <v>9</v>
      </c>
      <c r="C1628" s="8">
        <v>1886</v>
      </c>
      <c r="D1628" s="9">
        <v>45418</v>
      </c>
      <c r="E1628" s="13" t="str">
        <f>+HYPERLINK("http://trademark.i-assist.jp/data/china/image_1886th/77021405.pdf","77021405")</f>
        <v>77021405</v>
      </c>
      <c r="F1628" s="7" t="s">
        <v>4430</v>
      </c>
      <c r="G1628" s="7" t="s">
        <v>4431</v>
      </c>
      <c r="H1628" s="7" t="s">
        <v>4432</v>
      </c>
      <c r="I1628" s="9">
        <v>45351</v>
      </c>
    </row>
    <row r="1629" spans="1:9" x14ac:dyDescent="0.15">
      <c r="A1629" s="6">
        <v>1628</v>
      </c>
      <c r="B1629" s="7" t="s">
        <v>9</v>
      </c>
      <c r="C1629" s="8">
        <v>1886</v>
      </c>
      <c r="D1629" s="9">
        <v>45418</v>
      </c>
      <c r="E1629" s="13" t="str">
        <f>+HYPERLINK("http://trademark.i-assist.jp/data/china/image_1886th/77021410.pdf","77021410")</f>
        <v>77021410</v>
      </c>
      <c r="F1629" s="7" t="s">
        <v>4433</v>
      </c>
      <c r="G1629" s="7" t="s">
        <v>4434</v>
      </c>
      <c r="H1629" s="7" t="s">
        <v>4435</v>
      </c>
      <c r="I1629" s="9">
        <v>45351</v>
      </c>
    </row>
    <row r="1630" spans="1:9" ht="27" x14ac:dyDescent="0.15">
      <c r="A1630" s="6">
        <v>1629</v>
      </c>
      <c r="B1630" s="7" t="s">
        <v>9</v>
      </c>
      <c r="C1630" s="8">
        <v>1886</v>
      </c>
      <c r="D1630" s="9">
        <v>45418</v>
      </c>
      <c r="E1630" s="13" t="str">
        <f>+HYPERLINK("http://trademark.i-assist.jp/data/china/image_1886th/77022266.pdf","77022266")</f>
        <v>77022266</v>
      </c>
      <c r="F1630" s="7" t="s">
        <v>4436</v>
      </c>
      <c r="G1630" s="7" t="s">
        <v>4437</v>
      </c>
      <c r="H1630" s="7" t="s">
        <v>4438</v>
      </c>
      <c r="I1630" s="9">
        <v>45351</v>
      </c>
    </row>
    <row r="1631" spans="1:9" x14ac:dyDescent="0.15">
      <c r="A1631" s="6">
        <v>1630</v>
      </c>
      <c r="B1631" s="7" t="s">
        <v>9</v>
      </c>
      <c r="C1631" s="8">
        <v>1886</v>
      </c>
      <c r="D1631" s="9">
        <v>45418</v>
      </c>
      <c r="E1631" s="13" t="str">
        <f>+HYPERLINK("http://trademark.i-assist.jp/data/china/image_1886th/77022776.pdf","77022776")</f>
        <v>77022776</v>
      </c>
      <c r="F1631" s="7" t="s">
        <v>4439</v>
      </c>
      <c r="G1631" s="7" t="s">
        <v>4440</v>
      </c>
      <c r="H1631" s="7" t="s">
        <v>4441</v>
      </c>
      <c r="I1631" s="9">
        <v>45351</v>
      </c>
    </row>
    <row r="1632" spans="1:9" x14ac:dyDescent="0.15">
      <c r="A1632" s="6">
        <v>1631</v>
      </c>
      <c r="B1632" s="7" t="s">
        <v>9</v>
      </c>
      <c r="C1632" s="8">
        <v>1886</v>
      </c>
      <c r="D1632" s="9">
        <v>45418</v>
      </c>
      <c r="E1632" s="13" t="str">
        <f>+HYPERLINK("http://trademark.i-assist.jp/data/china/image_1886th/77023153.pdf","77023153")</f>
        <v>77023153</v>
      </c>
      <c r="F1632" s="7" t="s">
        <v>4442</v>
      </c>
      <c r="G1632" s="7" t="s">
        <v>4443</v>
      </c>
      <c r="H1632" s="7" t="s">
        <v>4444</v>
      </c>
      <c r="I1632" s="9">
        <v>45351</v>
      </c>
    </row>
    <row r="1633" spans="1:9" ht="27" x14ac:dyDescent="0.15">
      <c r="A1633" s="6">
        <v>1632</v>
      </c>
      <c r="B1633" s="7" t="s">
        <v>9</v>
      </c>
      <c r="C1633" s="8">
        <v>1886</v>
      </c>
      <c r="D1633" s="9">
        <v>45418</v>
      </c>
      <c r="E1633" s="13" t="str">
        <f>+HYPERLINK("http://trademark.i-assist.jp/data/china/image_1886th/77023416.pdf","77023416")</f>
        <v>77023416</v>
      </c>
      <c r="F1633" s="7" t="s">
        <v>4445</v>
      </c>
      <c r="G1633" s="7" t="s">
        <v>4446</v>
      </c>
      <c r="H1633" s="7" t="s">
        <v>4447</v>
      </c>
      <c r="I1633" s="9">
        <v>45351</v>
      </c>
    </row>
    <row r="1634" spans="1:9" ht="27" x14ac:dyDescent="0.15">
      <c r="A1634" s="6">
        <v>1633</v>
      </c>
      <c r="B1634" s="7" t="s">
        <v>9</v>
      </c>
      <c r="C1634" s="8">
        <v>1886</v>
      </c>
      <c r="D1634" s="9">
        <v>45418</v>
      </c>
      <c r="E1634" s="13" t="str">
        <f>+HYPERLINK("http://trademark.i-assist.jp/data/china/image_1886th/77024445.pdf","77024445")</f>
        <v>77024445</v>
      </c>
      <c r="F1634" s="7" t="s">
        <v>4448</v>
      </c>
      <c r="G1634" s="7" t="s">
        <v>4449</v>
      </c>
      <c r="H1634" s="7" t="s">
        <v>4450</v>
      </c>
      <c r="I1634" s="9">
        <v>45351</v>
      </c>
    </row>
    <row r="1635" spans="1:9" x14ac:dyDescent="0.15">
      <c r="A1635" s="6">
        <v>1634</v>
      </c>
      <c r="B1635" s="7" t="s">
        <v>9</v>
      </c>
      <c r="C1635" s="8">
        <v>1886</v>
      </c>
      <c r="D1635" s="9">
        <v>45418</v>
      </c>
      <c r="E1635" s="13" t="str">
        <f>+HYPERLINK("http://trademark.i-assist.jp/data/china/image_1886th/77025027.pdf","77025027")</f>
        <v>77025027</v>
      </c>
      <c r="F1635" s="7" t="s">
        <v>4451</v>
      </c>
      <c r="G1635" s="7" t="s">
        <v>4452</v>
      </c>
      <c r="H1635" s="7" t="s">
        <v>4453</v>
      </c>
      <c r="I1635" s="9">
        <v>45351</v>
      </c>
    </row>
    <row r="1636" spans="1:9" x14ac:dyDescent="0.15">
      <c r="A1636" s="6">
        <v>1635</v>
      </c>
      <c r="B1636" s="7" t="s">
        <v>9</v>
      </c>
      <c r="C1636" s="8">
        <v>1886</v>
      </c>
      <c r="D1636" s="9">
        <v>45418</v>
      </c>
      <c r="E1636" s="13" t="str">
        <f>+HYPERLINK("http://trademark.i-assist.jp/data/china/image_1886th/77025194.pdf","77025194")</f>
        <v>77025194</v>
      </c>
      <c r="F1636" s="7" t="s">
        <v>4454</v>
      </c>
      <c r="G1636" s="7" t="s">
        <v>4455</v>
      </c>
      <c r="H1636" s="7" t="s">
        <v>4456</v>
      </c>
      <c r="I1636" s="9">
        <v>45351</v>
      </c>
    </row>
    <row r="1637" spans="1:9" x14ac:dyDescent="0.15">
      <c r="A1637" s="6">
        <v>1636</v>
      </c>
      <c r="B1637" s="7" t="s">
        <v>9</v>
      </c>
      <c r="C1637" s="8">
        <v>1886</v>
      </c>
      <c r="D1637" s="9">
        <v>45418</v>
      </c>
      <c r="E1637" s="13" t="str">
        <f>+HYPERLINK("http://trademark.i-assist.jp/data/china/image_1886th/77025285.pdf","77025285")</f>
        <v>77025285</v>
      </c>
      <c r="F1637" s="7" t="s">
        <v>4457</v>
      </c>
      <c r="G1637" s="7" t="s">
        <v>4458</v>
      </c>
      <c r="H1637" s="7" t="s">
        <v>4459</v>
      </c>
      <c r="I1637" s="9">
        <v>45351</v>
      </c>
    </row>
    <row r="1638" spans="1:9" x14ac:dyDescent="0.15">
      <c r="A1638" s="6">
        <v>1637</v>
      </c>
      <c r="B1638" s="7" t="s">
        <v>9</v>
      </c>
      <c r="C1638" s="8">
        <v>1886</v>
      </c>
      <c r="D1638" s="9">
        <v>45418</v>
      </c>
      <c r="E1638" s="13" t="str">
        <f>+HYPERLINK("http://trademark.i-assist.jp/data/china/image_1886th/77026253.pdf","77026253")</f>
        <v>77026253</v>
      </c>
      <c r="F1638" s="7" t="s">
        <v>4460</v>
      </c>
      <c r="G1638" s="7" t="s">
        <v>4461</v>
      </c>
      <c r="H1638" s="7" t="s">
        <v>4462</v>
      </c>
      <c r="I1638" s="9">
        <v>45351</v>
      </c>
    </row>
    <row r="1639" spans="1:9" x14ac:dyDescent="0.15">
      <c r="A1639" s="6">
        <v>1638</v>
      </c>
      <c r="B1639" s="7" t="s">
        <v>9</v>
      </c>
      <c r="C1639" s="8">
        <v>1886</v>
      </c>
      <c r="D1639" s="9">
        <v>45418</v>
      </c>
      <c r="E1639" s="13" t="str">
        <f>+HYPERLINK("http://trademark.i-assist.jp/data/china/image_1886th/77026594.pdf","77026594")</f>
        <v>77026594</v>
      </c>
      <c r="F1639" s="7" t="s">
        <v>4463</v>
      </c>
      <c r="G1639" s="7" t="s">
        <v>4464</v>
      </c>
      <c r="H1639" s="7" t="s">
        <v>4465</v>
      </c>
      <c r="I1639" s="9">
        <v>45351</v>
      </c>
    </row>
    <row r="1640" spans="1:9" ht="27" x14ac:dyDescent="0.15">
      <c r="A1640" s="6">
        <v>1639</v>
      </c>
      <c r="B1640" s="7" t="s">
        <v>9</v>
      </c>
      <c r="C1640" s="8">
        <v>1886</v>
      </c>
      <c r="D1640" s="9">
        <v>45418</v>
      </c>
      <c r="E1640" s="13" t="str">
        <f>+HYPERLINK("http://trademark.i-assist.jp/data/china/image_1886th/77027629.pdf","77027629")</f>
        <v>77027629</v>
      </c>
      <c r="F1640" s="7" t="s">
        <v>33</v>
      </c>
      <c r="G1640" s="7" t="s">
        <v>4466</v>
      </c>
      <c r="H1640" s="7" t="s">
        <v>4467</v>
      </c>
      <c r="I1640" s="9">
        <v>45351</v>
      </c>
    </row>
    <row r="1641" spans="1:9" x14ac:dyDescent="0.15">
      <c r="A1641" s="6">
        <v>1640</v>
      </c>
      <c r="B1641" s="7" t="s">
        <v>9</v>
      </c>
      <c r="C1641" s="8">
        <v>1886</v>
      </c>
      <c r="D1641" s="9">
        <v>45418</v>
      </c>
      <c r="E1641" s="13" t="str">
        <f>+HYPERLINK("http://trademark.i-assist.jp/data/china/image_1886th/77027661.pdf","77027661")</f>
        <v>77027661</v>
      </c>
      <c r="F1641" s="7" t="s">
        <v>4468</v>
      </c>
      <c r="G1641" s="7" t="s">
        <v>4469</v>
      </c>
      <c r="H1641" s="7" t="s">
        <v>4470</v>
      </c>
      <c r="I1641" s="9">
        <v>45351</v>
      </c>
    </row>
    <row r="1642" spans="1:9" x14ac:dyDescent="0.15">
      <c r="A1642" s="6">
        <v>1641</v>
      </c>
      <c r="B1642" s="7" t="s">
        <v>9</v>
      </c>
      <c r="C1642" s="8">
        <v>1886</v>
      </c>
      <c r="D1642" s="9">
        <v>45418</v>
      </c>
      <c r="E1642" s="13" t="str">
        <f>+HYPERLINK("http://trademark.i-assist.jp/data/china/image_1886th/77028540.pdf","77028540")</f>
        <v>77028540</v>
      </c>
      <c r="F1642" s="7" t="s">
        <v>4471</v>
      </c>
      <c r="G1642" s="7" t="s">
        <v>4472</v>
      </c>
      <c r="H1642" s="7" t="s">
        <v>4473</v>
      </c>
      <c r="I1642" s="9">
        <v>45351</v>
      </c>
    </row>
    <row r="1643" spans="1:9" x14ac:dyDescent="0.15">
      <c r="A1643" s="6">
        <v>1642</v>
      </c>
      <c r="B1643" s="7" t="s">
        <v>9</v>
      </c>
      <c r="C1643" s="8">
        <v>1886</v>
      </c>
      <c r="D1643" s="9">
        <v>45418</v>
      </c>
      <c r="E1643" s="13" t="str">
        <f>+HYPERLINK("http://trademark.i-assist.jp/data/china/image_1886th/77028788.pdf","77028788")</f>
        <v>77028788</v>
      </c>
      <c r="F1643" s="7" t="s">
        <v>4474</v>
      </c>
      <c r="G1643" s="7" t="s">
        <v>4475</v>
      </c>
      <c r="H1643" s="7" t="s">
        <v>4476</v>
      </c>
      <c r="I1643" s="9">
        <v>45351</v>
      </c>
    </row>
    <row r="1644" spans="1:9" x14ac:dyDescent="0.15">
      <c r="A1644" s="6">
        <v>1643</v>
      </c>
      <c r="B1644" s="7" t="s">
        <v>9</v>
      </c>
      <c r="C1644" s="8">
        <v>1886</v>
      </c>
      <c r="D1644" s="9">
        <v>45418</v>
      </c>
      <c r="E1644" s="13" t="str">
        <f>+HYPERLINK("http://trademark.i-assist.jp/data/china/image_1886th/77029305.pdf","77029305")</f>
        <v>77029305</v>
      </c>
      <c r="F1644" s="7" t="s">
        <v>4477</v>
      </c>
      <c r="G1644" s="7" t="s">
        <v>4478</v>
      </c>
      <c r="H1644" s="7" t="s">
        <v>4479</v>
      </c>
      <c r="I1644" s="9">
        <v>45351</v>
      </c>
    </row>
    <row r="1645" spans="1:9" x14ac:dyDescent="0.15">
      <c r="A1645" s="6">
        <v>1644</v>
      </c>
      <c r="B1645" s="7" t="s">
        <v>9</v>
      </c>
      <c r="C1645" s="8">
        <v>1886</v>
      </c>
      <c r="D1645" s="9">
        <v>45418</v>
      </c>
      <c r="E1645" s="13" t="str">
        <f>+HYPERLINK("http://trademark.i-assist.jp/data/china/image_1886th/77031442.pdf","77031442")</f>
        <v>77031442</v>
      </c>
      <c r="F1645" s="7" t="s">
        <v>4480</v>
      </c>
      <c r="G1645" s="7" t="s">
        <v>4443</v>
      </c>
      <c r="H1645" s="7" t="s">
        <v>4481</v>
      </c>
      <c r="I1645" s="9">
        <v>45351</v>
      </c>
    </row>
    <row r="1646" spans="1:9" x14ac:dyDescent="0.15">
      <c r="A1646" s="6">
        <v>1645</v>
      </c>
      <c r="B1646" s="7" t="s">
        <v>9</v>
      </c>
      <c r="C1646" s="8">
        <v>1886</v>
      </c>
      <c r="D1646" s="9">
        <v>45418</v>
      </c>
      <c r="E1646" s="13" t="str">
        <f>+HYPERLINK("http://trademark.i-assist.jp/data/china/image_1886th/77032786.pdf","77032786")</f>
        <v>77032786</v>
      </c>
      <c r="F1646" s="7" t="s">
        <v>4482</v>
      </c>
      <c r="G1646" s="7" t="s">
        <v>4443</v>
      </c>
      <c r="H1646" s="7" t="s">
        <v>4483</v>
      </c>
      <c r="I1646" s="9">
        <v>45351</v>
      </c>
    </row>
    <row r="1647" spans="1:9" x14ac:dyDescent="0.15">
      <c r="A1647" s="6">
        <v>1646</v>
      </c>
      <c r="B1647" s="7" t="s">
        <v>9</v>
      </c>
      <c r="C1647" s="8">
        <v>1886</v>
      </c>
      <c r="D1647" s="9">
        <v>45418</v>
      </c>
      <c r="E1647" s="13" t="str">
        <f>+HYPERLINK("http://trademark.i-assist.jp/data/china/image_1886th/77032869.pdf","77032869")</f>
        <v>77032869</v>
      </c>
      <c r="F1647" s="7" t="s">
        <v>4484</v>
      </c>
      <c r="G1647" s="7" t="s">
        <v>4422</v>
      </c>
      <c r="H1647" s="7" t="s">
        <v>4485</v>
      </c>
      <c r="I1647" s="9">
        <v>45351</v>
      </c>
    </row>
    <row r="1648" spans="1:9" x14ac:dyDescent="0.15">
      <c r="A1648" s="6">
        <v>1647</v>
      </c>
      <c r="B1648" s="7" t="s">
        <v>9</v>
      </c>
      <c r="C1648" s="8">
        <v>1886</v>
      </c>
      <c r="D1648" s="9">
        <v>45418</v>
      </c>
      <c r="E1648" s="13" t="str">
        <f>+HYPERLINK("http://trademark.i-assist.jp/data/china/image_1886th/77032967.pdf","77032967")</f>
        <v>77032967</v>
      </c>
      <c r="F1648" s="7" t="s">
        <v>4486</v>
      </c>
      <c r="G1648" s="7" t="s">
        <v>4395</v>
      </c>
      <c r="H1648" s="7" t="s">
        <v>4487</v>
      </c>
      <c r="I1648" s="9">
        <v>45351</v>
      </c>
    </row>
    <row r="1649" spans="1:9" x14ac:dyDescent="0.15">
      <c r="A1649" s="6">
        <v>1648</v>
      </c>
      <c r="B1649" s="7" t="s">
        <v>9</v>
      </c>
      <c r="C1649" s="8">
        <v>1886</v>
      </c>
      <c r="D1649" s="9">
        <v>45418</v>
      </c>
      <c r="E1649" s="13" t="str">
        <f>+HYPERLINK("http://trademark.i-assist.jp/data/china/image_1886th/77034011.pdf","77034011")</f>
        <v>77034011</v>
      </c>
      <c r="F1649" s="7" t="s">
        <v>4488</v>
      </c>
      <c r="G1649" s="7" t="s">
        <v>4489</v>
      </c>
      <c r="H1649" s="7" t="s">
        <v>4490</v>
      </c>
      <c r="I1649" s="9">
        <v>45351</v>
      </c>
    </row>
    <row r="1650" spans="1:9" ht="27" x14ac:dyDescent="0.15">
      <c r="A1650" s="6">
        <v>1649</v>
      </c>
      <c r="B1650" s="7" t="s">
        <v>9</v>
      </c>
      <c r="C1650" s="8">
        <v>1886</v>
      </c>
      <c r="D1650" s="9">
        <v>45418</v>
      </c>
      <c r="E1650" s="13" t="str">
        <f>+HYPERLINK("http://trademark.i-assist.jp/data/china/image_1886th/77034618.pdf","77034618")</f>
        <v>77034618</v>
      </c>
      <c r="F1650" s="7" t="s">
        <v>33</v>
      </c>
      <c r="G1650" s="7" t="s">
        <v>4466</v>
      </c>
      <c r="H1650" s="7" t="s">
        <v>4491</v>
      </c>
      <c r="I1650" s="9">
        <v>45351</v>
      </c>
    </row>
    <row r="1651" spans="1:9" x14ac:dyDescent="0.15">
      <c r="A1651" s="6">
        <v>1650</v>
      </c>
      <c r="B1651" s="7" t="s">
        <v>9</v>
      </c>
      <c r="C1651" s="8">
        <v>1886</v>
      </c>
      <c r="D1651" s="9">
        <v>45418</v>
      </c>
      <c r="E1651" s="13" t="str">
        <f>+HYPERLINK("http://trademark.i-assist.jp/data/china/image_1886th/77034754.pdf","77034754")</f>
        <v>77034754</v>
      </c>
      <c r="F1651" s="7" t="s">
        <v>4492</v>
      </c>
      <c r="G1651" s="7" t="s">
        <v>4493</v>
      </c>
      <c r="H1651" s="7" t="s">
        <v>4494</v>
      </c>
      <c r="I1651" s="9">
        <v>45351</v>
      </c>
    </row>
    <row r="1652" spans="1:9" ht="27" x14ac:dyDescent="0.15">
      <c r="A1652" s="6">
        <v>1651</v>
      </c>
      <c r="B1652" s="7" t="s">
        <v>9</v>
      </c>
      <c r="C1652" s="8">
        <v>1886</v>
      </c>
      <c r="D1652" s="9">
        <v>45418</v>
      </c>
      <c r="E1652" s="13" t="str">
        <f>+HYPERLINK("http://trademark.i-assist.jp/data/china/image_1886th/77034853.pdf","77034853")</f>
        <v>77034853</v>
      </c>
      <c r="F1652" s="7" t="s">
        <v>4495</v>
      </c>
      <c r="G1652" s="7" t="s">
        <v>4496</v>
      </c>
      <c r="H1652" s="7" t="s">
        <v>4497</v>
      </c>
      <c r="I1652" s="9">
        <v>45351</v>
      </c>
    </row>
    <row r="1653" spans="1:9" x14ac:dyDescent="0.15">
      <c r="A1653" s="6">
        <v>1652</v>
      </c>
      <c r="B1653" s="7" t="s">
        <v>9</v>
      </c>
      <c r="C1653" s="8">
        <v>1886</v>
      </c>
      <c r="D1653" s="9">
        <v>45418</v>
      </c>
      <c r="E1653" s="13" t="str">
        <f>+HYPERLINK("http://trademark.i-assist.jp/data/china/image_1886th/77035035.pdf","77035035")</f>
        <v>77035035</v>
      </c>
      <c r="F1653" s="7" t="s">
        <v>33</v>
      </c>
      <c r="G1653" s="7" t="s">
        <v>4498</v>
      </c>
      <c r="H1653" s="7" t="s">
        <v>4499</v>
      </c>
      <c r="I1653" s="9">
        <v>45351</v>
      </c>
    </row>
    <row r="1654" spans="1:9" x14ac:dyDescent="0.15">
      <c r="A1654" s="6">
        <v>1653</v>
      </c>
      <c r="B1654" s="7" t="s">
        <v>9</v>
      </c>
      <c r="C1654" s="8">
        <v>1886</v>
      </c>
      <c r="D1654" s="9">
        <v>45418</v>
      </c>
      <c r="E1654" s="13" t="str">
        <f>+HYPERLINK("http://trademark.i-assist.jp/data/china/image_1886th/77036836.pdf","77036836")</f>
        <v>77036836</v>
      </c>
      <c r="F1654" s="7" t="s">
        <v>4500</v>
      </c>
      <c r="G1654" s="7" t="s">
        <v>4475</v>
      </c>
      <c r="H1654" s="7" t="s">
        <v>4501</v>
      </c>
      <c r="I1654" s="9">
        <v>45351</v>
      </c>
    </row>
    <row r="1655" spans="1:9" ht="27" x14ac:dyDescent="0.15">
      <c r="A1655" s="6">
        <v>1654</v>
      </c>
      <c r="B1655" s="7" t="s">
        <v>9</v>
      </c>
      <c r="C1655" s="8">
        <v>1886</v>
      </c>
      <c r="D1655" s="9">
        <v>45418</v>
      </c>
      <c r="E1655" s="13" t="str">
        <f>+HYPERLINK("http://trademark.i-assist.jp/data/china/image_1886th/77037067.pdf","77037067")</f>
        <v>77037067</v>
      </c>
      <c r="F1655" s="7" t="s">
        <v>33</v>
      </c>
      <c r="G1655" s="7" t="s">
        <v>4502</v>
      </c>
      <c r="H1655" s="7" t="s">
        <v>4503</v>
      </c>
      <c r="I1655" s="9">
        <v>45351</v>
      </c>
    </row>
    <row r="1656" spans="1:9" x14ac:dyDescent="0.15">
      <c r="A1656" s="6">
        <v>1655</v>
      </c>
      <c r="B1656" s="7" t="s">
        <v>9</v>
      </c>
      <c r="C1656" s="8">
        <v>1886</v>
      </c>
      <c r="D1656" s="9">
        <v>45418</v>
      </c>
      <c r="E1656" s="13" t="str">
        <f>+HYPERLINK("http://trademark.i-assist.jp/data/china/image_1886th/77037913.pdf","77037913")</f>
        <v>77037913</v>
      </c>
      <c r="F1656" s="7" t="s">
        <v>4504</v>
      </c>
      <c r="G1656" s="7" t="s">
        <v>4505</v>
      </c>
      <c r="H1656" s="7" t="s">
        <v>4506</v>
      </c>
      <c r="I1656" s="9">
        <v>45351</v>
      </c>
    </row>
    <row r="1657" spans="1:9" ht="27" x14ac:dyDescent="0.15">
      <c r="A1657" s="6">
        <v>1656</v>
      </c>
      <c r="B1657" s="7" t="s">
        <v>9</v>
      </c>
      <c r="C1657" s="8">
        <v>1886</v>
      </c>
      <c r="D1657" s="9">
        <v>45418</v>
      </c>
      <c r="E1657" s="13" t="str">
        <f>+HYPERLINK("http://trademark.i-assist.jp/data/china/image_1886th/77038934.pdf","77038934")</f>
        <v>77038934</v>
      </c>
      <c r="F1657" s="7" t="s">
        <v>4507</v>
      </c>
      <c r="G1657" s="7" t="s">
        <v>4508</v>
      </c>
      <c r="H1657" s="7" t="s">
        <v>4509</v>
      </c>
      <c r="I1657" s="9">
        <v>45352</v>
      </c>
    </row>
    <row r="1658" spans="1:9" x14ac:dyDescent="0.15">
      <c r="A1658" s="6">
        <v>1657</v>
      </c>
      <c r="B1658" s="7" t="s">
        <v>9</v>
      </c>
      <c r="C1658" s="8">
        <v>1886</v>
      </c>
      <c r="D1658" s="9">
        <v>45418</v>
      </c>
      <c r="E1658" s="13" t="str">
        <f>+HYPERLINK("http://trademark.i-assist.jp/data/china/image_1886th/77039836.pdf","77039836")</f>
        <v>77039836</v>
      </c>
      <c r="F1658" s="7" t="s">
        <v>4510</v>
      </c>
      <c r="G1658" s="7" t="s">
        <v>4475</v>
      </c>
      <c r="H1658" s="7" t="s">
        <v>4511</v>
      </c>
      <c r="I1658" s="9">
        <v>45352</v>
      </c>
    </row>
    <row r="1659" spans="1:9" x14ac:dyDescent="0.15">
      <c r="A1659" s="6">
        <v>1658</v>
      </c>
      <c r="B1659" s="7" t="s">
        <v>9</v>
      </c>
      <c r="C1659" s="8">
        <v>1886</v>
      </c>
      <c r="D1659" s="9">
        <v>45418</v>
      </c>
      <c r="E1659" s="13" t="str">
        <f>+HYPERLINK("http://trademark.i-assist.jp/data/china/image_1886th/77039979.pdf","77039979")</f>
        <v>77039979</v>
      </c>
      <c r="F1659" s="7" t="s">
        <v>4512</v>
      </c>
      <c r="G1659" s="7" t="s">
        <v>4513</v>
      </c>
      <c r="H1659" s="7" t="s">
        <v>4514</v>
      </c>
      <c r="I1659" s="9">
        <v>45352</v>
      </c>
    </row>
    <row r="1660" spans="1:9" x14ac:dyDescent="0.15">
      <c r="A1660" s="6">
        <v>1659</v>
      </c>
      <c r="B1660" s="7" t="s">
        <v>9</v>
      </c>
      <c r="C1660" s="8">
        <v>1886</v>
      </c>
      <c r="D1660" s="9">
        <v>45418</v>
      </c>
      <c r="E1660" s="13" t="str">
        <f>+HYPERLINK("http://trademark.i-assist.jp/data/china/image_1886th/77040070.pdf","77040070")</f>
        <v>77040070</v>
      </c>
      <c r="F1660" s="7" t="s">
        <v>4515</v>
      </c>
      <c r="G1660" s="7" t="s">
        <v>4516</v>
      </c>
      <c r="H1660" s="7" t="s">
        <v>4517</v>
      </c>
      <c r="I1660" s="9">
        <v>45352</v>
      </c>
    </row>
    <row r="1661" spans="1:9" x14ac:dyDescent="0.15">
      <c r="A1661" s="6">
        <v>1660</v>
      </c>
      <c r="B1661" s="7" t="s">
        <v>9</v>
      </c>
      <c r="C1661" s="8">
        <v>1886</v>
      </c>
      <c r="D1661" s="9">
        <v>45418</v>
      </c>
      <c r="E1661" s="13" t="str">
        <f>+HYPERLINK("http://trademark.i-assist.jp/data/china/image_1886th/77040080.pdf","77040080")</f>
        <v>77040080</v>
      </c>
      <c r="F1661" s="7" t="s">
        <v>4518</v>
      </c>
      <c r="G1661" s="7" t="s">
        <v>4519</v>
      </c>
      <c r="H1661" s="7" t="s">
        <v>4520</v>
      </c>
      <c r="I1661" s="9">
        <v>45352</v>
      </c>
    </row>
    <row r="1662" spans="1:9" x14ac:dyDescent="0.15">
      <c r="A1662" s="6">
        <v>1661</v>
      </c>
      <c r="B1662" s="7" t="s">
        <v>9</v>
      </c>
      <c r="C1662" s="8">
        <v>1886</v>
      </c>
      <c r="D1662" s="9">
        <v>45418</v>
      </c>
      <c r="E1662" s="13" t="str">
        <f>+HYPERLINK("http://trademark.i-assist.jp/data/china/image_1886th/77041833.pdf","77041833")</f>
        <v>77041833</v>
      </c>
      <c r="F1662" s="7" t="s">
        <v>4521</v>
      </c>
      <c r="G1662" s="7" t="s">
        <v>4496</v>
      </c>
      <c r="H1662" s="7" t="s">
        <v>4522</v>
      </c>
      <c r="I1662" s="9">
        <v>45352</v>
      </c>
    </row>
    <row r="1663" spans="1:9" x14ac:dyDescent="0.15">
      <c r="A1663" s="6">
        <v>1662</v>
      </c>
      <c r="B1663" s="7" t="s">
        <v>9</v>
      </c>
      <c r="C1663" s="8">
        <v>1886</v>
      </c>
      <c r="D1663" s="9">
        <v>45418</v>
      </c>
      <c r="E1663" s="13" t="str">
        <f>+HYPERLINK("http://trademark.i-assist.jp/data/china/image_1886th/77041938.pdf","77041938")</f>
        <v>77041938</v>
      </c>
      <c r="F1663" s="7" t="s">
        <v>4523</v>
      </c>
      <c r="G1663" s="7" t="s">
        <v>4524</v>
      </c>
      <c r="H1663" s="7" t="s">
        <v>4525</v>
      </c>
      <c r="I1663" s="9">
        <v>45352</v>
      </c>
    </row>
    <row r="1664" spans="1:9" x14ac:dyDescent="0.15">
      <c r="A1664" s="6">
        <v>1663</v>
      </c>
      <c r="B1664" s="7" t="s">
        <v>9</v>
      </c>
      <c r="C1664" s="8">
        <v>1886</v>
      </c>
      <c r="D1664" s="9">
        <v>45418</v>
      </c>
      <c r="E1664" s="13" t="str">
        <f>+HYPERLINK("http://trademark.i-assist.jp/data/china/image_1886th/77042597.pdf","77042597")</f>
        <v>77042597</v>
      </c>
      <c r="F1664" s="7" t="s">
        <v>4526</v>
      </c>
      <c r="G1664" s="7" t="s">
        <v>4527</v>
      </c>
      <c r="H1664" s="7" t="s">
        <v>4528</v>
      </c>
      <c r="I1664" s="9">
        <v>45352</v>
      </c>
    </row>
    <row r="1665" spans="1:9" x14ac:dyDescent="0.15">
      <c r="A1665" s="6">
        <v>1664</v>
      </c>
      <c r="B1665" s="7" t="s">
        <v>9</v>
      </c>
      <c r="C1665" s="8">
        <v>1886</v>
      </c>
      <c r="D1665" s="9">
        <v>45418</v>
      </c>
      <c r="E1665" s="13" t="str">
        <f>+HYPERLINK("http://trademark.i-assist.jp/data/china/image_1886th/77042604.pdf","77042604")</f>
        <v>77042604</v>
      </c>
      <c r="F1665" s="7" t="s">
        <v>4529</v>
      </c>
      <c r="G1665" s="7" t="s">
        <v>4530</v>
      </c>
      <c r="H1665" s="7" t="s">
        <v>4531</v>
      </c>
      <c r="I1665" s="9">
        <v>45352</v>
      </c>
    </row>
    <row r="1666" spans="1:9" x14ac:dyDescent="0.15">
      <c r="A1666" s="6">
        <v>1665</v>
      </c>
      <c r="B1666" s="7" t="s">
        <v>9</v>
      </c>
      <c r="C1666" s="8">
        <v>1886</v>
      </c>
      <c r="D1666" s="9">
        <v>45418</v>
      </c>
      <c r="E1666" s="13" t="str">
        <f>+HYPERLINK("http://trademark.i-assist.jp/data/china/image_1886th/77042914.pdf","77042914")</f>
        <v>77042914</v>
      </c>
      <c r="F1666" s="7" t="s">
        <v>4532</v>
      </c>
      <c r="G1666" s="7" t="s">
        <v>4533</v>
      </c>
      <c r="H1666" s="7" t="s">
        <v>4534</v>
      </c>
      <c r="I1666" s="9">
        <v>45352</v>
      </c>
    </row>
    <row r="1667" spans="1:9" x14ac:dyDescent="0.15">
      <c r="A1667" s="6">
        <v>1666</v>
      </c>
      <c r="B1667" s="7" t="s">
        <v>9</v>
      </c>
      <c r="C1667" s="8">
        <v>1886</v>
      </c>
      <c r="D1667" s="9">
        <v>45418</v>
      </c>
      <c r="E1667" s="13" t="str">
        <f>+HYPERLINK("http://trademark.i-assist.jp/data/china/image_1886th/77043457.pdf","77043457")</f>
        <v>77043457</v>
      </c>
      <c r="F1667" s="7" t="s">
        <v>4535</v>
      </c>
      <c r="G1667" s="7" t="s">
        <v>4519</v>
      </c>
      <c r="H1667" s="7" t="s">
        <v>4536</v>
      </c>
      <c r="I1667" s="9">
        <v>45352</v>
      </c>
    </row>
    <row r="1668" spans="1:9" x14ac:dyDescent="0.15">
      <c r="A1668" s="6">
        <v>1667</v>
      </c>
      <c r="B1668" s="7" t="s">
        <v>9</v>
      </c>
      <c r="C1668" s="8">
        <v>1886</v>
      </c>
      <c r="D1668" s="9">
        <v>45418</v>
      </c>
      <c r="E1668" s="13" t="str">
        <f>+HYPERLINK("http://trademark.i-assist.jp/data/china/image_1886th/77044108.pdf","77044108")</f>
        <v>77044108</v>
      </c>
      <c r="F1668" s="7" t="s">
        <v>4537</v>
      </c>
      <c r="G1668" s="7" t="s">
        <v>4538</v>
      </c>
      <c r="H1668" s="7" t="s">
        <v>4539</v>
      </c>
      <c r="I1668" s="9">
        <v>45352</v>
      </c>
    </row>
    <row r="1669" spans="1:9" x14ac:dyDescent="0.15">
      <c r="A1669" s="6">
        <v>1668</v>
      </c>
      <c r="B1669" s="7" t="s">
        <v>9</v>
      </c>
      <c r="C1669" s="8">
        <v>1886</v>
      </c>
      <c r="D1669" s="9">
        <v>45418</v>
      </c>
      <c r="E1669" s="13" t="str">
        <f>+HYPERLINK("http://trademark.i-assist.jp/data/china/image_1886th/77045849.pdf","77045849")</f>
        <v>77045849</v>
      </c>
      <c r="F1669" s="7" t="s">
        <v>4540</v>
      </c>
      <c r="G1669" s="7" t="s">
        <v>4541</v>
      </c>
      <c r="H1669" s="7" t="s">
        <v>4542</v>
      </c>
      <c r="I1669" s="9">
        <v>45352</v>
      </c>
    </row>
    <row r="1670" spans="1:9" x14ac:dyDescent="0.15">
      <c r="A1670" s="6">
        <v>1669</v>
      </c>
      <c r="B1670" s="7" t="s">
        <v>9</v>
      </c>
      <c r="C1670" s="8">
        <v>1886</v>
      </c>
      <c r="D1670" s="9">
        <v>45418</v>
      </c>
      <c r="E1670" s="13" t="str">
        <f>+HYPERLINK("http://trademark.i-assist.jp/data/china/image_1886th/77045859.pdf","77045859")</f>
        <v>77045859</v>
      </c>
      <c r="F1670" s="7" t="s">
        <v>4543</v>
      </c>
      <c r="G1670" s="7" t="s">
        <v>4544</v>
      </c>
      <c r="H1670" s="7" t="s">
        <v>4545</v>
      </c>
      <c r="I1670" s="9">
        <v>45352</v>
      </c>
    </row>
    <row r="1671" spans="1:9" x14ac:dyDescent="0.15">
      <c r="A1671" s="6">
        <v>1670</v>
      </c>
      <c r="B1671" s="7" t="s">
        <v>9</v>
      </c>
      <c r="C1671" s="8">
        <v>1886</v>
      </c>
      <c r="D1671" s="9">
        <v>45418</v>
      </c>
      <c r="E1671" s="13" t="str">
        <f>+HYPERLINK("http://trademark.i-assist.jp/data/china/image_1886th/77045914.pdf","77045914")</f>
        <v>77045914</v>
      </c>
      <c r="F1671" s="7" t="s">
        <v>4546</v>
      </c>
      <c r="G1671" s="7" t="s">
        <v>4431</v>
      </c>
      <c r="H1671" s="7" t="s">
        <v>4547</v>
      </c>
      <c r="I1671" s="9">
        <v>45352</v>
      </c>
    </row>
    <row r="1672" spans="1:9" x14ac:dyDescent="0.15">
      <c r="A1672" s="6">
        <v>1671</v>
      </c>
      <c r="B1672" s="7" t="s">
        <v>9</v>
      </c>
      <c r="C1672" s="8">
        <v>1886</v>
      </c>
      <c r="D1672" s="9">
        <v>45418</v>
      </c>
      <c r="E1672" s="13" t="str">
        <f>+HYPERLINK("http://trademark.i-assist.jp/data/china/image_1886th/77046905.pdf","77046905")</f>
        <v>77046905</v>
      </c>
      <c r="F1672" s="7" t="s">
        <v>4548</v>
      </c>
      <c r="G1672" s="7" t="s">
        <v>4549</v>
      </c>
      <c r="H1672" s="7" t="s">
        <v>4550</v>
      </c>
      <c r="I1672" s="9">
        <v>45352</v>
      </c>
    </row>
    <row r="1673" spans="1:9" x14ac:dyDescent="0.15">
      <c r="A1673" s="6">
        <v>1672</v>
      </c>
      <c r="B1673" s="7" t="s">
        <v>9</v>
      </c>
      <c r="C1673" s="8">
        <v>1886</v>
      </c>
      <c r="D1673" s="9">
        <v>45418</v>
      </c>
      <c r="E1673" s="13" t="str">
        <f>+HYPERLINK("http://trademark.i-assist.jp/data/china/image_1886th/77048355.pdf","77048355")</f>
        <v>77048355</v>
      </c>
      <c r="F1673" s="7" t="s">
        <v>4551</v>
      </c>
      <c r="G1673" s="7" t="s">
        <v>4552</v>
      </c>
      <c r="H1673" s="7" t="s">
        <v>4553</v>
      </c>
      <c r="I1673" s="9">
        <v>45352</v>
      </c>
    </row>
    <row r="1674" spans="1:9" x14ac:dyDescent="0.15">
      <c r="A1674" s="6">
        <v>1673</v>
      </c>
      <c r="B1674" s="7" t="s">
        <v>9</v>
      </c>
      <c r="C1674" s="8">
        <v>1886</v>
      </c>
      <c r="D1674" s="9">
        <v>45418</v>
      </c>
      <c r="E1674" s="13" t="str">
        <f>+HYPERLINK("http://trademark.i-assist.jp/data/china/image_1886th/77049307.pdf","77049307")</f>
        <v>77049307</v>
      </c>
      <c r="F1674" s="7" t="s">
        <v>4554</v>
      </c>
      <c r="G1674" s="7" t="s">
        <v>4555</v>
      </c>
      <c r="H1674" s="7" t="s">
        <v>4556</v>
      </c>
      <c r="I1674" s="9">
        <v>45352</v>
      </c>
    </row>
    <row r="1675" spans="1:9" x14ac:dyDescent="0.15">
      <c r="A1675" s="6">
        <v>1674</v>
      </c>
      <c r="B1675" s="7" t="s">
        <v>9</v>
      </c>
      <c r="C1675" s="8">
        <v>1886</v>
      </c>
      <c r="D1675" s="9">
        <v>45418</v>
      </c>
      <c r="E1675" s="13" t="str">
        <f>+HYPERLINK("http://trademark.i-assist.jp/data/china/image_1886th/77049651.pdf","77049651")</f>
        <v>77049651</v>
      </c>
      <c r="F1675" s="7" t="s">
        <v>4557</v>
      </c>
      <c r="G1675" s="7" t="s">
        <v>4558</v>
      </c>
      <c r="H1675" s="7" t="s">
        <v>4559</v>
      </c>
      <c r="I1675" s="9">
        <v>45352</v>
      </c>
    </row>
    <row r="1676" spans="1:9" ht="27" x14ac:dyDescent="0.15">
      <c r="A1676" s="6">
        <v>1675</v>
      </c>
      <c r="B1676" s="7" t="s">
        <v>9</v>
      </c>
      <c r="C1676" s="8">
        <v>1886</v>
      </c>
      <c r="D1676" s="9">
        <v>45418</v>
      </c>
      <c r="E1676" s="13" t="str">
        <f>+HYPERLINK("http://trademark.i-assist.jp/data/china/image_1886th/77049744.pdf","77049744")</f>
        <v>77049744</v>
      </c>
      <c r="F1676" s="7" t="s">
        <v>33</v>
      </c>
      <c r="G1676" s="7" t="s">
        <v>4560</v>
      </c>
      <c r="H1676" s="7" t="s">
        <v>4561</v>
      </c>
      <c r="I1676" s="9">
        <v>45352</v>
      </c>
    </row>
    <row r="1677" spans="1:9" x14ac:dyDescent="0.15">
      <c r="A1677" s="6">
        <v>1676</v>
      </c>
      <c r="B1677" s="7" t="s">
        <v>9</v>
      </c>
      <c r="C1677" s="8">
        <v>1886</v>
      </c>
      <c r="D1677" s="9">
        <v>45418</v>
      </c>
      <c r="E1677" s="13" t="str">
        <f>+HYPERLINK("http://trademark.i-assist.jp/data/china/image_1886th/77050055.pdf","77050055")</f>
        <v>77050055</v>
      </c>
      <c r="F1677" s="7" t="s">
        <v>4562</v>
      </c>
      <c r="G1677" s="7" t="s">
        <v>4563</v>
      </c>
      <c r="H1677" s="7" t="s">
        <v>4564</v>
      </c>
      <c r="I1677" s="9">
        <v>45352</v>
      </c>
    </row>
    <row r="1678" spans="1:9" x14ac:dyDescent="0.15">
      <c r="A1678" s="6">
        <v>1677</v>
      </c>
      <c r="B1678" s="7" t="s">
        <v>9</v>
      </c>
      <c r="C1678" s="8">
        <v>1886</v>
      </c>
      <c r="D1678" s="9">
        <v>45418</v>
      </c>
      <c r="E1678" s="13" t="str">
        <f>+HYPERLINK("http://trademark.i-assist.jp/data/china/image_1886th/77050255.pdf","77050255")</f>
        <v>77050255</v>
      </c>
      <c r="F1678" s="7" t="s">
        <v>4565</v>
      </c>
      <c r="G1678" s="7" t="s">
        <v>4516</v>
      </c>
      <c r="H1678" s="7" t="s">
        <v>4566</v>
      </c>
      <c r="I1678" s="9">
        <v>45352</v>
      </c>
    </row>
    <row r="1679" spans="1:9" x14ac:dyDescent="0.15">
      <c r="A1679" s="6">
        <v>1678</v>
      </c>
      <c r="B1679" s="7" t="s">
        <v>9</v>
      </c>
      <c r="C1679" s="8">
        <v>1886</v>
      </c>
      <c r="D1679" s="9">
        <v>45418</v>
      </c>
      <c r="E1679" s="13" t="str">
        <f>+HYPERLINK("http://trademark.i-assist.jp/data/china/image_1886th/77050280.pdf","77050280")</f>
        <v>77050280</v>
      </c>
      <c r="F1679" s="7" t="s">
        <v>4567</v>
      </c>
      <c r="G1679" s="7" t="s">
        <v>4519</v>
      </c>
      <c r="H1679" s="7" t="s">
        <v>4568</v>
      </c>
      <c r="I1679" s="9">
        <v>45352</v>
      </c>
    </row>
    <row r="1680" spans="1:9" x14ac:dyDescent="0.15">
      <c r="A1680" s="6">
        <v>1679</v>
      </c>
      <c r="B1680" s="7" t="s">
        <v>9</v>
      </c>
      <c r="C1680" s="8">
        <v>1886</v>
      </c>
      <c r="D1680" s="9">
        <v>45418</v>
      </c>
      <c r="E1680" s="13" t="str">
        <f>+HYPERLINK("http://trademark.i-assist.jp/data/china/image_1886th/77050378.pdf","77050378")</f>
        <v>77050378</v>
      </c>
      <c r="F1680" s="7" t="s">
        <v>4569</v>
      </c>
      <c r="G1680" s="7" t="s">
        <v>4475</v>
      </c>
      <c r="H1680" s="7" t="s">
        <v>4570</v>
      </c>
      <c r="I1680" s="9">
        <v>45352</v>
      </c>
    </row>
    <row r="1681" spans="1:9" x14ac:dyDescent="0.15">
      <c r="A1681" s="6">
        <v>1680</v>
      </c>
      <c r="B1681" s="7" t="s">
        <v>9</v>
      </c>
      <c r="C1681" s="8">
        <v>1886</v>
      </c>
      <c r="D1681" s="9">
        <v>45418</v>
      </c>
      <c r="E1681" s="13" t="str">
        <f>+HYPERLINK("http://trademark.i-assist.jp/data/china/image_1886th/77050647.pdf","77050647")</f>
        <v>77050647</v>
      </c>
      <c r="F1681" s="7" t="s">
        <v>4571</v>
      </c>
      <c r="G1681" s="7" t="s">
        <v>4572</v>
      </c>
      <c r="H1681" s="7" t="s">
        <v>4573</v>
      </c>
      <c r="I1681" s="9">
        <v>45352</v>
      </c>
    </row>
    <row r="1682" spans="1:9" x14ac:dyDescent="0.15">
      <c r="A1682" s="6">
        <v>1681</v>
      </c>
      <c r="B1682" s="7" t="s">
        <v>9</v>
      </c>
      <c r="C1682" s="8">
        <v>1886</v>
      </c>
      <c r="D1682" s="9">
        <v>45418</v>
      </c>
      <c r="E1682" s="13" t="str">
        <f>+HYPERLINK("http://trademark.i-assist.jp/data/china/image_1886th/77051058.pdf","77051058")</f>
        <v>77051058</v>
      </c>
      <c r="F1682" s="7" t="s">
        <v>4574</v>
      </c>
      <c r="G1682" s="7" t="s">
        <v>4575</v>
      </c>
      <c r="H1682" s="7" t="s">
        <v>4576</v>
      </c>
      <c r="I1682" s="9">
        <v>45352</v>
      </c>
    </row>
    <row r="1683" spans="1:9" x14ac:dyDescent="0.15">
      <c r="A1683" s="6">
        <v>1682</v>
      </c>
      <c r="B1683" s="7" t="s">
        <v>9</v>
      </c>
      <c r="C1683" s="8">
        <v>1886</v>
      </c>
      <c r="D1683" s="9">
        <v>45418</v>
      </c>
      <c r="E1683" s="13" t="str">
        <f>+HYPERLINK("http://trademark.i-assist.jp/data/china/image_1886th/77051139.pdf","77051139")</f>
        <v>77051139</v>
      </c>
      <c r="F1683" s="7" t="s">
        <v>4577</v>
      </c>
      <c r="G1683" s="7" t="s">
        <v>4578</v>
      </c>
      <c r="H1683" s="7" t="s">
        <v>4579</v>
      </c>
      <c r="I1683" s="9">
        <v>45352</v>
      </c>
    </row>
    <row r="1684" spans="1:9" x14ac:dyDescent="0.15">
      <c r="A1684" s="6">
        <v>1683</v>
      </c>
      <c r="B1684" s="7" t="s">
        <v>9</v>
      </c>
      <c r="C1684" s="8">
        <v>1886</v>
      </c>
      <c r="D1684" s="9">
        <v>45418</v>
      </c>
      <c r="E1684" s="13" t="str">
        <f>+HYPERLINK("http://trademark.i-assist.jp/data/china/image_1886th/77051564.pdf","77051564")</f>
        <v>77051564</v>
      </c>
      <c r="F1684" s="7" t="s">
        <v>4580</v>
      </c>
      <c r="G1684" s="7" t="s">
        <v>4581</v>
      </c>
      <c r="H1684" s="7" t="s">
        <v>4582</v>
      </c>
      <c r="I1684" s="9">
        <v>45352</v>
      </c>
    </row>
    <row r="1685" spans="1:9" x14ac:dyDescent="0.15">
      <c r="A1685" s="6">
        <v>1684</v>
      </c>
      <c r="B1685" s="7" t="s">
        <v>9</v>
      </c>
      <c r="C1685" s="8">
        <v>1886</v>
      </c>
      <c r="D1685" s="9">
        <v>45418</v>
      </c>
      <c r="E1685" s="13" t="str">
        <f>+HYPERLINK("http://trademark.i-assist.jp/data/china/image_1886th/77051815.pdf","77051815")</f>
        <v>77051815</v>
      </c>
      <c r="F1685" s="7" t="s">
        <v>4583</v>
      </c>
      <c r="G1685" s="7" t="s">
        <v>4584</v>
      </c>
      <c r="H1685" s="7" t="s">
        <v>4585</v>
      </c>
      <c r="I1685" s="9">
        <v>45352</v>
      </c>
    </row>
    <row r="1686" spans="1:9" x14ac:dyDescent="0.15">
      <c r="A1686" s="6">
        <v>1685</v>
      </c>
      <c r="B1686" s="7" t="s">
        <v>9</v>
      </c>
      <c r="C1686" s="8">
        <v>1886</v>
      </c>
      <c r="D1686" s="9">
        <v>45418</v>
      </c>
      <c r="E1686" s="13" t="str">
        <f>+HYPERLINK("http://trademark.i-assist.jp/data/china/image_1886th/77052101.pdf","77052101")</f>
        <v>77052101</v>
      </c>
      <c r="F1686" s="7" t="s">
        <v>4586</v>
      </c>
      <c r="G1686" s="7" t="s">
        <v>4513</v>
      </c>
      <c r="H1686" s="7" t="s">
        <v>4587</v>
      </c>
      <c r="I1686" s="9">
        <v>45352</v>
      </c>
    </row>
    <row r="1687" spans="1:9" x14ac:dyDescent="0.15">
      <c r="A1687" s="6">
        <v>1686</v>
      </c>
      <c r="B1687" s="7" t="s">
        <v>9</v>
      </c>
      <c r="C1687" s="8">
        <v>1886</v>
      </c>
      <c r="D1687" s="9">
        <v>45418</v>
      </c>
      <c r="E1687" s="13" t="str">
        <f>+HYPERLINK("http://trademark.i-assist.jp/data/china/image_1886th/77052232.pdf","77052232")</f>
        <v>77052232</v>
      </c>
      <c r="F1687" s="7" t="s">
        <v>4588</v>
      </c>
      <c r="G1687" s="7" t="s">
        <v>4589</v>
      </c>
      <c r="H1687" s="7" t="s">
        <v>4590</v>
      </c>
      <c r="I1687" s="9">
        <v>45352</v>
      </c>
    </row>
    <row r="1688" spans="1:9" x14ac:dyDescent="0.15">
      <c r="A1688" s="6">
        <v>1687</v>
      </c>
      <c r="B1688" s="7" t="s">
        <v>9</v>
      </c>
      <c r="C1688" s="8">
        <v>1886</v>
      </c>
      <c r="D1688" s="9">
        <v>45418</v>
      </c>
      <c r="E1688" s="13" t="str">
        <f>+HYPERLINK("http://trademark.i-assist.jp/data/china/image_1886th/77052449.pdf","77052449")</f>
        <v>77052449</v>
      </c>
      <c r="F1688" s="7" t="s">
        <v>4591</v>
      </c>
      <c r="G1688" s="7" t="s">
        <v>4549</v>
      </c>
      <c r="H1688" s="7" t="s">
        <v>4592</v>
      </c>
      <c r="I1688" s="9">
        <v>45352</v>
      </c>
    </row>
    <row r="1689" spans="1:9" x14ac:dyDescent="0.15">
      <c r="A1689" s="6">
        <v>1688</v>
      </c>
      <c r="B1689" s="7" t="s">
        <v>9</v>
      </c>
      <c r="C1689" s="8">
        <v>1886</v>
      </c>
      <c r="D1689" s="9">
        <v>45418</v>
      </c>
      <c r="E1689" s="13" t="str">
        <f>+HYPERLINK("http://trademark.i-assist.jp/data/china/image_1886th/77052529.pdf","77052529")</f>
        <v>77052529</v>
      </c>
      <c r="F1689" s="7" t="s">
        <v>4593</v>
      </c>
      <c r="G1689" s="7" t="s">
        <v>4594</v>
      </c>
      <c r="H1689" s="7" t="s">
        <v>4595</v>
      </c>
      <c r="I1689" s="9">
        <v>45352</v>
      </c>
    </row>
    <row r="1690" spans="1:9" x14ac:dyDescent="0.15">
      <c r="A1690" s="6">
        <v>1689</v>
      </c>
      <c r="B1690" s="7" t="s">
        <v>9</v>
      </c>
      <c r="C1690" s="8">
        <v>1886</v>
      </c>
      <c r="D1690" s="9">
        <v>45418</v>
      </c>
      <c r="E1690" s="13" t="str">
        <f>+HYPERLINK("http://trademark.i-assist.jp/data/china/image_1886th/77052906.pdf","77052906")</f>
        <v>77052906</v>
      </c>
      <c r="F1690" s="7" t="s">
        <v>4596</v>
      </c>
      <c r="G1690" s="7" t="s">
        <v>4597</v>
      </c>
      <c r="H1690" s="7" t="s">
        <v>4598</v>
      </c>
      <c r="I1690" s="9">
        <v>45352</v>
      </c>
    </row>
    <row r="1691" spans="1:9" x14ac:dyDescent="0.15">
      <c r="A1691" s="6">
        <v>1690</v>
      </c>
      <c r="B1691" s="7" t="s">
        <v>9</v>
      </c>
      <c r="C1691" s="8">
        <v>1886</v>
      </c>
      <c r="D1691" s="9">
        <v>45418</v>
      </c>
      <c r="E1691" s="13" t="str">
        <f>+HYPERLINK("http://trademark.i-assist.jp/data/china/image_1886th/77053404.pdf","77053404")</f>
        <v>77053404</v>
      </c>
      <c r="F1691" s="7" t="s">
        <v>4599</v>
      </c>
      <c r="G1691" s="7" t="s">
        <v>4600</v>
      </c>
      <c r="H1691" s="7" t="s">
        <v>4601</v>
      </c>
      <c r="I1691" s="9">
        <v>45352</v>
      </c>
    </row>
    <row r="1692" spans="1:9" ht="27" x14ac:dyDescent="0.15">
      <c r="A1692" s="6">
        <v>1691</v>
      </c>
      <c r="B1692" s="7" t="s">
        <v>9</v>
      </c>
      <c r="C1692" s="8">
        <v>1886</v>
      </c>
      <c r="D1692" s="9">
        <v>45418</v>
      </c>
      <c r="E1692" s="13" t="str">
        <f>+HYPERLINK("http://trademark.i-assist.jp/data/china/image_1886th/77053638.pdf","77053638")</f>
        <v>77053638</v>
      </c>
      <c r="F1692" s="7" t="s">
        <v>4602</v>
      </c>
      <c r="G1692" s="7" t="s">
        <v>4560</v>
      </c>
      <c r="H1692" s="7" t="s">
        <v>4603</v>
      </c>
      <c r="I1692" s="9">
        <v>45352</v>
      </c>
    </row>
    <row r="1693" spans="1:9" x14ac:dyDescent="0.15">
      <c r="A1693" s="6">
        <v>1692</v>
      </c>
      <c r="B1693" s="7" t="s">
        <v>9</v>
      </c>
      <c r="C1693" s="8">
        <v>1886</v>
      </c>
      <c r="D1693" s="9">
        <v>45418</v>
      </c>
      <c r="E1693" s="13" t="str">
        <f>+HYPERLINK("http://trademark.i-assist.jp/data/china/image_1886th/77053731.pdf","77053731")</f>
        <v>77053731</v>
      </c>
      <c r="F1693" s="7" t="s">
        <v>4604</v>
      </c>
      <c r="G1693" s="7" t="s">
        <v>4475</v>
      </c>
      <c r="H1693" s="7" t="s">
        <v>4605</v>
      </c>
      <c r="I1693" s="9">
        <v>45352</v>
      </c>
    </row>
    <row r="1694" spans="1:9" x14ac:dyDescent="0.15">
      <c r="A1694" s="6">
        <v>1693</v>
      </c>
      <c r="B1694" s="7" t="s">
        <v>9</v>
      </c>
      <c r="C1694" s="8">
        <v>1886</v>
      </c>
      <c r="D1694" s="9">
        <v>45418</v>
      </c>
      <c r="E1694" s="13" t="str">
        <f>+HYPERLINK("http://trademark.i-assist.jp/data/china/image_1886th/77053793.pdf","77053793")</f>
        <v>77053793</v>
      </c>
      <c r="F1694" s="7" t="s">
        <v>4606</v>
      </c>
      <c r="G1694" s="7" t="s">
        <v>4607</v>
      </c>
      <c r="H1694" s="7" t="s">
        <v>4608</v>
      </c>
      <c r="I1694" s="9">
        <v>45352</v>
      </c>
    </row>
    <row r="1695" spans="1:9" x14ac:dyDescent="0.15">
      <c r="A1695" s="6">
        <v>1694</v>
      </c>
      <c r="B1695" s="7" t="s">
        <v>9</v>
      </c>
      <c r="C1695" s="8">
        <v>1886</v>
      </c>
      <c r="D1695" s="9">
        <v>45418</v>
      </c>
      <c r="E1695" s="13" t="str">
        <f>+HYPERLINK("http://trademark.i-assist.jp/data/china/image_1886th/77053847.pdf","77053847")</f>
        <v>77053847</v>
      </c>
      <c r="F1695" s="7" t="s">
        <v>4609</v>
      </c>
      <c r="G1695" s="7" t="s">
        <v>4572</v>
      </c>
      <c r="H1695" s="7" t="s">
        <v>4610</v>
      </c>
      <c r="I1695" s="9">
        <v>45352</v>
      </c>
    </row>
    <row r="1696" spans="1:9" x14ac:dyDescent="0.15">
      <c r="A1696" s="6">
        <v>1695</v>
      </c>
      <c r="B1696" s="7" t="s">
        <v>9</v>
      </c>
      <c r="C1696" s="8">
        <v>1886</v>
      </c>
      <c r="D1696" s="9">
        <v>45418</v>
      </c>
      <c r="E1696" s="13" t="str">
        <f>+HYPERLINK("http://trademark.i-assist.jp/data/china/image_1886th/77053867.pdf","77053867")</f>
        <v>77053867</v>
      </c>
      <c r="F1696" s="7" t="s">
        <v>4611</v>
      </c>
      <c r="G1696" s="7" t="s">
        <v>4612</v>
      </c>
      <c r="H1696" s="7" t="s">
        <v>4613</v>
      </c>
      <c r="I1696" s="9">
        <v>45352</v>
      </c>
    </row>
    <row r="1697" spans="1:9" ht="27" x14ac:dyDescent="0.15">
      <c r="A1697" s="6">
        <v>1696</v>
      </c>
      <c r="B1697" s="7" t="s">
        <v>9</v>
      </c>
      <c r="C1697" s="8">
        <v>1886</v>
      </c>
      <c r="D1697" s="9">
        <v>45418</v>
      </c>
      <c r="E1697" s="13" t="str">
        <f>+HYPERLINK("http://trademark.i-assist.jp/data/china/image_1886th/77055410.pdf","77055410")</f>
        <v>77055410</v>
      </c>
      <c r="F1697" s="7" t="s">
        <v>4614</v>
      </c>
      <c r="G1697" s="7" t="s">
        <v>4615</v>
      </c>
      <c r="H1697" s="7" t="s">
        <v>4616</v>
      </c>
      <c r="I1697" s="9">
        <v>45352</v>
      </c>
    </row>
    <row r="1698" spans="1:9" x14ac:dyDescent="0.15">
      <c r="A1698" s="6">
        <v>1697</v>
      </c>
      <c r="B1698" s="7" t="s">
        <v>9</v>
      </c>
      <c r="C1698" s="8">
        <v>1886</v>
      </c>
      <c r="D1698" s="9">
        <v>45418</v>
      </c>
      <c r="E1698" s="13" t="str">
        <f>+HYPERLINK("http://trademark.i-assist.jp/data/china/image_1886th/77055418.pdf","77055418")</f>
        <v>77055418</v>
      </c>
      <c r="F1698" s="7" t="s">
        <v>4617</v>
      </c>
      <c r="G1698" s="7" t="s">
        <v>4513</v>
      </c>
      <c r="H1698" s="7" t="s">
        <v>4618</v>
      </c>
      <c r="I1698" s="9">
        <v>45352</v>
      </c>
    </row>
    <row r="1699" spans="1:9" x14ac:dyDescent="0.15">
      <c r="A1699" s="6">
        <v>1698</v>
      </c>
      <c r="B1699" s="7" t="s">
        <v>9</v>
      </c>
      <c r="C1699" s="8">
        <v>1886</v>
      </c>
      <c r="D1699" s="9">
        <v>45418</v>
      </c>
      <c r="E1699" s="13" t="str">
        <f>+HYPERLINK("http://trademark.i-assist.jp/data/china/image_1886th/77056230.pdf","77056230")</f>
        <v>77056230</v>
      </c>
      <c r="F1699" s="7" t="s">
        <v>4619</v>
      </c>
      <c r="G1699" s="7" t="s">
        <v>4620</v>
      </c>
      <c r="H1699" s="7" t="s">
        <v>4621</v>
      </c>
      <c r="I1699" s="9">
        <v>45352</v>
      </c>
    </row>
    <row r="1700" spans="1:9" x14ac:dyDescent="0.15">
      <c r="A1700" s="6">
        <v>1699</v>
      </c>
      <c r="B1700" s="7" t="s">
        <v>9</v>
      </c>
      <c r="C1700" s="8">
        <v>1886</v>
      </c>
      <c r="D1700" s="9">
        <v>45418</v>
      </c>
      <c r="E1700" s="13" t="str">
        <f>+HYPERLINK("http://trademark.i-assist.jp/data/china/image_1886th/77056294.pdf","77056294")</f>
        <v>77056294</v>
      </c>
      <c r="F1700" s="7" t="s">
        <v>4622</v>
      </c>
      <c r="G1700" s="7" t="s">
        <v>4516</v>
      </c>
      <c r="H1700" s="7" t="s">
        <v>4623</v>
      </c>
      <c r="I1700" s="9">
        <v>45352</v>
      </c>
    </row>
    <row r="1701" spans="1:9" x14ac:dyDescent="0.15">
      <c r="A1701" s="6">
        <v>1700</v>
      </c>
      <c r="B1701" s="7" t="s">
        <v>9</v>
      </c>
      <c r="C1701" s="8">
        <v>1886</v>
      </c>
      <c r="D1701" s="9">
        <v>45418</v>
      </c>
      <c r="E1701" s="13" t="str">
        <f>+HYPERLINK("http://trademark.i-assist.jp/data/china/image_1886th/77056296.pdf","77056296")</f>
        <v>77056296</v>
      </c>
      <c r="F1701" s="7" t="s">
        <v>4624</v>
      </c>
      <c r="G1701" s="7" t="s">
        <v>4625</v>
      </c>
      <c r="H1701" s="7" t="s">
        <v>4626</v>
      </c>
      <c r="I1701" s="9">
        <v>45352</v>
      </c>
    </row>
    <row r="1702" spans="1:9" x14ac:dyDescent="0.15">
      <c r="A1702" s="6">
        <v>1701</v>
      </c>
      <c r="B1702" s="7" t="s">
        <v>9</v>
      </c>
      <c r="C1702" s="8">
        <v>1886</v>
      </c>
      <c r="D1702" s="9">
        <v>45418</v>
      </c>
      <c r="E1702" s="13" t="str">
        <f>+HYPERLINK("http://trademark.i-assist.jp/data/china/image_1886th/77056298.pdf","77056298")</f>
        <v>77056298</v>
      </c>
      <c r="F1702" s="7" t="s">
        <v>4627</v>
      </c>
      <c r="G1702" s="7" t="s">
        <v>4628</v>
      </c>
      <c r="H1702" s="7" t="s">
        <v>4629</v>
      </c>
      <c r="I1702" s="9">
        <v>45352</v>
      </c>
    </row>
    <row r="1703" spans="1:9" x14ac:dyDescent="0.15">
      <c r="A1703" s="6">
        <v>1702</v>
      </c>
      <c r="B1703" s="7" t="s">
        <v>9</v>
      </c>
      <c r="C1703" s="8">
        <v>1886</v>
      </c>
      <c r="D1703" s="9">
        <v>45418</v>
      </c>
      <c r="E1703" s="13" t="str">
        <f>+HYPERLINK("http://trademark.i-assist.jp/data/china/image_1886th/77056352.pdf","77056352")</f>
        <v>77056352</v>
      </c>
      <c r="F1703" s="7" t="s">
        <v>4630</v>
      </c>
      <c r="G1703" s="7" t="s">
        <v>4572</v>
      </c>
      <c r="H1703" s="7" t="s">
        <v>4631</v>
      </c>
      <c r="I1703" s="9">
        <v>45352</v>
      </c>
    </row>
    <row r="1704" spans="1:9" x14ac:dyDescent="0.15">
      <c r="A1704" s="6">
        <v>1703</v>
      </c>
      <c r="B1704" s="7" t="s">
        <v>9</v>
      </c>
      <c r="C1704" s="8">
        <v>1886</v>
      </c>
      <c r="D1704" s="9">
        <v>45418</v>
      </c>
      <c r="E1704" s="13" t="str">
        <f>+HYPERLINK("http://trademark.i-assist.jp/data/china/image_1886th/77056442.pdf","77056442")</f>
        <v>77056442</v>
      </c>
      <c r="F1704" s="7" t="s">
        <v>4632</v>
      </c>
      <c r="G1704" s="7" t="s">
        <v>4475</v>
      </c>
      <c r="H1704" s="7" t="s">
        <v>4633</v>
      </c>
      <c r="I1704" s="9">
        <v>45352</v>
      </c>
    </row>
    <row r="1705" spans="1:9" x14ac:dyDescent="0.15">
      <c r="A1705" s="6">
        <v>1704</v>
      </c>
      <c r="B1705" s="7" t="s">
        <v>9</v>
      </c>
      <c r="C1705" s="8">
        <v>1886</v>
      </c>
      <c r="D1705" s="9">
        <v>45418</v>
      </c>
      <c r="E1705" s="13" t="str">
        <f>+HYPERLINK("http://trademark.i-assist.jp/data/china/image_1886th/77056462.pdf","77056462")</f>
        <v>77056462</v>
      </c>
      <c r="F1705" s="7" t="s">
        <v>4634</v>
      </c>
      <c r="G1705" s="7" t="s">
        <v>4475</v>
      </c>
      <c r="H1705" s="7" t="s">
        <v>4635</v>
      </c>
      <c r="I1705" s="9">
        <v>45352</v>
      </c>
    </row>
    <row r="1706" spans="1:9" x14ac:dyDescent="0.15">
      <c r="A1706" s="6">
        <v>1705</v>
      </c>
      <c r="B1706" s="7" t="s">
        <v>9</v>
      </c>
      <c r="C1706" s="8">
        <v>1886</v>
      </c>
      <c r="D1706" s="9">
        <v>45418</v>
      </c>
      <c r="E1706" s="13" t="str">
        <f>+HYPERLINK("http://trademark.i-assist.jp/data/china/image_1886th/77058837.pdf","77058837")</f>
        <v>77058837</v>
      </c>
      <c r="F1706" s="7" t="s">
        <v>4636</v>
      </c>
      <c r="G1706" s="7" t="s">
        <v>4637</v>
      </c>
      <c r="H1706" s="7" t="s">
        <v>4638</v>
      </c>
      <c r="I1706" s="9">
        <v>45352</v>
      </c>
    </row>
    <row r="1707" spans="1:9" x14ac:dyDescent="0.15">
      <c r="A1707" s="6">
        <v>1706</v>
      </c>
      <c r="B1707" s="7" t="s">
        <v>9</v>
      </c>
      <c r="C1707" s="8">
        <v>1886</v>
      </c>
      <c r="D1707" s="9">
        <v>45418</v>
      </c>
      <c r="E1707" s="13" t="str">
        <f>+HYPERLINK("http://trademark.i-assist.jp/data/china/image_1886th/77058909.pdf","77058909")</f>
        <v>77058909</v>
      </c>
      <c r="F1707" s="7" t="s">
        <v>4639</v>
      </c>
      <c r="G1707" s="7" t="s">
        <v>4640</v>
      </c>
      <c r="H1707" s="7" t="s">
        <v>4641</v>
      </c>
      <c r="I1707" s="9">
        <v>45352</v>
      </c>
    </row>
    <row r="1708" spans="1:9" x14ac:dyDescent="0.15">
      <c r="A1708" s="6">
        <v>1707</v>
      </c>
      <c r="B1708" s="7" t="s">
        <v>9</v>
      </c>
      <c r="C1708" s="8">
        <v>1886</v>
      </c>
      <c r="D1708" s="9">
        <v>45418</v>
      </c>
      <c r="E1708" s="13" t="str">
        <f>+HYPERLINK("http://trademark.i-assist.jp/data/china/image_1886th/77058979.pdf","77058979")</f>
        <v>77058979</v>
      </c>
      <c r="F1708" s="7" t="s">
        <v>4642</v>
      </c>
      <c r="G1708" s="7" t="s">
        <v>4643</v>
      </c>
      <c r="H1708" s="7" t="s">
        <v>4644</v>
      </c>
      <c r="I1708" s="9">
        <v>45352</v>
      </c>
    </row>
    <row r="1709" spans="1:9" x14ac:dyDescent="0.15">
      <c r="A1709" s="6">
        <v>1708</v>
      </c>
      <c r="B1709" s="7" t="s">
        <v>9</v>
      </c>
      <c r="C1709" s="8">
        <v>1886</v>
      </c>
      <c r="D1709" s="9">
        <v>45418</v>
      </c>
      <c r="E1709" s="13" t="str">
        <f>+HYPERLINK("http://trademark.i-assist.jp/data/china/image_1886th/77060934.pdf","77060934")</f>
        <v>77060934</v>
      </c>
      <c r="F1709" s="7" t="s">
        <v>4645</v>
      </c>
      <c r="G1709" s="7" t="s">
        <v>4572</v>
      </c>
      <c r="H1709" s="7" t="s">
        <v>4646</v>
      </c>
      <c r="I1709" s="9">
        <v>45352</v>
      </c>
    </row>
    <row r="1710" spans="1:9" x14ac:dyDescent="0.15">
      <c r="A1710" s="6">
        <v>1709</v>
      </c>
      <c r="B1710" s="7" t="s">
        <v>9</v>
      </c>
      <c r="C1710" s="8">
        <v>1886</v>
      </c>
      <c r="D1710" s="9">
        <v>45418</v>
      </c>
      <c r="E1710" s="13" t="str">
        <f>+HYPERLINK("http://trademark.i-assist.jp/data/china/image_1886th/77060990.pdf","77060990")</f>
        <v>77060990</v>
      </c>
      <c r="F1710" s="7" t="s">
        <v>4647</v>
      </c>
      <c r="G1710" s="7" t="s">
        <v>4475</v>
      </c>
      <c r="H1710" s="7" t="s">
        <v>4648</v>
      </c>
      <c r="I1710" s="9">
        <v>45352</v>
      </c>
    </row>
    <row r="1711" spans="1:9" x14ac:dyDescent="0.15">
      <c r="A1711" s="6">
        <v>1710</v>
      </c>
      <c r="B1711" s="7" t="s">
        <v>9</v>
      </c>
      <c r="C1711" s="8">
        <v>1886</v>
      </c>
      <c r="D1711" s="9">
        <v>45418</v>
      </c>
      <c r="E1711" s="13" t="str">
        <f>+HYPERLINK("http://trademark.i-assist.jp/data/china/image_1886th/77061056.pdf","77061056")</f>
        <v>77061056</v>
      </c>
      <c r="F1711" s="7" t="s">
        <v>4649</v>
      </c>
      <c r="G1711" s="7" t="s">
        <v>4475</v>
      </c>
      <c r="H1711" s="7" t="s">
        <v>4650</v>
      </c>
      <c r="I1711" s="9">
        <v>45352</v>
      </c>
    </row>
    <row r="1712" spans="1:9" x14ac:dyDescent="0.15">
      <c r="A1712" s="6">
        <v>1711</v>
      </c>
      <c r="B1712" s="7" t="s">
        <v>9</v>
      </c>
      <c r="C1712" s="8">
        <v>1886</v>
      </c>
      <c r="D1712" s="9">
        <v>45418</v>
      </c>
      <c r="E1712" s="13" t="str">
        <f>+HYPERLINK("http://trademark.i-assist.jp/data/china/image_1886th/77061165.pdf","77061165")</f>
        <v>77061165</v>
      </c>
      <c r="F1712" s="7" t="s">
        <v>4651</v>
      </c>
      <c r="G1712" s="7" t="s">
        <v>4513</v>
      </c>
      <c r="H1712" s="7" t="s">
        <v>4652</v>
      </c>
      <c r="I1712" s="9">
        <v>45352</v>
      </c>
    </row>
    <row r="1713" spans="1:9" x14ac:dyDescent="0.15">
      <c r="A1713" s="6">
        <v>1712</v>
      </c>
      <c r="B1713" s="7" t="s">
        <v>9</v>
      </c>
      <c r="C1713" s="8">
        <v>1886</v>
      </c>
      <c r="D1713" s="9">
        <v>45418</v>
      </c>
      <c r="E1713" s="13" t="str">
        <f>+HYPERLINK("http://trademark.i-assist.jp/data/china/image_1886th/77061266.pdf","77061266")</f>
        <v>77061266</v>
      </c>
      <c r="F1713" s="7" t="s">
        <v>4653</v>
      </c>
      <c r="G1713" s="7" t="s">
        <v>4654</v>
      </c>
      <c r="H1713" s="7" t="s">
        <v>4655</v>
      </c>
      <c r="I1713" s="9">
        <v>45352</v>
      </c>
    </row>
    <row r="1714" spans="1:9" x14ac:dyDescent="0.15">
      <c r="A1714" s="6">
        <v>1713</v>
      </c>
      <c r="B1714" s="7" t="s">
        <v>9</v>
      </c>
      <c r="C1714" s="8">
        <v>1886</v>
      </c>
      <c r="D1714" s="9">
        <v>45418</v>
      </c>
      <c r="E1714" s="13" t="str">
        <f>+HYPERLINK("http://trademark.i-assist.jp/data/china/image_1886th/77061474.pdf","77061474")</f>
        <v>77061474</v>
      </c>
      <c r="F1714" s="7" t="s">
        <v>4656</v>
      </c>
      <c r="G1714" s="7" t="s">
        <v>4657</v>
      </c>
      <c r="H1714" s="7" t="s">
        <v>4658</v>
      </c>
      <c r="I1714" s="9">
        <v>45352</v>
      </c>
    </row>
    <row r="1715" spans="1:9" x14ac:dyDescent="0.15">
      <c r="A1715" s="6">
        <v>1714</v>
      </c>
      <c r="B1715" s="7" t="s">
        <v>9</v>
      </c>
      <c r="C1715" s="8">
        <v>1886</v>
      </c>
      <c r="D1715" s="9">
        <v>45418</v>
      </c>
      <c r="E1715" s="13" t="str">
        <f>+HYPERLINK("http://trademark.i-assist.jp/data/china/image_1886th/77062575.pdf","77062575")</f>
        <v>77062575</v>
      </c>
      <c r="F1715" s="7" t="s">
        <v>4659</v>
      </c>
      <c r="G1715" s="7" t="s">
        <v>4660</v>
      </c>
      <c r="H1715" s="7" t="s">
        <v>4661</v>
      </c>
      <c r="I1715" s="9">
        <v>45352</v>
      </c>
    </row>
    <row r="1716" spans="1:9" x14ac:dyDescent="0.15">
      <c r="A1716" s="6">
        <v>1715</v>
      </c>
      <c r="B1716" s="7" t="s">
        <v>9</v>
      </c>
      <c r="C1716" s="8">
        <v>1886</v>
      </c>
      <c r="D1716" s="9">
        <v>45418</v>
      </c>
      <c r="E1716" s="13" t="str">
        <f>+HYPERLINK("http://trademark.i-assist.jp/data/china/image_1886th/77063102.pdf","77063102")</f>
        <v>77063102</v>
      </c>
      <c r="F1716" s="7" t="s">
        <v>4662</v>
      </c>
      <c r="G1716" s="7" t="s">
        <v>4663</v>
      </c>
      <c r="H1716" s="7" t="s">
        <v>4664</v>
      </c>
      <c r="I1716" s="9">
        <v>45353</v>
      </c>
    </row>
    <row r="1717" spans="1:9" ht="27" x14ac:dyDescent="0.15">
      <c r="A1717" s="6">
        <v>1716</v>
      </c>
      <c r="B1717" s="7" t="s">
        <v>9</v>
      </c>
      <c r="C1717" s="8">
        <v>1886</v>
      </c>
      <c r="D1717" s="9">
        <v>45418</v>
      </c>
      <c r="E1717" s="13" t="str">
        <f>+HYPERLINK("http://trademark.i-assist.jp/data/china/image_1886th/77063918.pdf","77063918")</f>
        <v>77063918</v>
      </c>
      <c r="F1717" s="7" t="s">
        <v>4665</v>
      </c>
      <c r="G1717" s="7" t="s">
        <v>4666</v>
      </c>
      <c r="H1717" s="7" t="s">
        <v>4667</v>
      </c>
      <c r="I1717" s="9">
        <v>45353</v>
      </c>
    </row>
    <row r="1718" spans="1:9" x14ac:dyDescent="0.15">
      <c r="A1718" s="6">
        <v>1717</v>
      </c>
      <c r="B1718" s="7" t="s">
        <v>9</v>
      </c>
      <c r="C1718" s="8">
        <v>1886</v>
      </c>
      <c r="D1718" s="9">
        <v>45418</v>
      </c>
      <c r="E1718" s="13" t="str">
        <f>+HYPERLINK("http://trademark.i-assist.jp/data/china/image_1886th/77064037.pdf","77064037")</f>
        <v>77064037</v>
      </c>
      <c r="F1718" s="7" t="s">
        <v>4668</v>
      </c>
      <c r="G1718" s="7" t="s">
        <v>4669</v>
      </c>
      <c r="H1718" s="7" t="s">
        <v>4670</v>
      </c>
      <c r="I1718" s="9">
        <v>45353</v>
      </c>
    </row>
    <row r="1719" spans="1:9" x14ac:dyDescent="0.15">
      <c r="A1719" s="6">
        <v>1718</v>
      </c>
      <c r="B1719" s="7" t="s">
        <v>9</v>
      </c>
      <c r="C1719" s="8">
        <v>1886</v>
      </c>
      <c r="D1719" s="9">
        <v>45418</v>
      </c>
      <c r="E1719" s="13" t="str">
        <f>+HYPERLINK("http://trademark.i-assist.jp/data/china/image_1886th/77064235.pdf","77064235")</f>
        <v>77064235</v>
      </c>
      <c r="F1719" s="7" t="s">
        <v>4671</v>
      </c>
      <c r="G1719" s="7" t="s">
        <v>4672</v>
      </c>
      <c r="H1719" s="7" t="s">
        <v>4673</v>
      </c>
      <c r="I1719" s="9">
        <v>45353</v>
      </c>
    </row>
    <row r="1720" spans="1:9" x14ac:dyDescent="0.15">
      <c r="A1720" s="6">
        <v>1719</v>
      </c>
      <c r="B1720" s="7" t="s">
        <v>9</v>
      </c>
      <c r="C1720" s="8">
        <v>1886</v>
      </c>
      <c r="D1720" s="9">
        <v>45418</v>
      </c>
      <c r="E1720" s="13" t="str">
        <f>+HYPERLINK("http://trademark.i-assist.jp/data/china/image_1886th/77064358.pdf","77064358")</f>
        <v>77064358</v>
      </c>
      <c r="F1720" s="7" t="s">
        <v>4674</v>
      </c>
      <c r="G1720" s="7" t="s">
        <v>4675</v>
      </c>
      <c r="H1720" s="7" t="s">
        <v>4676</v>
      </c>
      <c r="I1720" s="9">
        <v>45353</v>
      </c>
    </row>
    <row r="1721" spans="1:9" x14ac:dyDescent="0.15">
      <c r="A1721" s="6">
        <v>1720</v>
      </c>
      <c r="B1721" s="7" t="s">
        <v>9</v>
      </c>
      <c r="C1721" s="8">
        <v>1886</v>
      </c>
      <c r="D1721" s="9">
        <v>45418</v>
      </c>
      <c r="E1721" s="13" t="str">
        <f>+HYPERLINK("http://trademark.i-assist.jp/data/china/image_1886th/77064547.pdf","77064547")</f>
        <v>77064547</v>
      </c>
      <c r="F1721" s="7" t="s">
        <v>4677</v>
      </c>
      <c r="G1721" s="7" t="s">
        <v>4678</v>
      </c>
      <c r="H1721" s="7" t="s">
        <v>4679</v>
      </c>
      <c r="I1721" s="9">
        <v>45353</v>
      </c>
    </row>
    <row r="1722" spans="1:9" x14ac:dyDescent="0.15">
      <c r="A1722" s="6">
        <v>1721</v>
      </c>
      <c r="B1722" s="7" t="s">
        <v>9</v>
      </c>
      <c r="C1722" s="8">
        <v>1886</v>
      </c>
      <c r="D1722" s="9">
        <v>45418</v>
      </c>
      <c r="E1722" s="13" t="str">
        <f>+HYPERLINK("http://trademark.i-assist.jp/data/china/image_1886th/77064610.pdf","77064610")</f>
        <v>77064610</v>
      </c>
      <c r="F1722" s="7" t="s">
        <v>4680</v>
      </c>
      <c r="G1722" s="7" t="s">
        <v>4681</v>
      </c>
      <c r="H1722" s="7" t="s">
        <v>4682</v>
      </c>
      <c r="I1722" s="9">
        <v>45353</v>
      </c>
    </row>
    <row r="1723" spans="1:9" x14ac:dyDescent="0.15">
      <c r="A1723" s="6">
        <v>1722</v>
      </c>
      <c r="B1723" s="7" t="s">
        <v>9</v>
      </c>
      <c r="C1723" s="8">
        <v>1886</v>
      </c>
      <c r="D1723" s="9">
        <v>45418</v>
      </c>
      <c r="E1723" s="13" t="str">
        <f>+HYPERLINK("http://trademark.i-assist.jp/data/china/image_1886th/77064715.pdf","77064715")</f>
        <v>77064715</v>
      </c>
      <c r="F1723" s="7" t="s">
        <v>4683</v>
      </c>
      <c r="G1723" s="7" t="s">
        <v>4684</v>
      </c>
      <c r="H1723" s="7" t="s">
        <v>4685</v>
      </c>
      <c r="I1723" s="9">
        <v>45353</v>
      </c>
    </row>
    <row r="1724" spans="1:9" x14ac:dyDescent="0.15">
      <c r="A1724" s="6">
        <v>1723</v>
      </c>
      <c r="B1724" s="7" t="s">
        <v>9</v>
      </c>
      <c r="C1724" s="8">
        <v>1886</v>
      </c>
      <c r="D1724" s="9">
        <v>45418</v>
      </c>
      <c r="E1724" s="13" t="str">
        <f>+HYPERLINK("http://trademark.i-assist.jp/data/china/image_1886th/77064768.pdf","77064768")</f>
        <v>77064768</v>
      </c>
      <c r="F1724" s="7" t="s">
        <v>4686</v>
      </c>
      <c r="G1724" s="7" t="s">
        <v>4687</v>
      </c>
      <c r="H1724" s="7" t="s">
        <v>4688</v>
      </c>
      <c r="I1724" s="9">
        <v>45353</v>
      </c>
    </row>
    <row r="1725" spans="1:9" x14ac:dyDescent="0.15">
      <c r="A1725" s="6">
        <v>1724</v>
      </c>
      <c r="B1725" s="7" t="s">
        <v>9</v>
      </c>
      <c r="C1725" s="8">
        <v>1886</v>
      </c>
      <c r="D1725" s="9">
        <v>45418</v>
      </c>
      <c r="E1725" s="13" t="str">
        <f>+HYPERLINK("http://trademark.i-assist.jp/data/china/image_1886th/77064961.pdf","77064961")</f>
        <v>77064961</v>
      </c>
      <c r="F1725" s="7" t="s">
        <v>4689</v>
      </c>
      <c r="G1725" s="7" t="s">
        <v>4690</v>
      </c>
      <c r="H1725" s="7" t="s">
        <v>4691</v>
      </c>
      <c r="I1725" s="9">
        <v>45353</v>
      </c>
    </row>
    <row r="1726" spans="1:9" ht="27" x14ac:dyDescent="0.15">
      <c r="A1726" s="6">
        <v>1725</v>
      </c>
      <c r="B1726" s="7" t="s">
        <v>9</v>
      </c>
      <c r="C1726" s="8">
        <v>1886</v>
      </c>
      <c r="D1726" s="9">
        <v>45418</v>
      </c>
      <c r="E1726" s="13" t="str">
        <f>+HYPERLINK("http://trademark.i-assist.jp/data/china/image_1886th/77065139.pdf","77065139")</f>
        <v>77065139</v>
      </c>
      <c r="F1726" s="7" t="s">
        <v>4692</v>
      </c>
      <c r="G1726" s="7" t="s">
        <v>4693</v>
      </c>
      <c r="H1726" s="7" t="s">
        <v>4694</v>
      </c>
      <c r="I1726" s="9">
        <v>45353</v>
      </c>
    </row>
    <row r="1727" spans="1:9" ht="27" x14ac:dyDescent="0.15">
      <c r="A1727" s="6">
        <v>1726</v>
      </c>
      <c r="B1727" s="7" t="s">
        <v>9</v>
      </c>
      <c r="C1727" s="8">
        <v>1886</v>
      </c>
      <c r="D1727" s="9">
        <v>45418</v>
      </c>
      <c r="E1727" s="13" t="str">
        <f>+HYPERLINK("http://trademark.i-assist.jp/data/china/image_1886th/77065554.pdf","77065554")</f>
        <v>77065554</v>
      </c>
      <c r="F1727" s="7" t="s">
        <v>4695</v>
      </c>
      <c r="G1727" s="7" t="s">
        <v>4696</v>
      </c>
      <c r="H1727" s="7" t="s">
        <v>4697</v>
      </c>
      <c r="I1727" s="9">
        <v>45353</v>
      </c>
    </row>
    <row r="1728" spans="1:9" x14ac:dyDescent="0.15">
      <c r="A1728" s="6">
        <v>1727</v>
      </c>
      <c r="B1728" s="7" t="s">
        <v>9</v>
      </c>
      <c r="C1728" s="8">
        <v>1886</v>
      </c>
      <c r="D1728" s="9">
        <v>45418</v>
      </c>
      <c r="E1728" s="13" t="str">
        <f>+HYPERLINK("http://trademark.i-assist.jp/data/china/image_1886th/77065635.pdf","77065635")</f>
        <v>77065635</v>
      </c>
      <c r="F1728" s="7" t="s">
        <v>4698</v>
      </c>
      <c r="G1728" s="7" t="s">
        <v>4699</v>
      </c>
      <c r="H1728" s="7" t="s">
        <v>4700</v>
      </c>
      <c r="I1728" s="9">
        <v>45353</v>
      </c>
    </row>
    <row r="1729" spans="1:9" x14ac:dyDescent="0.15">
      <c r="A1729" s="6">
        <v>1728</v>
      </c>
      <c r="B1729" s="7" t="s">
        <v>9</v>
      </c>
      <c r="C1729" s="8">
        <v>1886</v>
      </c>
      <c r="D1729" s="9">
        <v>45418</v>
      </c>
      <c r="E1729" s="13" t="str">
        <f>+HYPERLINK("http://trademark.i-assist.jp/data/china/image_1886th/77067794.pdf","77067794")</f>
        <v>77067794</v>
      </c>
      <c r="F1729" s="7" t="s">
        <v>4701</v>
      </c>
      <c r="G1729" s="7" t="s">
        <v>4681</v>
      </c>
      <c r="H1729" s="7" t="s">
        <v>4702</v>
      </c>
      <c r="I1729" s="9">
        <v>45353</v>
      </c>
    </row>
    <row r="1730" spans="1:9" x14ac:dyDescent="0.15">
      <c r="A1730" s="6">
        <v>1729</v>
      </c>
      <c r="B1730" s="7" t="s">
        <v>9</v>
      </c>
      <c r="C1730" s="8">
        <v>1886</v>
      </c>
      <c r="D1730" s="9">
        <v>45418</v>
      </c>
      <c r="E1730" s="13" t="str">
        <f>+HYPERLINK("http://trademark.i-assist.jp/data/china/image_1886th/77068468.pdf","77068468")</f>
        <v>77068468</v>
      </c>
      <c r="F1730" s="7" t="s">
        <v>4703</v>
      </c>
      <c r="G1730" s="7" t="s">
        <v>4704</v>
      </c>
      <c r="H1730" s="7" t="s">
        <v>4705</v>
      </c>
      <c r="I1730" s="9">
        <v>45353</v>
      </c>
    </row>
    <row r="1731" spans="1:9" x14ac:dyDescent="0.15">
      <c r="A1731" s="6">
        <v>1730</v>
      </c>
      <c r="B1731" s="7" t="s">
        <v>9</v>
      </c>
      <c r="C1731" s="8">
        <v>1886</v>
      </c>
      <c r="D1731" s="9">
        <v>45418</v>
      </c>
      <c r="E1731" s="13" t="str">
        <f>+HYPERLINK("http://trademark.i-assist.jp/data/china/image_1886th/77068528.pdf","77068528")</f>
        <v>77068528</v>
      </c>
      <c r="F1731" s="7" t="s">
        <v>4706</v>
      </c>
      <c r="G1731" s="7" t="s">
        <v>4707</v>
      </c>
      <c r="H1731" s="7" t="s">
        <v>4708</v>
      </c>
      <c r="I1731" s="9">
        <v>45353</v>
      </c>
    </row>
    <row r="1732" spans="1:9" x14ac:dyDescent="0.15">
      <c r="A1732" s="6">
        <v>1731</v>
      </c>
      <c r="B1732" s="7" t="s">
        <v>9</v>
      </c>
      <c r="C1732" s="8">
        <v>1886</v>
      </c>
      <c r="D1732" s="9">
        <v>45418</v>
      </c>
      <c r="E1732" s="13" t="str">
        <f>+HYPERLINK("http://trademark.i-assist.jp/data/china/image_1886th/77068576.pdf","77068576")</f>
        <v>77068576</v>
      </c>
      <c r="F1732" s="7" t="s">
        <v>4709</v>
      </c>
      <c r="G1732" s="7" t="s">
        <v>4710</v>
      </c>
      <c r="H1732" s="7" t="s">
        <v>4711</v>
      </c>
      <c r="I1732" s="9">
        <v>45353</v>
      </c>
    </row>
    <row r="1733" spans="1:9" x14ac:dyDescent="0.15">
      <c r="A1733" s="6">
        <v>1732</v>
      </c>
      <c r="B1733" s="7" t="s">
        <v>9</v>
      </c>
      <c r="C1733" s="8">
        <v>1886</v>
      </c>
      <c r="D1733" s="9">
        <v>45418</v>
      </c>
      <c r="E1733" s="13" t="str">
        <f>+HYPERLINK("http://trademark.i-assist.jp/data/china/image_1886th/77068938.pdf","77068938")</f>
        <v>77068938</v>
      </c>
      <c r="F1733" s="7" t="s">
        <v>4712</v>
      </c>
      <c r="G1733" s="7" t="s">
        <v>4669</v>
      </c>
      <c r="H1733" s="7" t="s">
        <v>4713</v>
      </c>
      <c r="I1733" s="9">
        <v>45353</v>
      </c>
    </row>
    <row r="1734" spans="1:9" x14ac:dyDescent="0.15">
      <c r="A1734" s="6">
        <v>1733</v>
      </c>
      <c r="B1734" s="7" t="s">
        <v>9</v>
      </c>
      <c r="C1734" s="8">
        <v>1886</v>
      </c>
      <c r="D1734" s="9">
        <v>45418</v>
      </c>
      <c r="E1734" s="13" t="str">
        <f>+HYPERLINK("http://trademark.i-assist.jp/data/china/image_1886th/77069110.pdf","77069110")</f>
        <v>77069110</v>
      </c>
      <c r="F1734" s="7" t="s">
        <v>4714</v>
      </c>
      <c r="G1734" s="7" t="s">
        <v>4704</v>
      </c>
      <c r="H1734" s="7" t="s">
        <v>4715</v>
      </c>
      <c r="I1734" s="9">
        <v>45353</v>
      </c>
    </row>
  </sheetData>
  <phoneticPr fontId="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1886th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IA-99</cp:lastModifiedBy>
  <dcterms:created xsi:type="dcterms:W3CDTF">2018-08-31T07:51:48Z</dcterms:created>
  <dcterms:modified xsi:type="dcterms:W3CDTF">2024-12-04T07:01:11Z</dcterms:modified>
</cp:coreProperties>
</file>