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8160901-5870-4147-B551-503B171784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84th" sheetId="3" r:id="rId1"/>
  </sheets>
  <calcPr calcId="191029"/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</calcChain>
</file>

<file path=xl/sharedStrings.xml><?xml version="1.0" encoding="utf-8"?>
<sst xmlns="http://schemas.openxmlformats.org/spreadsheetml/2006/main" count="7699" uniqueCount="5136">
  <si>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</si>
  <si>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</si>
  <si>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</si>
  <si>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</si>
  <si>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</si>
  <si>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</si>
  <si>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</si>
  <si>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</si>
  <si>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</si>
  <si>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</si>
  <si>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格拉斯哥威士忌有限公司</t>
  </si>
  <si>
    <t>肖殿美</t>
  </si>
  <si>
    <t>林杰</t>
  </si>
  <si>
    <t>赵红艳</t>
  </si>
  <si>
    <t>刘勇</t>
  </si>
  <si>
    <t>韩晔</t>
  </si>
  <si>
    <t>邱雪英</t>
  </si>
  <si>
    <t>黄恩恩</t>
  </si>
  <si>
    <t>庄藏</t>
  </si>
  <si>
    <t>汪加豪</t>
  </si>
  <si>
    <t>王明彬</t>
  </si>
  <si>
    <t>刘晨</t>
  </si>
  <si>
    <t>林涛</t>
  </si>
  <si>
    <t>胡可超</t>
  </si>
  <si>
    <t>盛江</t>
  </si>
  <si>
    <t>刘岩</t>
  </si>
  <si>
    <t>李舒婷</t>
  </si>
  <si>
    <t>戚高峰</t>
  </si>
  <si>
    <t>王超</t>
  </si>
  <si>
    <t>袁子俊</t>
  </si>
  <si>
    <t>内蒙古青云米品零售有限公司</t>
  </si>
  <si>
    <t>晏林</t>
  </si>
  <si>
    <t>曾修付</t>
  </si>
  <si>
    <t>成都仟金食品有限公司</t>
  </si>
  <si>
    <t>川物集(四川)品牌管理有限公司</t>
  </si>
  <si>
    <t>曾玉琴</t>
  </si>
  <si>
    <t>卓文桐</t>
  </si>
  <si>
    <t>劲牌有限公司</t>
  </si>
  <si>
    <t>十年磨一剑</t>
  </si>
  <si>
    <t>白酒; 蒸馏饮料; 开胃酒; 食用酒精; 利口酒; 葡萄酒; 酒精饮料（啤酒除外）; 果酒（含酒精）; 烈酒（饮料）; 烧酒 查看详细信息</t>
  </si>
  <si>
    <t>十年一剑</t>
  </si>
  <si>
    <t>开胃酒; 食用酒精; 烧酒; 葡萄酒; 蒸馏饮料; 果酒（含酒精）; 烈酒（饮料）; 利口酒; 白酒; 酒精饮料（啤酒除外） 查看详细信息</t>
  </si>
  <si>
    <t>CAILLEACH</t>
  </si>
  <si>
    <t>威士忌; 酒精饮料（啤酒除外）; 预先混合的酒精饮料（以啤酒为主的除外）; 烈酒（饮料）; 利口酒; 谷物制蒸馏酒精饮料 查看详细信息</t>
  </si>
  <si>
    <t>云南伍贰壹茶业有限公司</t>
  </si>
  <si>
    <t>酒与世界 LIQUOR WITH THE WORLD</t>
  </si>
  <si>
    <t>果酒（含酒精）; 汽酒; 米酒; 威士忌; 鸡尾酒; 开胃酒; 白酒; 黄酒; 葡萄酒; 红葡萄酒 查看详细信息</t>
  </si>
  <si>
    <t>黄成毅522121********7213</t>
  </si>
  <si>
    <t>小卒盟</t>
  </si>
  <si>
    <t>白酒; 黄酒; 酒精饮料原汁; 威士忌; 青稞酒; 米酒; 高粱酒; 葡萄酒; 鸡尾酒; 果酒（含酒精） 查看详细信息</t>
  </si>
  <si>
    <t>深圳市开心一点食品饮料有限公司</t>
  </si>
  <si>
    <t>光悦</t>
  </si>
  <si>
    <t>葡萄酒; 红葡萄酒; 蒸煮提取物（利口酒和烈酒）; 黄酒; 蒸馏饮料; 白兰地; 酒精饮料（啤酒除外）; 以葡萄酒为主的饮料; 白酒; 果酒（含酒精） 查看详细信息</t>
  </si>
  <si>
    <t>李文文</t>
  </si>
  <si>
    <t>贵纪</t>
  </si>
  <si>
    <t>果酒（含酒精）; 蒸馏饮料; 葡萄酒; 酒精饮料（啤酒除外）; 白酒; 青稞酒; 黄酒; 食用酒精; 烧酒; 米酒 查看详细信息</t>
  </si>
  <si>
    <t>广州展贸商贸有限公司</t>
  </si>
  <si>
    <t>福种琅嬛</t>
  </si>
  <si>
    <t>白酒; 白葡萄酒; 红葡萄酒; 利口酒; 白兰地; 黄酒; 米酒; 果酒（含酒精）; 清酒（日本米酒）; 伏特加酒; 威士忌 查看详细信息</t>
  </si>
  <si>
    <t>山东省旅游推广中心</t>
  </si>
  <si>
    <t>沿着黄河遇见海</t>
  </si>
  <si>
    <t>果酒（含酒精）; 葡萄酒; 白兰地; 清酒（日本米酒）; 白酒; 含水果酒精饮料; 预先混合的酒精饮料（以啤酒为主的除外）; 以葡萄酒为主的饮料; 黄酒; 酒精饮料（啤酒除外） 查看详细信息</t>
  </si>
  <si>
    <t>贵州省壹品天泉酒业有限公司</t>
  </si>
  <si>
    <t>壹品天泉</t>
  </si>
  <si>
    <t>果酒（含酒精）; 开胃酒; 苹果酒; 清酒（日本米酒）; 黄酒; 葡萄酒; 米酒; 白酒; 烧酒; 威士忌 查看详细信息</t>
  </si>
  <si>
    <t>星艳敏</t>
  </si>
  <si>
    <t>王派</t>
  </si>
  <si>
    <t>青稞酒; 白酒; 果酒（含酒精）; 苦味酒; 烧酒; 葡萄酒; 白兰地; 威士忌; 酒精饮料（啤酒除外）; 开胃酒 查看详细信息</t>
  </si>
  <si>
    <t>广州市番禺区大石友善电子商务商行（个体工商户）</t>
  </si>
  <si>
    <t>潭王府</t>
  </si>
  <si>
    <t>白酒; 烧酒; 白兰地; 黄酒; 威士忌; 米酒; 果酒（含酒精）; 清酒（日本米酒）; 鸡尾酒; 葡萄酒 查看详细信息</t>
  </si>
  <si>
    <t>张掖市维力商贸有限责任公司</t>
  </si>
  <si>
    <t>金张液</t>
  </si>
  <si>
    <t>果酒（含酒精）; 葡萄酒; 蒸馏饮料; 含酒精的水果鸡尾酒饮料; 开胃酒; 白酒; 蜂蜜酒; 黄酒; 烧酒; 米酒 查看详细信息</t>
  </si>
  <si>
    <t>湖北天宥文化传媒有限公司</t>
  </si>
  <si>
    <t>黄小邪</t>
  </si>
  <si>
    <t>含酒精水果饮料; 黄酒; 葡萄酒; 烈酒; 果酒; 食用酒精; 烧酒; 酒精饮料（啤酒除外）; 白酒; 米酒 查看详细信息</t>
  </si>
  <si>
    <t>杭州随喜健康科技发展有限公司</t>
  </si>
  <si>
    <t>谢贵人</t>
  </si>
  <si>
    <t>清酒; 黄酒; 白酒; 汽酒; 果酒（含酒精）; 食用酒精; 由谷物蒸馏的白酒; 含酒精的饮料（啤酒除外）; 葡萄酒; 烈酒 查看详细信息</t>
  </si>
  <si>
    <t>河南桐丘酒业有限责任公司</t>
  </si>
  <si>
    <t>华豫柳河湾</t>
  </si>
  <si>
    <t>利口酒; 果酒（含酒精）; 酒精饮料（啤酒除外）; 葡萄酒; 老酒（中国蒸馏烈酒）; 黄酒; 米酒; 烧酒; 白酒; 烈酒（饮料） 查看详细信息</t>
  </si>
  <si>
    <t>曹春丽</t>
  </si>
  <si>
    <t>囩</t>
  </si>
  <si>
    <t>米酒; 烈酒（饮料）; 白兰地; 青稞酒; 烧酒; 蒸馏饮料; 谷物制蒸馏酒精饮料; 威士忌; 黄酒; 白酒 查看详细信息</t>
  </si>
  <si>
    <t>华富（厦门）酒业有限公司</t>
  </si>
  <si>
    <t>华富海兰</t>
  </si>
  <si>
    <t>果酒（含酒精）; 白酒; 伏特加酒; 白兰地; 利口酒; 烧酒; 葡萄酒; 含水果酒精饮料; 威士忌; 鸡尾酒 查看详细信息</t>
  </si>
  <si>
    <t>偈盛酒业股份有限公司</t>
  </si>
  <si>
    <t>杨柳偈盛烧房</t>
  </si>
  <si>
    <t>果酒（含酒精）; 白酒; 烧酒; 黄酒; 酒精饮料（啤酒除外）; 米酒; 白兰地; 葡萄酒; 威士忌; 清酒（日本米酒） 查看详细信息</t>
  </si>
  <si>
    <t>古街偈盛烧房</t>
  </si>
  <si>
    <t>烧酒; 威士忌; 葡萄酒; 黄酒; 白兰地; 果酒（含酒精）; 清酒（日本米酒）; 白酒; 米酒; 酒精饮料（啤酒除外） 查看详细信息</t>
  </si>
  <si>
    <t>杨柳偈盛烧坊</t>
  </si>
  <si>
    <t>黄酒; 米酒; 白酒; 葡萄酒; 白兰地; 威士忌; 酒精饮料（啤酒除外）; 烧酒; 果酒（含酒精）; 清酒（日本米酒） 查看详细信息</t>
  </si>
  <si>
    <t>安徽古井贡酒股份有限公司</t>
  </si>
  <si>
    <t>V6 古井贡酒</t>
  </si>
  <si>
    <t>葡萄酒; 烧酒; 白酒; 果酒（含酒精）; 酒精饮料（啤酒除外）; 朗姆酒; 黄酒; 米酒; 威士忌; 鸡尾酒 查看详细信息</t>
  </si>
  <si>
    <t>宁夏紫驼峰商贸有限公司</t>
  </si>
  <si>
    <t>骁冠</t>
  </si>
  <si>
    <t>烧酒; 黄酒; 烈酒（饮料）; 葡萄酒; 开胃酒; 酒精饮料（啤酒除外）; 含水果酒精饮料; 米酒; 鸡尾酒; 白酒 查看详细信息</t>
  </si>
  <si>
    <t>舍得酒业股份有限公司</t>
  </si>
  <si>
    <t>三维标志</t>
  </si>
  <si>
    <t>酒精饮料原汁; 利口酒; 烧酒; 白酒; 开胃酒; 果酒（含酒精）; 食用酒精; 酒精饮料（啤酒除外）; 葡萄酒; 蒸煮提取物（利口酒和烈酒） 查看详细信息</t>
  </si>
  <si>
    <t>白酒; 果酒（含酒精）; 开胃酒; 利口酒; 食用酒精; 烧酒; 酒精饮料（啤酒除外）; 酒精饮料原汁; 葡萄酒; 蒸煮提取物（利口酒和烈酒） 查看详细信息</t>
  </si>
  <si>
    <t>任怀明</t>
  </si>
  <si>
    <t>一品菲凡</t>
  </si>
  <si>
    <t>烈酒（饮料）; 米酒; 果酒（含酒精）; 葡萄酒; 烧酒; 白酒; 开胃酒; 利口酒; 酒精饮料（啤酒除外）; 黄酒 查看详细信息</t>
  </si>
  <si>
    <t>石俊峰</t>
  </si>
  <si>
    <t>首皇龙</t>
  </si>
  <si>
    <t>果酒（含酒精）; 酒精饮料（啤酒除外）; 葡萄酒; 樱桃酒; 烧酒; 白酒; 开胃酒; 苹果酒; 酒精饮料原汁; 米酒 查看详细信息</t>
  </si>
  <si>
    <t>吕梁天凯农牧科技服务有限公司</t>
  </si>
  <si>
    <t>徽宴贡</t>
  </si>
  <si>
    <t>含酒精的饮料（啤酒除外）; 黄酒; 白干酒（中国白酒）; 葡萄酒; 威士忌; 果酒; 鸡尾酒; 米酒; 高粱酒; 白酒 查看详细信息</t>
  </si>
  <si>
    <t>井冈山半亩方塘文化发展有限公司</t>
  </si>
  <si>
    <t>半亩方塘</t>
  </si>
  <si>
    <t>含水果酒精饮料; 白酒; 葡萄酒; 黄酒; 烧酒; 利口酒; 酒精饮料（啤酒除外）; 清酒; 米酒; 果酒（含酒精） 查看详细信息</t>
  </si>
  <si>
    <t>唐山市博世德医疗器械有限公司</t>
  </si>
  <si>
    <t>艾全护</t>
  </si>
  <si>
    <t>葡萄酒; 白酒; 食用酒精; 烧酒; 利口酒; 米酒; 蒸馏饮料; 果酒（含酒精）; 开胃酒; 酒精饮料（啤酒除外） 查看详细信息</t>
  </si>
  <si>
    <t>罗思柏丽葡萄酒私人有限公司</t>
  </si>
  <si>
    <t>CALI RED</t>
  </si>
  <si>
    <t>葡萄酒; 烈酒（饮料）; 白酒; 餐后酒（利口酒和烈酒）; 白兰地; 加烈葡萄酒; 起泡红葡萄酒; 葡萄汽酒; 起泡白葡萄酒; 酒精饮料（啤酒除外） 查看详细信息</t>
  </si>
  <si>
    <t>湖北李时珍中医药控股集团管理有限公司</t>
  </si>
  <si>
    <t>煲小燕</t>
  </si>
  <si>
    <t>葡萄酒; 米酒; 由谷物蒸馏的白酒; 果酒（含酒精）; 酒精饮料（啤酒除外）; 老酒（中国蒸馏烈酒）; 谷物制蒸馏酒精饮料; 蒸馏饮料; 烈酒（饮料）; 黄酒 查看详细信息</t>
  </si>
  <si>
    <t>桃妍令</t>
  </si>
  <si>
    <t>中药材; 医用草本提取物; 膏剂; 中药成药; 医药制剂; 婴儿食品; 营养补充剂; 净化剂; 兽医用制剂; 灭微生物剂; 医用眼罩; 牙用光洁剂; 宠物尿布 查看详细信息</t>
  </si>
  <si>
    <t>美滋嗖</t>
  </si>
  <si>
    <t>医疗诊所服务; 保健咨询; 配药咨询; 健康评估服务; 医院; 医疗护理; 按摩; 动物养殖; 植物养护; 卫生设备出租 查看详细信息</t>
  </si>
  <si>
    <t>汉浆偈盛</t>
  </si>
  <si>
    <t>烧酒; 米酒; 威士忌; 白兰地; 酒精饮料（啤酒除外）; 葡萄酒; 果酒（含酒精）; 黄酒; 清酒（日本米酒）; 白酒 查看详细信息</t>
  </si>
  <si>
    <t>清贡偈盛烧房</t>
  </si>
  <si>
    <t>烧酒; 米酒; 白酒; 葡萄酒; 白兰地; 黄酒; 清酒（日本米酒）; 威士忌; 酒精饮料（啤酒除外）; 果酒（含酒精） 查看详细信息</t>
  </si>
  <si>
    <t>沈建文</t>
  </si>
  <si>
    <t>沈派甄选</t>
  </si>
  <si>
    <t>果酒（含酒精）; 葡萄酒; 烈酒（饮料）; 白兰地; 利口酒; 米酒; 白酒; 清酒; 鸡尾酒; 含水果酒精饮料 查看详细信息</t>
  </si>
  <si>
    <t>沈派好礼</t>
  </si>
  <si>
    <t>葡萄酒; 果酒（含酒精）; 鸡尾酒; 烈酒（饮料）; 清酒; 白酒; 利口酒; 朗姆酒; 米酒; 酒精饮料（啤酒除外） 查看详细信息</t>
  </si>
  <si>
    <t>观山湖区雅言真意贸易工作室</t>
  </si>
  <si>
    <t>笨小孩</t>
  </si>
  <si>
    <t>米酒; 蜂蜜酒; 烧酒; 酒精饮料原汁; 蒸煮提取物（利口酒和烈酒）; 食用酒精; 黄酒; 葡萄酒; 清酒; 酒精饮料（啤酒除外） 查看详细信息</t>
  </si>
  <si>
    <t>中国贵州茅台酒厂（集团）有限责任公司</t>
  </si>
  <si>
    <t>茅香情</t>
  </si>
  <si>
    <t>黄酒; 白酒; 烧酒; 米酒; 烈酒（饮料）; 食用酒精; 果酒（含酒精）; 酒精饮料（啤酒除外）; 清酒（日本米酒）; 蒸馏饮料 查看详细信息</t>
  </si>
  <si>
    <t>陕西秦典数字科技有限公司</t>
  </si>
  <si>
    <t>秦典</t>
  </si>
  <si>
    <t>果酒; 白酒; 高粱酒; 清酒; 米酒; 食用酒精; 黄酒; 白干酒（中国白酒）; 老酒（中国蒸馏烈酒）; 烧酒 查看详细信息</t>
  </si>
  <si>
    <t>北京中数书画频道科技管理有限公司</t>
  </si>
  <si>
    <t>大美之春</t>
  </si>
  <si>
    <t>果酒（含酒精）; 米酒; 以葡萄酒为主的饮料; 朗姆酒; 汽酒; 黄酒; 烧酒; 白酒; 青稞酒; 烈酒（饮料） 查看详细信息</t>
  </si>
  <si>
    <t>四特酒有限责任公司</t>
  </si>
  <si>
    <t>烈酒（饮料）; 鸡尾酒; 葡萄酒; 酒精饮料（啤酒除外）; 汽酒; 米酒; 烧酒; 黄酒; 白酒; 果酒（含酒精） 查看详细信息</t>
  </si>
  <si>
    <t>烧酒; 伏特加酒; 葡萄酒; 含水果酒精饮料; 白酒; 利口酒; 鸡尾酒; 威士忌; 果酒（含酒精）; 白兰地 查看详细信息</t>
  </si>
  <si>
    <t>贵州语隆酒业有限公司</t>
  </si>
  <si>
    <t>语隆红飘带</t>
  </si>
  <si>
    <t>果酒; 烧酒; 清酒; 白酒; 黄酒; 烈酒（饮料）; 米酒; 葡萄酒; 蒸馏饮料; 食用酒精 查看详细信息</t>
  </si>
  <si>
    <t>广东阳明山人酒业有限公司</t>
  </si>
  <si>
    <t>阳明山</t>
  </si>
  <si>
    <t>葡萄酒; 鸡尾酒; 白酒; 米酒; 烧酒; 果酒（含酒精）; 清酒（日本米酒）; 预先混合的酒精饮料（以啤酒为主的除外）; 伏特加酒; 烈酒（饮料） 查看详细信息</t>
  </si>
  <si>
    <t>张亚</t>
  </si>
  <si>
    <t>启洪王大师</t>
  </si>
  <si>
    <t>白酒; 五加皮酒（中国混合烈酒）; 黄酒; 烈酒（饮料）; 米酒; 白干酒（中国白酒）; 蒸煮提取物（利口酒和烈酒）; 烧酒; 老酒（中国蒸馏烈酒）; 红葡萄酒 查看详细信息</t>
  </si>
  <si>
    <t>启洪王大爷</t>
  </si>
  <si>
    <t>老酒（中国蒸馏烈酒）; 烈酒（饮料）; 米酒; 黄酒; 白酒; 烧酒; 白干酒（中国白酒）; 五加皮酒（中国混合烈酒）; 红葡萄酒; 蒸煮提取物（利口酒和烈酒） 查看详细信息</t>
  </si>
  <si>
    <t>品为先文化（北京）有限公司</t>
  </si>
  <si>
    <t>图形</t>
  </si>
  <si>
    <t>老酒（中国蒸馏烈酒）; 烧酒; 蜂蜜酒; 白酒; 蒸煮提取物（利口酒和烈酒）; 米酒; 预先混合的酒精饮料（以啤酒为主的除外）; 清酒（日本米酒）; 果酒（含酒精）; 烈酒 查看详细信息</t>
  </si>
  <si>
    <t>郑州弯道餐饮管理有限公司</t>
  </si>
  <si>
    <t>苏麻茶姑</t>
  </si>
  <si>
    <t>米酒; 黄酒; 白酒; 开胃酒; 烧酒; 果酒; 酒精饮料（啤酒除外）; 葡萄酒; 白兰地; 利口酒 查看详细信息</t>
  </si>
  <si>
    <t>张家口曹冠酒业有限公司</t>
  </si>
  <si>
    <t>曹冠</t>
  </si>
  <si>
    <t>酒精饮料（啤酒除外）; 蒸煮提取物（利口酒和烈酒）; 米酒; 烧酒; 白酒; 鸡尾酒; 葡萄酒; 果酒（含酒精）; 汽酒; 食用酒精 查看详细信息</t>
  </si>
  <si>
    <t>酒精饮料（啤酒除外）; 白兰地; 烧酒; 白酒; 米酒; 葡萄酒; 果酒（含酒精）; 黄酒; 威士忌; 清酒（日本米酒） 查看详细信息</t>
  </si>
  <si>
    <t>哆比品牌管理（东莞）有限公司</t>
  </si>
  <si>
    <t>旅行青蛙</t>
  </si>
  <si>
    <t>酒精饮料（啤酒除外）; 葡萄酒; 果酒（含酒精）; 白酒; 黄酒; 鸡尾酒; 威士忌; 蒸煮提取物（利口酒和烈酒）; 清酒（日本米酒）; 米酒 查看详细信息</t>
  </si>
  <si>
    <t>北京毓星文化有限公司</t>
  </si>
  <si>
    <t>毓</t>
  </si>
  <si>
    <t>蒸馏饮料; 酒精饮料（啤酒除外）; 含水果酒精饮料; 果酒（含酒精）; 白酒; 清酒（日本米酒）; 米酒; 以葡萄酒为主的饮料; 黄酒; 葡萄酒 查看详细信息</t>
  </si>
  <si>
    <t>胡小丽</t>
  </si>
  <si>
    <t>汉舞典礼</t>
  </si>
  <si>
    <t>白酒; 果酒; 青稞酒; 白干酒（中国白酒）; 老酒（中国蒸馏烈酒）; 黄酒; 清酒; 烧酒; 烈酒; 米酒 查看详细信息</t>
  </si>
  <si>
    <t>黑菁子王家启洪</t>
  </si>
  <si>
    <t>蒸煮提取物（利口酒和烈酒）; 米酒; 老酒（中国蒸馏烈酒）; 烧酒; 烈酒（饮料）; 红葡萄酒; 白酒; 白干酒（中国白酒）; 黄酒; 五加皮酒（中国混合烈酒） 查看详细信息</t>
  </si>
  <si>
    <t>海南酒赴盛名企业管理中心（有限合伙）</t>
  </si>
  <si>
    <t>大家</t>
  </si>
  <si>
    <t>高粱酒; 米酒; 红葡萄酒; 清酒; 食用酒精; 白兰地; 白酒; 烧酒; 樱桃酒; 清酒（日本米酒）; 果酒; 白葡萄酒; 老酒（中国蒸馏烈酒）; 白干酒（中国白酒）; 果酒（含酒精）; 威士忌; 由谷物蒸馏的白酒; 含酒精的饮料（啤酒除外） 查看详细信息</t>
  </si>
  <si>
    <t>华富海兰酒庄</t>
  </si>
  <si>
    <t>鸡尾酒; 利口酒; 果酒（含酒精）; 伏特加酒; 白酒; 含水果酒精饮料; 白兰地; 烧酒; 威士忌; 葡萄酒 查看详细信息</t>
  </si>
  <si>
    <t>重庆张凤仙餐饮管理有限公司</t>
  </si>
  <si>
    <t>藏羊王</t>
  </si>
  <si>
    <t>米酒; 青稞酒; 黄酒; 食用酒精; 葡萄酒; 汽酒; 烧酒; 蒸煮提取物（利口酒和烈酒）; 鸡尾酒; 白酒 查看详细信息</t>
  </si>
  <si>
    <t>陕西国熙台酒业有限公司</t>
  </si>
  <si>
    <t>G073</t>
  </si>
  <si>
    <t>威士忌; 白酒; 鸡尾酒; 葡萄酒; 开胃酒; 米酒; 黄酒; 食用酒精; 烧酒; 果酒（含酒精） 查看详细信息</t>
  </si>
  <si>
    <t>金海钦</t>
  </si>
  <si>
    <t>楠溪江</t>
  </si>
  <si>
    <t>烧酒; 葡萄酒; 谷物制蒸馏酒精饮料; 白酒; 白兰地; 黄酒; 烈酒（饮料）; 酒精饮料（啤酒除外）; 果酒（含酒精）; 米酒 查看详细信息</t>
  </si>
  <si>
    <t>G079</t>
  </si>
  <si>
    <t>白酒; 葡萄酒; 米酒; 黄酒; 烧酒; 威士忌; 食用酒精; 开胃酒; 果酒（含酒精）; 鸡尾酒 查看详细信息</t>
  </si>
  <si>
    <t>G078</t>
  </si>
  <si>
    <t>白酒; 葡萄酒; 果酒（含酒精）; 黄酒; 开胃酒; 鸡尾酒; 米酒; 食用酒精; 烧酒; 威士忌 查看详细信息</t>
  </si>
  <si>
    <t>潮州法朵陶瓷科技有限公司</t>
  </si>
  <si>
    <t>诸事醇</t>
  </si>
  <si>
    <t>红葡萄酒; 白兰地; 白酒; 鸡尾酒; 烧酒; 苹果酒; 烈性干酒; 米酒; 果酒; 葡萄酒 查看详细信息</t>
  </si>
  <si>
    <t>孙冬梅</t>
  </si>
  <si>
    <t>姐妹福</t>
  </si>
  <si>
    <t>米酒; 酒精饮料（啤酒除外）; 葡萄酒; 白酒; 果酒（含酒精）; 烈酒; 鸡尾酒; 蒸馏饮料; 烧酒; 威士忌 查看详细信息</t>
  </si>
  <si>
    <t>宋智</t>
  </si>
  <si>
    <t>牌翁山</t>
  </si>
  <si>
    <t>白酒; 黄酒; 朗姆酒; 白兰地; 果酒（含酒精）; 威士忌; 烈酒（饮料）; 食用酒精; 伏特加酒; 葡萄酒 查看详细信息</t>
  </si>
  <si>
    <t>广州美台酒业有限公司</t>
  </si>
  <si>
    <t>笑江南</t>
  </si>
  <si>
    <t>烧酒; 白酒; 威士忌; 青稞酒; 清酒; 黄酒; 米酒 查看详细信息</t>
  </si>
  <si>
    <t>毕志强</t>
  </si>
  <si>
    <t>可汗狼图腾</t>
  </si>
  <si>
    <t>酒精饮料（啤酒除外）; 烧酒; 烈酒（饮料）; 白酒; 青稞酒; 食用酒精; 果酒（含酒精）; 鸡尾酒; 白兰地; 葡萄酒 查看详细信息</t>
  </si>
  <si>
    <t>启明国际控股（广州）有限公司</t>
  </si>
  <si>
    <t>酒精饮料原汁; 葡萄酒; 米酒; 开胃酒; 食用酒精; 伏特加酒; 果酒（含酒精）; 蒸馏饮料; 黄酒; 含水果酒精饮料 查看详细信息</t>
  </si>
  <si>
    <t>内蒙古蒙特酒业有限公司</t>
  </si>
  <si>
    <t>醉海棠</t>
  </si>
  <si>
    <t>葡萄酒; 鸡尾酒; 米酒; 威士忌; 果酒（含酒精）; 白酒; 青稞酒; 白兰地; 黄酒; 以葡萄酒为主的饮料 查看详细信息</t>
  </si>
  <si>
    <t>佛山市新豪轩智能家居科技有限公司</t>
  </si>
  <si>
    <t>新豪轩智能</t>
  </si>
  <si>
    <t>白酒; 薄荷酒; 苹果酒; 鸡尾酒; 果酒（含酒精）; 樱桃酒; 米酒; 食用酒精; 开胃酒; 葡萄酒 查看详细信息</t>
  </si>
  <si>
    <t>张念国</t>
  </si>
  <si>
    <t>并州宴</t>
  </si>
  <si>
    <t>烈酒（饮料）; 米酒; 白酒; 烧酒; 青稞酒; 鸡尾酒; 葡萄酒; 利口酒; 开胃酒; 果酒（含酒精） 查看详细信息</t>
  </si>
  <si>
    <t>王学东</t>
  </si>
  <si>
    <t>千宫之宫大明宫</t>
  </si>
  <si>
    <t>高粱酒; 露酒; 白酒; 以葡萄酒为主的开胃酒; 含酒精的充气饮料（啤酒除外）; 由谷物蒸馏的白酒; 老酒（中国蒸馏烈酒）; 蒸馏米酒（泡盛酒）; 烧酒; 果酒 查看详细信息</t>
  </si>
  <si>
    <t>天津市纳什诺进出口有限公司</t>
  </si>
  <si>
    <t>FIESTA LATINA 拉丁嘉年华小酒馆</t>
  </si>
  <si>
    <t>葡萄酒; 威士忌; 白酒; 鸡尾酒; 酒精饮料（啤酒除外）; 果酒（含酒精）; 以葡萄酒为主的饮料; 白葡萄酒; 红葡萄酒; 烈酒（饮料） 查看详细信息</t>
  </si>
  <si>
    <t>谷梁和香(成都)酿酒研究院</t>
  </si>
  <si>
    <t>谷粱和香开元露</t>
  </si>
  <si>
    <t>谷物制蒸馏酒精饮料; 葡萄酒; 酒精饮料（啤酒除外）; 米酒; 烈酒（饮料）; 白酒; 果酒（含酒精）; 老酒（中国蒸馏烈酒）; 鸡尾酒; 烧酒 查看详细信息</t>
  </si>
  <si>
    <t>上海励乐电子商务有限公司</t>
  </si>
  <si>
    <t>LEELER</t>
  </si>
  <si>
    <t>葡萄酒; 威士忌; 清酒（日本米酒）; 果酒（含酒精）; 白兰地; 以葡萄酒为主的饮料; 白酒; 鸡尾酒; 开胃酒; 酒精饮料（啤酒除外） 查看详细信息</t>
  </si>
  <si>
    <t>云南甘来酒业有限公司</t>
  </si>
  <si>
    <t>春晖</t>
  </si>
  <si>
    <t>烧酒（烈酒）; 白酒; 由谷物蒸馏的白酒; 除啤酒外的酒精饮料; 烈性干酒; 露酒; 老酒（中国蒸馏烈酒）; 酒精饮料浓缩汁; 酒精饮料原汁; 烈酒（饮料） 查看详细信息</t>
  </si>
  <si>
    <t>品味 晟东方</t>
  </si>
  <si>
    <t>果酒（含酒精）; 烧酒; 葡萄酒; 利口酒; 酒精饮料原汁; 蒸煮提取物（利口酒和烈酒）; 酒精饮料（啤酒除外）; 食用酒精; 开胃酒; 白酒 查看详细信息</t>
  </si>
  <si>
    <t>食用酒精; 烈酒; 白酒; 苦荞酒; 高粱酒; 清酒; 米酒; 烧酒; 黄酒; 白干酒（中国白酒） 查看详细信息</t>
  </si>
  <si>
    <t>双雕</t>
  </si>
  <si>
    <t>烧酒; 白酒; 黄酒 查看详细信息</t>
  </si>
  <si>
    <t>佛山市宗旺包装材料有限公司</t>
  </si>
  <si>
    <t>白酒; 米酒; 果酒（含酒精）; 黄酒; 开胃酒; 葡萄酒; 鸡尾酒; 烈酒; 蒸馏饮料; 烧酒 查看详细信息</t>
  </si>
  <si>
    <t>西咸新区空港新城明丰讯百货店</t>
  </si>
  <si>
    <t>植赞</t>
  </si>
  <si>
    <t>开胃酒; 米酒; 葡萄酒; 果酒; 食用酒精; 黄酒; 汽酒; 甜酒; 白酒; 清酒 查看详细信息</t>
  </si>
  <si>
    <t>王美江</t>
  </si>
  <si>
    <t>一鼎乾坤</t>
  </si>
  <si>
    <t>酒精饮料（啤酒除外）; 米酒; 鸡尾酒; 威士忌; 果酒（含酒精）; 黄酒; 清酒; 白酒; 葡萄酒; 烧酒 查看详细信息</t>
  </si>
  <si>
    <t>北京华夏国美文化艺术发展有限公司</t>
  </si>
  <si>
    <t>华美和乐</t>
  </si>
  <si>
    <t>烧酒; 米酒; 鸡尾酒; 果酒（含酒精）; 葡萄酒; 露酒; 含酒精水果饮料; 烈酒（饮料）; 白兰地; 白酒 查看详细信息</t>
  </si>
  <si>
    <t>葡汇酒庄</t>
  </si>
  <si>
    <t>烧酒; 白酒; 葡萄酒 查看详细信息</t>
  </si>
  <si>
    <t>贵州医路康科技发展有限公司</t>
  </si>
  <si>
    <t>头号院</t>
  </si>
  <si>
    <t>薄荷酒; 烈酒（饮料）; 米酒; 黄酒; 烧酒; 鸡尾酒; 白酒; 酒精饮料（啤酒除外）; 含水果酒精饮料; 果酒（含酒精） 查看详细信息</t>
  </si>
  <si>
    <t>上海龙猷农业科技发展有限公司</t>
  </si>
  <si>
    <t>太亿</t>
  </si>
  <si>
    <t>酒精饮料原汁; 老酒（中国蒸馏烈酒）; 白酒; 黄酒; 葡萄酒; 青稞酒; 高粱酒; 由谷物蒸馏的白酒; 果酒（含酒精）; 米酒 查看详细信息</t>
  </si>
  <si>
    <t>江苏东湖酒业有限公司</t>
  </si>
  <si>
    <t>东湖酒业</t>
  </si>
  <si>
    <t>鸡尾酒; 高粱酒; 黄酒; 白酒; 果酒; 烧酒; 麦芽威士忌; 米酒; 烈酒; 葡萄酒 查看详细信息</t>
  </si>
  <si>
    <t>古咚咚</t>
  </si>
  <si>
    <t>黄金䈎</t>
  </si>
  <si>
    <t>除啤酒外的酒精饮料; 由谷物蒸馏的白酒; 已调味的蒸馏酒; 蒸煮提取物（利口酒和烈酒）; 老酒（中国蒸馏烈酒）; 白干酒（中国白酒）; 谷物制蒸馏酒精饮料; 高粱酒 查看详细信息</t>
  </si>
  <si>
    <t>四川绵竹剑南春酒厂有限公司</t>
  </si>
  <si>
    <t>祥瑞万家 剑南春</t>
  </si>
  <si>
    <t>葡萄酒; 烈酒（饮料）; 烧酒; 果酒（含酒精）; 白酒; 酒精饮料浓缩汁; 米酒; 酒精饮料（啤酒除外）; 含水果酒精饮料; 黄酒 查看详细信息</t>
  </si>
  <si>
    <t>广东临在轩文化有限公司</t>
  </si>
  <si>
    <t>化学药物制剂; 医用营养食物; 净化剂; 兽医用药; 防蛀剂; 卫生巾; 牙用研磨剂 查看详细信息</t>
  </si>
  <si>
    <t>韩小娥</t>
  </si>
  <si>
    <t>佳减法</t>
  </si>
  <si>
    <t>果酒; 汽酒; 清酒; 甜酒; 食用酒精; 白酒; 米酒; 葡萄酒; 开胃酒; 黄酒 查看详细信息</t>
  </si>
  <si>
    <t>陈洋</t>
  </si>
  <si>
    <t>陈仓渡</t>
  </si>
  <si>
    <t>酒精饮料（啤酒除外）; 清酒（日本米酒）; 葡萄酒; 酒精饮料浓缩汁; 白兰地; 食用酒精; 威士忌; 果酒（含酒精）; 烈酒（饮料）; 白酒 查看详细信息</t>
  </si>
  <si>
    <t>曲盛坊</t>
  </si>
  <si>
    <t>果酒（含酒精）; 烈酒（饮料）; 葡萄酒; 酒精饮料（啤酒除外）; 白兰地; 酒精饮料浓缩汁; 威士忌; 清酒（日本米酒）; 食用酒精; 白酒 查看详细信息</t>
  </si>
  <si>
    <t>城里城外</t>
  </si>
  <si>
    <t>葡萄酒; 酒精饮料浓缩汁; 食用酒精; 白兰地; 清酒（日本米酒）; 果酒（含酒精）; 酒精饮料（啤酒除外）; 烈酒（饮料）; 白酒; 威士忌 查看详细信息</t>
  </si>
  <si>
    <t>威廉•格兰特父子有限公司</t>
  </si>
  <si>
    <t>MACQUEENS</t>
  </si>
  <si>
    <t>酒精饮料原汁; 谷物制蒸馏酒精饮料; 甘蔗制酒精饮料; 威士忌; 酒精饮料（啤酒除外）; 酒精饮料浓缩汁 查看详细信息</t>
  </si>
  <si>
    <t>唐明英441622********1801</t>
  </si>
  <si>
    <t>德画财</t>
  </si>
  <si>
    <t>白兰地; 黄酒; 烧酒; 鸡尾酒; 果酒; 米酒; 老酒（中国蒸馏烈酒）; 白酒; 威士忌; 葡萄酒 查看详细信息</t>
  </si>
  <si>
    <t>西咸新区空港新城畅韵月百货店 (个体工商户)</t>
  </si>
  <si>
    <t>忆蓉城</t>
  </si>
  <si>
    <t>果酒; 米酒; 黄酒; 汽酒; 葡萄酒; 甜酒; 白酒; 食用酒精; 清酒; 开胃酒 查看详细信息</t>
  </si>
  <si>
    <t>罗江</t>
  </si>
  <si>
    <t>华伟</t>
  </si>
  <si>
    <t>酒精饮料（啤酒除外）; 甘蔗制酒精饮料; 以葡萄酒为主的饮料; 烧酒; 青稞酒; 预先混合的酒精饮料（以啤酒为主的除外）; 黄酒; 酒精饮料原汁; 酒精饮料浓缩汁; 朝鲜族米酒 查看详细信息</t>
  </si>
  <si>
    <t>卡沙萨酒; 甜酒; 水果汽酒; 老酒（中国蒸馏烈酒）; 白干酒（中国白酒）; 威末酒; 烈性干酒; 白兰地; 酒精饮料（啤酒除外）; 五加皮酒（中国混合烈酒） 查看详细信息</t>
  </si>
  <si>
    <t>于雷</t>
  </si>
  <si>
    <t>幸壶一生</t>
  </si>
  <si>
    <t>果酒（含酒精）; 米酒; 葡萄酒; 蒸煮提取物（利口酒和烈酒）; 白兰地; 威士忌; 白酒; 酒精饮料（啤酒除外）; 食用酒精; 伏特加酒 查看详细信息</t>
  </si>
  <si>
    <t>金意祥</t>
  </si>
  <si>
    <t>白酒; 酒精饮料（啤酒除外）; 威士忌; 果酒（含酒精）; 葡萄酒; 食用酒精; 白兰地; 伏特加酒; 米酒; 蒸煮提取物（利口酒和烈酒） 查看详细信息</t>
  </si>
  <si>
    <t>果酒（含酒精）; 酒精饮料浓缩汁; 酒精饮料（啤酒除外）; 米酒; 蒸馏米酒（泡盛酒）; 甘蔗汁酿朗姆酒; 威士忌; 朗姆酒; 伏特加酒; 白酒 查看详细信息</t>
  </si>
  <si>
    <t>上海颖瑆机电设备有限公司</t>
  </si>
  <si>
    <t>ENSHINE</t>
  </si>
  <si>
    <t>火柴 查看详细信息</t>
  </si>
  <si>
    <t>云南绿丹食品有限公司</t>
  </si>
  <si>
    <t>食饮绿丹</t>
  </si>
  <si>
    <t>黄酒; 伏特加酒; 米酒; 烈酒; 威士忌; 白酒; 葡萄酒; 梅酒; 高粱酒; 朗姆酒 查看详细信息</t>
  </si>
  <si>
    <t>贵州金沙毕窖酒业有限公司</t>
  </si>
  <si>
    <t>毕酒</t>
  </si>
  <si>
    <t>葡萄酒; 青稞酒; 露酒; 烧酒; 米酒; 果酒; 白酒; 老酒（中国蒸馏烈酒）; 高粱酒; 黄酒 查看详细信息</t>
  </si>
  <si>
    <t>赵长宝</t>
  </si>
  <si>
    <t>贵品凤</t>
  </si>
  <si>
    <t>烈酒（饮料）; 汽酒; 清酒; 果酒（含酒精）; 白干酒（中国白酒）; 烧酒; 葡萄酒; 白酒; 酒精饮料（啤酒除外）; 青稞酒 查看详细信息</t>
  </si>
  <si>
    <t>李转红</t>
  </si>
  <si>
    <t>净小样</t>
  </si>
  <si>
    <t>葡萄酒; 薄荷酒; 食用酒精; 鸡尾酒; 黄酒; 白酒; 米酒; 青稞酒; 烧酒; 开胃酒 查看详细信息</t>
  </si>
  <si>
    <t>郑路美</t>
  </si>
  <si>
    <t>醕醽酬</t>
  </si>
  <si>
    <t>高粱酒; 蒸馏饮料; 含水果酒精饮料; 黄酒; 白酒; 米酒; 烧酒; 酒精饮料原汁; 果酒; 由谷物蒸馏的白酒 查看详细信息</t>
  </si>
  <si>
    <t>骆海定330621********1437</t>
  </si>
  <si>
    <t>仙神尚佳酿</t>
  </si>
  <si>
    <t>鸡尾酒; 烧酒; 果酒（含酒精）; 清酒; 食用酒精; 含水果酒精饮料; 白酒; 黄酒; 葡萄酒; 酒精饮料（啤酒除外） 查看详细信息</t>
  </si>
  <si>
    <t>菏泽市牡丹区升高商贸有限公司</t>
  </si>
  <si>
    <t>丝路黔行</t>
  </si>
  <si>
    <t>青稞酒; 白酒; 米酒; 果酒（含酒精）; 烧酒; 酒精饮料（啤酒除外）; 葡萄酒; 蒸馏米酒（泡盛酒）; 食用酒精; 五加皮酒（中国混合烈酒） 查看详细信息</t>
  </si>
  <si>
    <t>与辉同行（北京）科技有限公司</t>
  </si>
  <si>
    <t>与辉同行</t>
  </si>
  <si>
    <t>白酒; 黄酒; 葡萄酒; 开胃酒; 酒精饮料（啤酒除外）; 烧酒; 果酒（含酒精）; 米酒; 烈酒（饮料）; 蒸馏饮料 查看详细信息</t>
  </si>
  <si>
    <t>温州眼健康产业投资建设有限公司</t>
  </si>
  <si>
    <t>龙湾眼谷小镇</t>
  </si>
  <si>
    <t>开胃酒; 苹果酒; 果酒（含酒精）; 烧酒; 白酒; 米酒; 清酒（日本米酒）; 威士忌; 食用酒精; 葡萄酒 查看详细信息</t>
  </si>
  <si>
    <t>保利石文化产业发展有限公司</t>
  </si>
  <si>
    <t>服装; 衬衫; 短袖衬衫; 运动鞋; 浴室拖鞋; 鞋（脚上的穿着物）; 拖鞋; 浴室凉鞋; 耳套（服装）; 帽子; 无檐便帽; 贝雷帽; 短袜; 长袜; 吸汗长袜; 袜; 长袜后跟; 手套（服装）; 围巾; 领带; 长皮毛围巾（披肩）; 脖套; 披肩; 衣服背带; 腰带; 服装带（衣服）; 衣服吊带 查看详细信息</t>
  </si>
  <si>
    <t>呼伦贝尔塔拉商贸有限公司</t>
  </si>
  <si>
    <t>牧民达西</t>
  </si>
  <si>
    <t>酒精饮料（啤酒除外）; 果酒（含酒精）; 开胃酒; 米酒; 白酒; 烈酒（饮料）; 烧酒; 青稞酒; 黄酒; 葡萄酒 查看详细信息</t>
  </si>
  <si>
    <t>立旃（上海）科技有限公司</t>
  </si>
  <si>
    <t>乐健旗成</t>
  </si>
  <si>
    <t>以葡萄酒为主的饮料; 蒸煮提取物（利口酒和烈酒）; 葡萄酒; 黄酒; 果酒（含酒精）; 米酒; 烧酒; 白酒; 以蒸馏酒为主的开胃酒; 食用酒精 查看详细信息</t>
  </si>
  <si>
    <t>贵州百年金典酒庄有限公司</t>
  </si>
  <si>
    <t>金典·喜上眉梢</t>
  </si>
  <si>
    <t>高粱酒; 苦味酒; 果酒; 葡萄酒; 含酒精的饮料（啤酒除外）; 烧酒（烈酒）; 蒸煮提取物（利口酒和烈酒）; 白酒; 米酒; 开胃酒 查看详细信息</t>
  </si>
  <si>
    <t>金典·共济天下</t>
  </si>
  <si>
    <t>烧酒; 开胃酒; 高粱酒; 烧酒（烈酒）; 苦味酒; 蒸煮提取物（利口酒和烈酒）; 白酒; 米酒; 葡萄酒; 含酒精的饮料（啤酒除外） 查看详细信息</t>
  </si>
  <si>
    <t>厦门力迪塑胶有限公司</t>
  </si>
  <si>
    <t>LIDI LIFE 力迪生活</t>
  </si>
  <si>
    <t>清酒; 白兰地; 含酒精的饮料（啤酒除外）; 米酒; 黄酒; 酒精饮料（啤酒除外）; 含水果酒精饮料; 烧酒; 白酒; 开胃酒 查看详细信息</t>
  </si>
  <si>
    <t>金典·归仁</t>
  </si>
  <si>
    <t>葡萄酒; 苦味酒; 含酒精的饮料（啤酒除外）; 蒸煮提取物（利口酒和烈酒）; 烧酒（烈酒）; 果酒; 米酒; 高粱酒; 开胃酒; 白酒 查看详细信息</t>
  </si>
  <si>
    <t>何双辉</t>
  </si>
  <si>
    <t>江山凯旋</t>
  </si>
  <si>
    <t>高粱酒; 谷物制蒸馏酒精饮料; 白干酒（中国白酒）; 老酒（中国蒸馏烈酒）; 白酒; 由谷物蒸馏的白酒; 餐后酒（利口酒和烈酒）; 烧酒; 果酒（含酒精）; 米酒 查看详细信息</t>
  </si>
  <si>
    <t>上海馥艺女孩生物科技有限公司</t>
  </si>
  <si>
    <t>最魔都</t>
  </si>
  <si>
    <t>开胃酒; 鸡尾酒; 果酒（含酒精）; 葡萄酒; 露酒; 威士忌; 汽酒; 白酒; 米酒; 酒精饮料（啤酒除外） 查看详细信息</t>
  </si>
  <si>
    <t>天津粤唯鲜文化产业投资有限公司</t>
  </si>
  <si>
    <t>瓷房子</t>
  </si>
  <si>
    <t>果酒（含酒精）; 开胃酒; 鸡尾酒; 烈酒（饮料）; 白酒; 清酒（日本米酒）; 葡萄酒; 蒸馏饮料; 含水果酒精饮料; 汽酒 查看详细信息</t>
  </si>
  <si>
    <t>徐涛</t>
  </si>
  <si>
    <t>州贺台</t>
  </si>
  <si>
    <t>烈酒（饮料）; 白酒; 苹果酒; 米酒; 餐后酒（利口酒和烈酒）; 露酒; 果酒（含酒精）; 葡萄酒; 谷物制蒸馏酒精饮料; 蒸馏饮料 查看详细信息</t>
  </si>
  <si>
    <t>贵州川武集结酒业有限责任公司</t>
  </si>
  <si>
    <t>集结福</t>
  </si>
  <si>
    <t>汽酒; 白兰地; 伏特加酒; 米酒; 黄酒; 酒精饮料（啤酒除外）; 葡萄酒; 白酒; 老酒（中国蒸馏烈酒）; 果酒 查看详细信息</t>
  </si>
  <si>
    <t>贵州中酩阁酒业有限公司</t>
  </si>
  <si>
    <t>守富贵宾酒</t>
  </si>
  <si>
    <t>酒精饮料（啤酒除外）; 烧酒; 白酒; 黄酒; 果酒（含酒精）; 葡萄酒; 烈酒（饮料）; 食用酒精; 米酒; 清酒（日本米酒） 查看详细信息</t>
  </si>
  <si>
    <t>赵琴玲</t>
  </si>
  <si>
    <t>上 上源半闲斋</t>
  </si>
  <si>
    <t>汽酒; 葡萄酒; 含水果酒精饮料; 白酒; 清酒; 利口酒; 酒精饮料（啤酒除外）; 米酒; 蒸馏饮料; 果酒（含酒精） 查看详细信息</t>
  </si>
  <si>
    <t>山东老刘家酒业有限公司</t>
  </si>
  <si>
    <t>斤斗王</t>
  </si>
  <si>
    <t>鸡尾酒; 果酒（含酒精）; 白兰地; 白酒; 葡萄酒; 蒸馏饮料; 烧酒; 威士忌; 食用酒精; 米酒 查看详细信息</t>
  </si>
  <si>
    <t>吴正松</t>
  </si>
  <si>
    <t>壁女飞</t>
  </si>
  <si>
    <t>白酒; 酒精饮料（啤酒除外）; 果酒（含酒精）; 餐后酒（利口酒和烈酒）; 葡萄酒; 烧酒; 梨酒; 开胃酒; 清酒（日本米酒）; 米酒 查看详细信息</t>
  </si>
  <si>
    <t>上海福里希尔食品有限公司</t>
  </si>
  <si>
    <t>勃丘</t>
  </si>
  <si>
    <t>白酒; 汽酒; 黄酒; 以葡萄酒为主的开胃酒; 葡萄酒; 米酒; 红葡萄酒; 含水果酒精饮料; 烈酒; 白葡萄酒 查看详细信息</t>
  </si>
  <si>
    <t>剑调曲</t>
  </si>
  <si>
    <t>米酒; 黄酒; 烧酒; 烈酒（饮料）; 酒精饮料（啤酒除外）; 白酒; 果酒（含酒精）; 葡萄酒; 酒精饮料浓缩汁; 含水果酒精饮料 查看详细信息</t>
  </si>
  <si>
    <t>牧人达西</t>
  </si>
  <si>
    <t>葡萄酒; 青稞酒; 黄酒; 烈酒（饮料）; 烧酒; 酒精饮料（啤酒除外）; 米酒; 白酒; 开胃酒; 果酒（含酒精） 查看详细信息</t>
  </si>
  <si>
    <t>孙四娃</t>
  </si>
  <si>
    <t>皇家酒坊.有礼</t>
  </si>
  <si>
    <t>鸡尾酒; 黄酒; 白酒; 蒸馏饮料; 米酒; 酒精饮料原汁; 果酒（含酒精）; 威士忌; 酒精饮料（啤酒除外）; 葡萄酒 查看详细信息</t>
  </si>
  <si>
    <t>杨银龙</t>
  </si>
  <si>
    <t>耀梦台</t>
  </si>
  <si>
    <t>葡萄酒; 鸡尾酒; 米酒; 清酒; 高粱酒; 开胃酒; 清酒（日本米酒）; 果酒; 黄酒; 白酒 查看详细信息</t>
  </si>
  <si>
    <t>皇家酒坊.工匠</t>
  </si>
  <si>
    <t>威士忌; 酒精饮料原汁; 酒精饮料（啤酒除外）; 果酒（含酒精）; 鸡尾酒; 米酒; 黄酒; 蒸馏饮料; 白酒; 葡萄酒 查看详细信息</t>
  </si>
  <si>
    <t>乐梦台</t>
  </si>
  <si>
    <t>米酒; 鸡尾酒; 清酒; 黄酒; 清酒（日本米酒）; 开胃酒; 葡萄酒; 高粱酒; 白酒; 果酒 查看详细信息</t>
  </si>
  <si>
    <t>黑龙江胜出者科技有限公司</t>
  </si>
  <si>
    <t>JUEJIANG GREAT MASTER 倔强大师</t>
  </si>
  <si>
    <t>朗姆酒; 汽酒; 青稞酒; 米酒; 白葡萄酒; 开胃酒; 白酒; 红葡萄酒; 葡萄酒; 黄酒 查看详细信息</t>
  </si>
  <si>
    <t>王德芳</t>
  </si>
  <si>
    <t>皇津花扁壶</t>
  </si>
  <si>
    <t>葡萄酒; 米酒; 白酒; 利口酒; 清酒; 烧酒; 汽酒; 白兰地; 果酒（含酒精）; 黄酒 查看详细信息</t>
  </si>
  <si>
    <t>贵州贵陶坊酿酒有限公司</t>
  </si>
  <si>
    <t>开宝烧坊 开宝紫陶坊</t>
  </si>
  <si>
    <t>白酒; 葡萄酒; 清酒（日本米酒）; 伏特加酒; 烧酒; 食用酒精; 鸡尾酒; 果酒（含酒精）; 酒精饮料（啤酒除外）; 白兰地 查看详细信息</t>
  </si>
  <si>
    <t>北京物博地理标志文化产业发展有限公司</t>
  </si>
  <si>
    <t>东粮</t>
  </si>
  <si>
    <t>甜果酒; 苹果酒; 蜂蜜酒; 葡萄酒; 米酒; 白酒; 烧酒; 果酒（含酒精）; 清酒（日本米酒）; 含酒精的充气饮料（啤酒除外） 查看详细信息</t>
  </si>
  <si>
    <t>山西大奖章酿酒集团有限公司</t>
  </si>
  <si>
    <t>季式紫陶坊</t>
  </si>
  <si>
    <t>鸡尾酒; 酒精饮料（啤酒除外）; 果酒（含酒精）; 白兰地; 白酒; 伏特加酒; 葡萄酒; 食用酒精; 烧酒; 清酒（日本米酒） 查看详细信息</t>
  </si>
  <si>
    <t>分金亭酒业集团有限公司</t>
  </si>
  <si>
    <t>封涌</t>
  </si>
  <si>
    <t>米酒; 黄酒; 高粱酒; 烧酒; 露酒; 青稞酒; 烧酒（烈酒）; 薄荷酒; 白酒; 葡萄酒 查看详细信息</t>
  </si>
  <si>
    <t>郫都区隆腾商贸部</t>
  </si>
  <si>
    <t>蜀狮</t>
  </si>
  <si>
    <t>酒精饮料（啤酒除外）; 烧酒; 由谷物蒸馏的白酒; 烈酒; 白干酒（中国白酒）; 葡萄酒; 食用酒精; 高粱酒; 果酒; 白酒 查看详细信息</t>
  </si>
  <si>
    <t>都古鳄葡萄园</t>
  </si>
  <si>
    <t>CHATEAU DE BEAUREGARD-DUCOURT</t>
  </si>
  <si>
    <t>白兰地; 苹果酒; 白酒; 烧酒; 薄荷酒; 葡萄酒; 青稞酒; 鸡尾酒; 果酒（含酒精）; 米酒 查看详细信息</t>
  </si>
  <si>
    <t>上海荧光海科技有限公司</t>
  </si>
  <si>
    <t>FLOURSEA</t>
  </si>
  <si>
    <t>自助餐厅; 酒吧服务; 流动饮食供应; 餐馆; 餐厅; 饭店; 提供野营场地设施; 养老院; 日间托儿所（看孩子）; 烹饪设备出租 查看详细信息</t>
  </si>
  <si>
    <t>上海胜戎供应链管理中心</t>
  </si>
  <si>
    <t>胜戎</t>
  </si>
  <si>
    <t>蒸馏米酒（泡盛酒）; 由谷物蒸馏的白酒; 黄酒; 高粱酒; 米酒; 杨梅酒; 白酒; 老酒（中国蒸馏烈酒）; 青梅酒; 烧酒 查看详细信息</t>
  </si>
  <si>
    <t>CHATEAU LA ROSE SAINT-GERMAIN</t>
  </si>
  <si>
    <t>青稞酒; 白酒; 鸡尾酒; 薄荷酒; 米酒; 苹果酒; 果酒（含酒精）; 葡萄酒; 烧酒; 白兰地 查看详细信息</t>
  </si>
  <si>
    <t>牡丹江市雪城商贸服务有限责任公司</t>
  </si>
  <si>
    <t>刹车液; 传动液; 蓄电池充电用酸性水; 起动液; 挡风玻璃清洗系统用防冻剂; 挡风玻璃用化学拨水剂; 风挡玻璃除冰液; 汽油净化添加剂; 防冻剂; 发动机燃料化学添加剂; 润闸液; 电池充电用酸性水; 汽车燃料化学添加剂 查看详细信息</t>
  </si>
  <si>
    <t>吴堡县舌尖乡农产品开发有限公司</t>
  </si>
  <si>
    <t>陕北舌尖乡</t>
  </si>
  <si>
    <t>烈酒（饮料）; 威士忌; 白酒; 伏特加酒; 米酒; 葡萄酒; 清酒（日本米酒）; 鸡尾酒; 酒精饮料（啤酒除外）; 酒精饮料原汁 查看详细信息</t>
  </si>
  <si>
    <t>史凤兰</t>
  </si>
  <si>
    <t>野人村</t>
  </si>
  <si>
    <t>开胃酒; 葡萄酒; 黄酒; 食用酒精; 白酒; 青稞酒; 果酒; 酒精饮料（啤酒除外）; 烧酒; 汽酒 查看详细信息</t>
  </si>
  <si>
    <t>贵州中酱典藏酒类研究院</t>
  </si>
  <si>
    <t>谢小窖</t>
  </si>
  <si>
    <t>果酒（含酒精）; 鸡尾酒; 威士忌; 汽酒; 预调甜酒; 老酒（中国蒸馏烈酒）; 谷物制蒸馏酒精饮料; 蜂蜜酒; 露酒; 含水果酒精饮料; 烧酒（烈酒）; 由谷物蒸馏的白酒; 蒸馏米酒（泡盛酒）; 酒精饮料原汁; 苦味酒; 苦荞酒; 葡萄酒; 白酒; 白兰地; 甜酒; 含酒精的水果鸡尾酒饮料; 蒸馏饮料; 清酒（日本米酒）; 酒精饮料（啤酒除外）; 苦艾酒;... 查看详细信息</t>
  </si>
  <si>
    <t>广州联筑餐饮投资有限公司</t>
  </si>
  <si>
    <t>云海一线</t>
  </si>
  <si>
    <t>樱桃酒; 威士忌; 以葡萄酒为主的饮料; 清酒（日本米酒）; 白兰地; 白酒; 果酒; 含酒精的饮料（啤酒除外）; 白葡萄酒; 起泡红葡萄酒 查看详细信息</t>
  </si>
  <si>
    <t>江门市李李家陈皮茶业有限公司</t>
  </si>
  <si>
    <t>李永行</t>
  </si>
  <si>
    <t>酒精饮料原汁; 清酒（日本米酒）; 谷物制蒸馏酒精饮料; 黄酒; 烧酒; 白酒; 酒精饮料浓缩汁; 烈酒（饮料）; 含水果酒精饮料; 食用酒精 查看详细信息</t>
  </si>
  <si>
    <t>唐圣军</t>
  </si>
  <si>
    <t>稷老白</t>
  </si>
  <si>
    <t>酒精饮料（啤酒除外）; 果酒（含酒精）; 白酒; 黄酒; 清酒（日本米酒）; 高粱酒; 鸡尾酒; 威士忌; 葡萄酒; 米酒 查看详细信息</t>
  </si>
  <si>
    <t>山西润青酒业有限公司</t>
  </si>
  <si>
    <t>杏泳泉和天下</t>
  </si>
  <si>
    <t>露酒; 蒸煮提取物（利口酒和烈酒）; 白酒; 鸡尾酒; 果酒（含酒精）; 烈酒（饮料）; 葡萄酒; 米酒; 酒精饮料（啤酒除外）; 威士忌 查看详细信息</t>
  </si>
  <si>
    <t>广东梵胜生命科技有限公司</t>
  </si>
  <si>
    <t>政安</t>
  </si>
  <si>
    <t>以朗姆酒为主的饮料; 由谷物蒸馏的白酒; 含酒精水果饮料; 白酒; 谷物制蒸馏酒精饮料; 含酒精的水果鸡尾酒饮料; 蒸馏饮料; 含酒精的饮料（啤酒除外）; 果酒; 以葡萄酒为主的饮料 查看详细信息</t>
  </si>
  <si>
    <t>吴建桥</t>
  </si>
  <si>
    <t>望海楼</t>
  </si>
  <si>
    <t>利口酒; 汽酒; 蜂蜜酒; 酒精饮料（啤酒除外）; 果酒; 白酒; 鸡尾酒; 烈酒; 清酒; 葡萄酒 查看详细信息</t>
  </si>
  <si>
    <t>贵州皇粮匠酒业有限公司</t>
  </si>
  <si>
    <t>果酒（含酒精）; 青稞酒; 开胃酒; 烧酒; 谷物制蒸馏酒精饮料; 食用酒精; 汽酒; 白酒; 黄酒; 薄荷酒 查看详细信息</t>
  </si>
  <si>
    <t>深圳市爱久一实业有限公司</t>
  </si>
  <si>
    <t>连环帐谱</t>
  </si>
  <si>
    <t>白酒 查看详细信息</t>
  </si>
  <si>
    <t>四川心学洞天文化传媒有限公司</t>
  </si>
  <si>
    <t>飞龙三国</t>
  </si>
  <si>
    <t>白酒; 果酒; 青梅酒; 梅酒; 谷物制蒸馏酒精饮料; 红葡萄酒; 果酒（含酒精）; 开胃酒; 葡萄酒; 米酒 查看详细信息</t>
  </si>
  <si>
    <t>孙煌</t>
  </si>
  <si>
    <t>晨耳</t>
  </si>
  <si>
    <t>烈酒; 黄酒; 鸡尾酒; 烧酒; 果酒（含酒精）; 酒精饮料（啤酒除外）; 清酒; 米酒; 葡萄酒; 白酒 查看详细信息</t>
  </si>
  <si>
    <t>新疆美丽言疆文化发展有限公司</t>
  </si>
  <si>
    <t>芗疆里</t>
  </si>
  <si>
    <t>苹果酒; 酒精饮料（啤酒除外）; 白酒; 果酒（含酒精）; 米酒; 鸡尾酒; 白兰地; 葡萄酒; 含水果酒精饮料; 烈酒（饮料） 查看详细信息</t>
  </si>
  <si>
    <t>成都希望蓝树企业管理有限公司</t>
  </si>
  <si>
    <t>CWT</t>
  </si>
  <si>
    <t>啤酒; 果汁; 无酒精果汁; 水（饮料）; 制无酒精饮料用配料 查看详细信息</t>
  </si>
  <si>
    <t>河南洺河酒业有限公司</t>
  </si>
  <si>
    <t>洺河宝</t>
  </si>
  <si>
    <t>白酒; 清酒; 黄酒; 米酒; 高粱酒; 除啤酒外的酒精饮料; 烧酒; 果酒; 烈酒; 食用酒精 查看详细信息</t>
  </si>
  <si>
    <t>龟曲王</t>
  </si>
  <si>
    <t>鸡尾酒; 米酒; 烧酒; 高粱酒; 食用酒精; 白酒; 葡萄酒; 酒精饮料（啤酒除外）; 预先混合的酒精饮料（以啤酒为主的除外）; 果酒 查看详细信息</t>
  </si>
  <si>
    <t>内蒙古青山根酒业有限责任公司</t>
  </si>
  <si>
    <t>葡萄酒; 果酒（含酒精）; 烧酒; 青稞酒; 白干酒（中国白酒）; 高粱酒; 白酒; 老酒（中国蒸馏烈酒）; 食用酒精 查看详细信息</t>
  </si>
  <si>
    <t>成都宽聚联合企业管理集团有限责任公司</t>
  </si>
  <si>
    <t>锦上官</t>
  </si>
  <si>
    <t>蒸馏饮料; 白酒; 酒精饮料（啤酒除外）; 米酒; 烧酒; 烈酒; 果酒（含酒精）; 葡萄酒; 烈酒（饮料）; 黄酒 查看详细信息</t>
  </si>
  <si>
    <t>亳州市店外店酒业有限责任公司</t>
  </si>
  <si>
    <t>年宜百岁老糟坊</t>
  </si>
  <si>
    <t>高粱酒; 除啤酒外的酒精饮料; 含酒精的水果鸡尾酒饮料; 烧酒（烈酒）; 白酒; 果酒; 白干酒（中国白酒）; 酒精饮料（啤酒除外）; 甜果酒; 烧酒 查看详细信息</t>
  </si>
  <si>
    <t>云南凤康酒业有限公司</t>
  </si>
  <si>
    <t>阿数瑟</t>
  </si>
  <si>
    <t>甜酒; 高粱酒; 白酒; 以蒸馏酒为主的开胃酒; 米酒; 清酒; 烈酒; 开胃酒; 白干酒（中国白酒） 查看详细信息</t>
  </si>
  <si>
    <t>马仁英</t>
  </si>
  <si>
    <t>蕤台</t>
  </si>
  <si>
    <t>烧酒; 白干酒（中国白酒）; 白酒; 蜂蜜酒; 米酒; 果酒（含酒精）; 烈酒; 葡萄酒; 清酒; 黄酒 查看详细信息</t>
  </si>
  <si>
    <t>深圳顺成真好商贸有限公司</t>
  </si>
  <si>
    <t>顺成真好</t>
  </si>
  <si>
    <t>果酒（含酒精）; 烈酒（饮料）; 清酒（日本米酒）; 米酒; 利口酒; 酒精饮料原汁; 酒精饮料（啤酒除外）; 含水果酒精饮料; 白兰地; 葡萄酒 查看详细信息</t>
  </si>
  <si>
    <t>山西飞悦商贸有限公司</t>
  </si>
  <si>
    <t>晋粹</t>
  </si>
  <si>
    <t>酒精饮料（啤酒除外）; 白酒; 高粱酒; 果酒; 烧酒; 黄酒; 烈酒; 烈酒（饮料）; 米酒; 蜂蜜酒 查看详细信息</t>
  </si>
  <si>
    <t>官宫品</t>
  </si>
  <si>
    <t>葡萄酒; 黄酒; 烈酒; 果酒（含酒精）; 烧酒; 蒸馏饮料; 烈酒（饮料）; 米酒; 酒精饮料（啤酒除外）; 白酒 查看详细信息</t>
  </si>
  <si>
    <t>芜湖王茅酒业有限公司</t>
  </si>
  <si>
    <t>珩琅山</t>
  </si>
  <si>
    <t>黄酒; 谷物制蒸馏酒精饮料; 青稞酒; 含酒精水果饮料; 米酒; 烧酒; 葡萄酒; 威士忌; 鸡尾酒; 白酒 查看详细信息</t>
  </si>
  <si>
    <t>香港金仕杰国际控股有限公司</t>
  </si>
  <si>
    <t>楚霸</t>
  </si>
  <si>
    <t>伏特加酒; 白酒; 果酒（含酒精）; 米酒; 预先混合的酒精饮料（以啤酒为主的除外）; 黄酒; 含水果酒精饮料; 开胃酒; 葡萄酒; 烧酒 查看详细信息</t>
  </si>
  <si>
    <t>山东玖鸿佳商贸有限公司</t>
  </si>
  <si>
    <t>召公台</t>
  </si>
  <si>
    <t>酒精饮料（啤酒除外）; 鸡尾酒; 烈酒; 开胃酒; 葡萄酒; 果酒（含酒精）; 威士忌; 黄酒; 白酒; 清酒（日本米酒） 查看详细信息</t>
  </si>
  <si>
    <t>果酒（含酒精）; 葡萄酒; 白酒; 烧酒; 老酒（中国蒸馏烈酒）; 白干酒（中国白酒）; 青稞酒; 食用酒精; 高粱酒 查看详细信息</t>
  </si>
  <si>
    <t>山水逍遥</t>
  </si>
  <si>
    <t>烧酒; 葡萄酒; 白酒; 黄酒; 鸡尾酒; 清酒; 威士忌; 酒精饮料（啤酒除外）; 果酒（含酒精）; 米酒 查看详细信息</t>
  </si>
  <si>
    <t>海南宝达供应链集团有限公司</t>
  </si>
  <si>
    <t>H HMESKLY</t>
  </si>
  <si>
    <t>清酒（日本米酒）; 白酒; 葡萄酒; 白兰地; 米酒; 蒸馏饮料; 威士忌; 鸡尾酒; 烈酒（饮料）; 果酒（含酒精） 查看详细信息</t>
  </si>
  <si>
    <t>贵州董酒股份有限公司</t>
  </si>
  <si>
    <t>佰草董</t>
  </si>
  <si>
    <t>白酒; 酒精饮料（啤酒除外）; 清酒（日本米酒）; 梨酒; 米酒; 餐后酒（利口酒和烈酒）; 葡萄酒; 烧酒; 开胃酒; 果酒（含酒精） 查看详细信息</t>
  </si>
  <si>
    <t>湖北襄铭臻选商贸有限公司</t>
  </si>
  <si>
    <t>襄铭臻选</t>
  </si>
  <si>
    <t>茶; 茶饮料; 蜂蜜; 面包; 以谷物为主的零食小吃; 面粉; 米; 谷类制品; 面条; 食用淀粉 查看详细信息</t>
  </si>
  <si>
    <t>厦门郁金众康医疗科技有限公司</t>
  </si>
  <si>
    <t>丛慈</t>
  </si>
  <si>
    <t>果酒（含酒精）; 蜂蜜酒; 含酒精的饮料（啤酒除外）; 米酒; 白酒; 葡萄酒; 谷物制蒸馏酒精饮料; 食用酒精; 烈酒; 蒸馏饮料 查看详细信息</t>
  </si>
  <si>
    <t>贵州金沙窖酒酒业有限公司</t>
  </si>
  <si>
    <t>金沙上游</t>
  </si>
  <si>
    <t>葡萄酒; 清酒（日本米酒）; 烧酒; 黄酒; 白酒; 米酒; 酒精饮料（啤酒除外）; 果酒; 开胃酒; 蒸煮提取物（利口酒和烈酒） 查看详细信息</t>
  </si>
  <si>
    <t>四川东方竹宝生物科技有限公司</t>
  </si>
  <si>
    <t>睡猫</t>
  </si>
  <si>
    <t>果酒（含酒精）; 开胃酒; 白兰地; 黄酒; 白酒; 葡萄酒; 含水果酒精饮料; 以葡萄酒为主的饮料; 米酒 查看详细信息</t>
  </si>
  <si>
    <t>台山市帝胜金属制品有限公司</t>
  </si>
  <si>
    <t>淘桶桶</t>
  </si>
  <si>
    <t>酒精饮料浓缩汁; 含水果酒精饮料; 米酒; 含酒精的气泡水; 果酒（含酒精）; 白酒; 蒸馏饮料; 食用酒精; 开胃酒; 葡萄酒 查看详细信息</t>
  </si>
  <si>
    <t>盈江县柔情甜真商贸有限责任公司</t>
  </si>
  <si>
    <t>蔡丰源</t>
  </si>
  <si>
    <t>白酒; 米酒; 威士忌; 葡萄酒; 酒精饮料（啤酒除外）; 白兰地; 黄酒; 预先混合的酒精饮料（以啤酒为主的除外）; 含水果酒精饮料; 鸡尾酒 查看详细信息</t>
  </si>
  <si>
    <t>彭树博</t>
  </si>
  <si>
    <t>天亿小白瓶</t>
  </si>
  <si>
    <t>白酒; 酒精饮料（啤酒除外）; 食用酒精; 黄酒; 高粱酒; 米酒; 葡萄酒; 果酒; 烈酒; 烧酒 查看详细信息</t>
  </si>
  <si>
    <t>知楚文化传媒石家庄市有限公司</t>
  </si>
  <si>
    <t>知涵大掌柜</t>
  </si>
  <si>
    <t>黄酒; 开胃酒; 青稞酒; 米酒; 甜酒; 鸡尾酒; 果酒（含酒精）; 蜂蜜酒; 葡萄酒; 白酒 查看详细信息</t>
  </si>
  <si>
    <t>御泉坊酒业（大连）有限公司</t>
  </si>
  <si>
    <t>云山约</t>
  </si>
  <si>
    <t>白酒; 清酒（日本米酒）; 酒精饮料（啤酒除外）; 鸡尾酒; 葡萄酒; 烧酒; 米酒; 果酒; 烈酒（饮料）; 黄酒 查看详细信息</t>
  </si>
  <si>
    <t>四川彭始祖生命科技有限公司</t>
  </si>
  <si>
    <t>大彭仙池</t>
  </si>
  <si>
    <t>烈酒（饮料）; 汽酒; 米酒; 酒精饮料（啤酒除外）; 烧酒; 黄酒; 食用酒精; 葡萄酒; 白酒; 果酒（含酒精） 查看详细信息</t>
  </si>
  <si>
    <t>上海泾萍贸易有限公司</t>
  </si>
  <si>
    <t>泾萍</t>
  </si>
  <si>
    <t>汽酒; 预先混合的酒精饮料（以啤酒为主的除外）; 蒸馏饮料; 米酒; 黄酒; 鸡尾酒; 酒精饮料（啤酒除外）; 白酒; 果酒（含酒精）; 葡萄酒 查看详细信息</t>
  </si>
  <si>
    <t>王俊先</t>
  </si>
  <si>
    <t>尊九库</t>
  </si>
  <si>
    <t>蒸馏饮料; 葡萄酒; 威士忌; 酒精饮料（啤酒除外）; 白酒; 米酒; 黄酒; 清酒（日本米酒）; 烈酒（饮料）; 白兰地 查看详细信息</t>
  </si>
  <si>
    <t>烟台烟才网络科技有限公司</t>
  </si>
  <si>
    <t>SQUIRREL CASTLE</t>
  </si>
  <si>
    <t>威士忌; 果酒; 白葡萄酒; 葡萄酒; 白酒; 甜酒; 桃红葡萄酒; 红葡萄酒; 朗姆酒; 白兰地 查看详细信息</t>
  </si>
  <si>
    <t>贵州桐宸酒业有限公司</t>
  </si>
  <si>
    <t>米酒; 甜酒; 谷物制蒸馏酒精饮料; 烈酒（饮料）; 果酒（含酒精）; 老酒（中国蒸馏烈酒）; 烧酒; 高粱酒; 白酒; 酒精饮料原汁 查看详细信息</t>
  </si>
  <si>
    <t>青岛钲善商贸有限公司</t>
  </si>
  <si>
    <t>马克尔丹 MARK DANIEL</t>
  </si>
  <si>
    <t>果酒（含酒精）; 樱桃酒; 白兰地; 威士忌; 白酒; 黄酒; 朗姆酒; 伏特加酒; 葡萄酒; 米酒 查看详细信息</t>
  </si>
  <si>
    <t>鹤庆山里红贸易有限责任公司</t>
  </si>
  <si>
    <t>龙开口</t>
  </si>
  <si>
    <t>葡萄酒; 青稞酒; 白酒; 清酒（日本米酒）; 烈酒（饮料）; 米酒; 开胃酒; 鸡尾酒; 果酒（含酒精）; 黄酒 查看详细信息</t>
  </si>
  <si>
    <t>贵州未来酱酒业有限公司</t>
  </si>
  <si>
    <t>定智未来</t>
  </si>
  <si>
    <t>蒸馏饮料; 果酒（含酒精）; 蒸煮提取物（利口酒和烈酒）; 葡萄酒; 酒精饮料原汁; 黄酒; 酒精饮料（啤酒除外）; 米酒; 白酒; 开胃酒 查看详细信息</t>
  </si>
  <si>
    <t>遵义义美亨贸易有限公司</t>
  </si>
  <si>
    <t>帝尊台</t>
  </si>
  <si>
    <t>果酒（含酒精）; 酒精饮料原汁; 食用酒精; 蒸馏饮料; 谷物制蒸馏酒精饮料; 烈酒（饮料）; 烧酒; 白酒; 米酒; 葡萄酒 查看详细信息</t>
  </si>
  <si>
    <t>河南清酌酒业有限公司</t>
  </si>
  <si>
    <t>肄粮</t>
  </si>
  <si>
    <t>葡萄酒; 果酒（含酒精）; 苹果酒; 利口酒; 米酒; 开胃酒; 蒸馏饮料; 烈酒（饮料）; 酒精饮料（啤酒除外）; 白酒 查看详细信息</t>
  </si>
  <si>
    <t>董亿新</t>
  </si>
  <si>
    <t>粮王华酿</t>
  </si>
  <si>
    <t>白干酒（中国白酒）; 烧酒; 米酒; 烈酒（饮料）; 由谷物蒸馏的白酒; 高粱酒; 白酒; 黄酒; 谷物制蒸馏酒精饮料; 老酒（中国蒸馏烈酒） 查看详细信息</t>
  </si>
  <si>
    <t>北京中酿国际酒业有限公司</t>
  </si>
  <si>
    <t>威士忌; 白酒; 鸡尾酒; 开胃酒; 白兰地; 葡萄酒; 含水果酒精饮料; 烈酒（饮料）; 烧酒; 米酒 查看详细信息</t>
  </si>
  <si>
    <t>韦胜伍</t>
  </si>
  <si>
    <t>濉端酒</t>
  </si>
  <si>
    <t>蒸煮提取物（利口酒和烈酒）; 烈酒; 烧酒; 米酒; 黄酒; 含水果酒精饮料; 预先混合的酒精饮料（以啤酒为主的除外）; 白酒; 开胃酒; 果酒 查看详细信息</t>
  </si>
  <si>
    <t>汉赤夜明（深圳）珠宝有限责任公司</t>
  </si>
  <si>
    <t>缪斯之恋</t>
  </si>
  <si>
    <t>南京广存禄贸易有限公司</t>
  </si>
  <si>
    <t>道阖</t>
  </si>
  <si>
    <t>白葡萄酒; 烈酒（饮料）; 红葡萄酒; 果酒（含酒精）; 威士忌; 鸡尾酒; 酒精饮料（啤酒除外）; 米酒; 白酒; 葡萄酒 查看详细信息</t>
  </si>
  <si>
    <t>贵州鹿缘商贸有限责任公司</t>
  </si>
  <si>
    <t>万峰鹿鸣</t>
  </si>
  <si>
    <t>米酒; 开胃酒; 黄酒; 谷物制蒸馏酒精饮料; 含水果酒精饮料; 烧酒; 白酒; 蒸馏饮料; 食用酒精 查看详细信息</t>
  </si>
  <si>
    <t>贵州国粮酒业有限公司</t>
  </si>
  <si>
    <t>滴粮芙蓉王</t>
  </si>
  <si>
    <t>烧酒; 梅酒; 烈性干酒; 果酒; 白酒; 含酒精水果饮料; 烧酒（烈酒）; 蒸煮提取物（利口酒和烈酒）; 食用酒精; 烈酒 查看详细信息</t>
  </si>
  <si>
    <t>程向楠</t>
  </si>
  <si>
    <t>吕后家百战</t>
  </si>
  <si>
    <t>米酒; 露酒; 朗姆酒; 黄酒; 白酒; 烧酒; 杨梅酒; 薄荷酒; 果酒（含酒精）; 葡萄酒 查看详细信息</t>
  </si>
  <si>
    <t>四川旭瑞通商贸有限公司</t>
  </si>
  <si>
    <t>青梅酒; 含酒精的饮料（啤酒除外）; 白酒; 青稞酒; 食用酒精; 高粱酒; 果酒; 杨梅酒; 清酒; 红葡萄酒 查看详细信息</t>
  </si>
  <si>
    <t>遵义黔英商贸有限公司</t>
  </si>
  <si>
    <t>邓七妹</t>
  </si>
  <si>
    <t>白酒; 米酒; 开胃酒; 黄酒; 已调味的蒸馏酒; 酒精饮料原汁; 含水果酒精饮料; 酒精饮料（啤酒除外）; 葡萄酒; 预先混合的酒精饮料（以啤酒为主的除外） 查看详细信息</t>
  </si>
  <si>
    <t>四川古蔺酱魂酒业有限公司</t>
  </si>
  <si>
    <t>朗坤庄园</t>
  </si>
  <si>
    <t>白酒; 烧酒; 蒸馏饮料; 烈酒（饮料）; 食用酒精; 开胃酒; 酒精饮料原汁; 米酒; 葡萄酒; 果酒（含酒精） 查看详细信息</t>
  </si>
  <si>
    <t>郭世吉</t>
  </si>
  <si>
    <t>酒仙聚酒类直供</t>
  </si>
  <si>
    <t>含水果酒精饮料; 烧酒; 酒精饮料（啤酒除外）; 果酒（含酒精）; 由谷物蒸馏的白酒; 食用酒精; 白酒; 威士忌; 红葡萄酒; 白兰地 查看详细信息</t>
  </si>
  <si>
    <t>宁波市鄞州捷雄进出口有限公司</t>
  </si>
  <si>
    <t>TRAEGER</t>
  </si>
  <si>
    <t>薄荷酒; 米酒; 蒸馏饮料; 由谷物蒸馏的白酒; 含水果酒精饮料; 鸡尾酒; 葡萄酒; 白酒; 干型苹果酒; 果酒（含酒精） 查看详细信息</t>
  </si>
  <si>
    <t>万峰御鹿</t>
  </si>
  <si>
    <t>白酒; 黄酒; 烧酒; 米酒; 开胃酒; 蒸馏饮料; 含水果酒精饮料; 谷物制蒸馏酒精饮料; 食用酒精 查看详细信息</t>
  </si>
  <si>
    <t>济南金信赋融管理咨询有限公司</t>
  </si>
  <si>
    <t>耸山酿</t>
  </si>
  <si>
    <t>烈酒（饮料）; 米酒; 威士忌; 薄荷酒; 黄酒; 果酒（含酒精）; 白酒; 烧酒; 葡萄酒; 白兰地 查看详细信息</t>
  </si>
  <si>
    <t>江苏来生缘酒业有限公司</t>
  </si>
  <si>
    <t>龙城黄金叶</t>
  </si>
  <si>
    <t>白酒; 果酒（含酒精）; 葡萄酒; 酒精饮料（啤酒除外）; 米酒; 黄酒; 汽酒; 清酒（日本米酒）; 酒精饮料原汁; 烧酒 查看详细信息</t>
  </si>
  <si>
    <t>张德龙</t>
  </si>
  <si>
    <t>珍今朝</t>
  </si>
  <si>
    <t>白酒; 食用酒精; 威士忌; 果酒（含酒精）; 黄酒; 烈酒（饮料）; 烧酒; 米酒; 青稞酒; 含水果酒精饮料 查看详细信息</t>
  </si>
  <si>
    <t>朗坤酒庄</t>
  </si>
  <si>
    <t>烧酒; 米酒; 烈酒（饮料）; 酒精饮料原汁; 果酒（含酒精）; 开胃酒; 葡萄酒; 食用酒精; 蒸馏饮料; 白酒 查看详细信息</t>
  </si>
  <si>
    <t>彭龙</t>
  </si>
  <si>
    <t>每口仙</t>
  </si>
  <si>
    <t>白酒; 酒精饮料（啤酒除外）; 威士忌; 果酒（含酒精）; 米酒; 蒸馏饮料; 汽酒; 葡萄酒; 清酒（日本米酒）; 烈酒 查看详细信息</t>
  </si>
  <si>
    <t>食用酒精; 清酒; 青梅酒; 果酒; 杨梅酒; 高粱酒; 含酒精的饮料（啤酒除外）; 白酒; 青稞酒; 红葡萄酒 查看详细信息</t>
  </si>
  <si>
    <t>李志福</t>
  </si>
  <si>
    <t>奥耐特 HONNETE</t>
  </si>
  <si>
    <t>米酒; 果酒（含酒精）; 鸡尾酒; 葡萄酒; 烈酒（饮料）; 酒精饮料浓缩汁; 酒精饮料原汁; 白酒; 烧酒; 黄酒 查看详细信息</t>
  </si>
  <si>
    <t>河南丹宏实业有限公司</t>
  </si>
  <si>
    <t>南都四圣</t>
  </si>
  <si>
    <t>葡萄酒; 米酒; 果酒; 利口酒; 露酒; 白酒; 酒精饮料（啤酒除外）; 烧酒; 黄酒; 汽酒 查看详细信息</t>
  </si>
  <si>
    <t>佛山市南海罗村姚氏食品厂</t>
  </si>
  <si>
    <t>嘴上亲</t>
  </si>
  <si>
    <t>威士忌; 汽酒; 白酒; 果酒（含酒精）; 葡萄酒; 黄酒; 薄荷酒; 蜂蜜酒; 酒精饮料（啤酒除外）; 米酒; 含水果酒精饮料 查看详细信息</t>
  </si>
  <si>
    <t>山西知雨科技有限公司</t>
  </si>
  <si>
    <t>屠仙岛</t>
  </si>
  <si>
    <t>烈酒（饮料）; 米酒; 白酒; 烧酒; 梨酒; 鸡尾酒; 葡萄酒; 果酒（含酒精）; 苦荞酒; 露酒 查看详细信息</t>
  </si>
  <si>
    <t>纳朵酒庄简化股份有限公司</t>
  </si>
  <si>
    <t>NARDOU 纳朵</t>
  </si>
  <si>
    <t>鸡尾酒; 酒精饮料（啤酒除外）; 果酒（含酒精）; 含水果酒精饮料; 白酒; 酒精饮料浓缩汁; 以葡萄酒为主的饮料; 葡萄酒; 酒精饮料原汁; 开胃酒 查看详细信息</t>
  </si>
  <si>
    <t>内蒙古越淳酒业有限公司</t>
  </si>
  <si>
    <t>越淳</t>
  </si>
  <si>
    <t>果酒（含酒精）; 米酒; 白酒; 葡萄酒; 朝鲜族米酒; 预先混合的酒精饮料（以啤酒为主的除外）; 谷物制蒸馏酒精饮料; 黄酒; 含水果酒精饮料; 以葡萄酒为主的饮料 查看详细信息</t>
  </si>
  <si>
    <t>新干县添乐餐饮有限公司</t>
  </si>
  <si>
    <t>淦味添乐</t>
  </si>
  <si>
    <t>果酒（含酒精）; 米酒; 白酒; 黄酒; 威士忌; 葡萄酒; 烧酒; 鸡尾酒; 含水果酒精饮料; 谷物制蒸馏酒精饮料 查看详细信息</t>
  </si>
  <si>
    <t>宁波与时信息技术有限公司</t>
  </si>
  <si>
    <t>宴萄萄</t>
  </si>
  <si>
    <t>鸡尾酒; 蒸馏饮料; 谷物蒸馏酒精饮料; 汽酒; 烧酒; 威士忌; 蒸馏酒; 白酒; 葡萄酒; 白兰地; 米酒; 果酒（含酒精）; 烧酒（烈酒）; 白干酒（中国白酒） 查看详细信息</t>
  </si>
  <si>
    <t>莕牌有限公司</t>
  </si>
  <si>
    <t>炫赫门泰幸</t>
  </si>
  <si>
    <t>伏特加酒; 露酒; 葡萄酒; 烈酒; 果酒; 威士忌; 黄酒; 白酒; 含水果酒精饮料; 烧酒 查看详细信息</t>
  </si>
  <si>
    <t>都江堰苦荞商贸有限公司</t>
  </si>
  <si>
    <t>荞儿</t>
  </si>
  <si>
    <t>青稞酒; 果酒; 米酒; 黄酒; 鸡尾酒; 食用酒精; 蒸馏饮料; 蜂蜜酒; 白酒; 苦味酒 查看详细信息</t>
  </si>
  <si>
    <t>杨成建</t>
  </si>
  <si>
    <t>陶场坝</t>
  </si>
  <si>
    <t>白酒; 烧酒; 蒸馏饮料; 红葡萄酒; 黄酒; 利口酒; 米酒; 预先混合的酒精饮料（以啤酒为主的除外）; 烈酒（饮料）; 含水果酒精饮料 查看详细信息</t>
  </si>
  <si>
    <t>上海红樽坊贸易有限公司</t>
  </si>
  <si>
    <t>似无</t>
  </si>
  <si>
    <t>清酒（日本米酒）; 酒精饮料（啤酒除外）; 白酒; 烈酒（饮料）; 黄酒; 果酒（含酒精）; 鸡尾酒; 葡萄酒; 杜松子酒; 威士忌 查看详细信息</t>
  </si>
  <si>
    <t>维宴</t>
  </si>
  <si>
    <t>烧酒; 威士忌; 鸡尾酒; 蒸馏酒; 白酒; 烧酒（烈酒）; 白干酒（中国白酒）; 米酒; 汽酒; 葡萄酒; 蒸馏饮料; 果酒（含酒精）; 谷物蒸馏酒精饮料; 白兰地 查看详细信息</t>
  </si>
  <si>
    <t>北京臻乐网络科技有限公司</t>
  </si>
  <si>
    <t>曼日</t>
  </si>
  <si>
    <t>威士忌; 米酒; 果酒（含酒精）; 烈酒（饮料）; 白兰地; 黄酒; 白酒; 清酒（日本米酒）; 利口酒; 葡萄酒 查看详细信息</t>
  </si>
  <si>
    <t>张月华</t>
  </si>
  <si>
    <t>百星老糟坊</t>
  </si>
  <si>
    <t>食用酒精; 烧酒; 酒精饮料（啤酒除外）; 白酒; 米酒; 黄酒; 开胃酒; 利口酒; 烈酒（饮料）; 葡萄酒 查看详细信息</t>
  </si>
  <si>
    <t>贵州省仁怀市张尊酒业有限公司</t>
  </si>
  <si>
    <t>鸡尾酒; 葡萄酒; 烈酒; 烈酒（饮料）; 酒精饮料（啤酒除外）; 高粱酒; 老酒（中国蒸馏烈酒）; 白干酒（中国白酒）; 果酒; 白酒 查看详细信息</t>
  </si>
  <si>
    <t>贵州省仁怀市茅台镇神龙酒业有限公司</t>
  </si>
  <si>
    <t>秋水白露</t>
  </si>
  <si>
    <t>果酒; 烈酒; 白兰地; 白酒; 红葡萄酒; 葡萄酒; 鸡尾酒; 梅酒; 白干酒（中国白酒）; 威士忌 查看详细信息</t>
  </si>
  <si>
    <t>呼玛县石品汇玛瑙有限责任公司</t>
  </si>
  <si>
    <t>酒精饮料（啤酒除外）; 朗姆酒; 威士忌; 葡萄酒; 白酒; 开胃酒; 果酒（含酒精）; 烈酒（饮料）; 伏特加酒; 鸡尾酒 查看详细信息</t>
  </si>
  <si>
    <t>阜阳烧九哥酒业有限公司</t>
  </si>
  <si>
    <t>会声亭</t>
  </si>
  <si>
    <t>食用酒精; 烧酒; 白酒; 清酒; 汽酒; 黄酒; 米酒; 含水果酒精饮料; 果酒（含酒精）; 开胃酒 查看详细信息</t>
  </si>
  <si>
    <t>钟跃丽</t>
  </si>
  <si>
    <t>仁康龙台坝</t>
  </si>
  <si>
    <t>酒精饮料（啤酒除外）; 黄酒; 果酒（含酒精）; 苦味酒; 蒸馏饮料; 米酒; 食用酒精; 含水果酒精饮料; 烧酒; 白酒 查看详细信息</t>
  </si>
  <si>
    <t>贵州李长寿酒业有限公司</t>
  </si>
  <si>
    <t>李门匞父</t>
  </si>
  <si>
    <t>开胃酒; 烧酒; 白酒; 蒸馏饮料; 酒精饮料（啤酒除外）; 餐后酒（利口酒和烈酒）; 酒精饮料浓缩汁; 谷物制蒸馏酒精饮料; 烈酒（饮料）; 酒精饮料原汁 查看详细信息</t>
  </si>
  <si>
    <t>贵州迎客酒业有限公司</t>
  </si>
  <si>
    <t>朋台酒</t>
  </si>
  <si>
    <t>含水果酒精饮料; 白酒; 果酒（含酒精）; 开胃酒; 蒸煮提取物（利口酒和烈酒）; 蜂蜜酒; 食用酒精; 葡萄酒; 预先混合的酒精饮料（以啤酒为主的除外）; 鸡尾酒 查看详细信息</t>
  </si>
  <si>
    <t>黄鹏</t>
  </si>
  <si>
    <t>诗唐醉长安</t>
  </si>
  <si>
    <t>果酒（含酒精）; 白酒; 米酒; 葡萄酒; 烈酒（饮料）; 谷物制蒸馏酒精饮料; 露酒; 餐后酒（利口酒和烈酒）; 苹果酒; 蒸馏饮料 查看详细信息</t>
  </si>
  <si>
    <t>李蕊</t>
  </si>
  <si>
    <t>古尘</t>
  </si>
  <si>
    <t>葡萄酒; 薄荷酒; 蜂蜜酒; 白酒; 黄酒; 青稞酒; 鸡尾酒; 烈酒（饮料）; 烧酒; 苹果酒 查看详细信息</t>
  </si>
  <si>
    <t>长沙大树下合一餐饮管理有限公司</t>
  </si>
  <si>
    <t>大树下曹阿姨</t>
  </si>
  <si>
    <t>梅酒; 烧酒; 白兰地; 米酒; 果酒; 威士忌; 白干酒（中国白酒）; 黄酒; 白酒; 青稞酒 查看详细信息</t>
  </si>
  <si>
    <t>邱国英</t>
  </si>
  <si>
    <t>天寿福</t>
  </si>
  <si>
    <t>威士忌; 清酒（日本米酒）; 黄酒; 米酒; 白酒; 鸡尾酒; 葡萄酒; 烈酒（饮料）; 烧酒; 果酒（含酒精） 查看详细信息</t>
  </si>
  <si>
    <t>四川全兴酒业有限公司</t>
  </si>
  <si>
    <t>全兴印象</t>
  </si>
  <si>
    <t>酒精饮料原汁; 老酒（中国蒸馏烈酒）; 白酒; 酒精饮料（啤酒除外）; 含水果酒精饮料; 烧酒; 烈酒; 伏特加酒; 果酒（含酒精）; 蒸煮提取物（利口酒和烈酒） 查看详细信息</t>
  </si>
  <si>
    <t>贵州百佳信机电工程有限公司</t>
  </si>
  <si>
    <t>必扬·喜欢你</t>
  </si>
  <si>
    <t>白酒; 鸡尾酒; 酒精饮料（啤酒除外）; 米酒; 清酒（日本米酒）; 果酒（含酒精）; 葡萄酒; 黄酒; 烈酒（饮料）; 烧酒 查看详细信息</t>
  </si>
  <si>
    <t>何剑贞</t>
  </si>
  <si>
    <t>龙乐南</t>
  </si>
  <si>
    <t>薄荷酒; 梨酒; 葡萄酒; 威士忌; 白干酒（中国白酒）; 烧酒（烈酒）; 白酒; 利口酒; 白兰地; 除啤酒外的酒精饮料 查看详细信息</t>
  </si>
  <si>
    <t>泸州向尊商贸有限公司</t>
  </si>
  <si>
    <t>成就浆来</t>
  </si>
  <si>
    <t>高粱酒; 鸡尾酒; 佐餐酒; 烧酒（烈酒）; 黄酒; 果酒; 烈酒（饮料）; 米酒; 白酒; 开胃酒 查看详细信息</t>
  </si>
  <si>
    <t>赵正伟</t>
  </si>
  <si>
    <t>汉江太子贡</t>
  </si>
  <si>
    <t>米酒; 鸡尾酒; 葡萄酒; 白酒; 青稞酒; 果酒（含酒精）; 开胃酒; 清酒（日本米酒）; 黄酒; 食用酒精 查看详细信息</t>
  </si>
  <si>
    <t>戴明34072********2211X</t>
  </si>
  <si>
    <t>无为练溪</t>
  </si>
  <si>
    <t>葡萄酒; 米酒; 含酒精水果饮料; 鸡尾酒; 甜酒; 果酒; 酒精饮料浓缩汁; 黄酒; 高粱酒; 白酒 查看详细信息</t>
  </si>
  <si>
    <t>吴招娣</t>
  </si>
  <si>
    <t>辽之选</t>
  </si>
  <si>
    <t>酒精饮料（啤酒除外）; 蒸馏饮料; 葡萄酒; 米酒; 烧酒; 黄酒; 果酒（含酒精）; 白酒; 清酒（日本米酒）; 汽酒 查看详细信息</t>
  </si>
  <si>
    <t>沈阳市老顺口盛京菜馆</t>
  </si>
  <si>
    <t>乔氏家族</t>
  </si>
  <si>
    <t>鸡尾酒; 葡萄酒; 含水果酒精饮料; 米酒; 食用酒精; 黄酒; 烈酒（饮料）; 开胃酒; 白酒; 酒精饮料（啤酒除外） 查看详细信息</t>
  </si>
  <si>
    <t>孔庆德</t>
  </si>
  <si>
    <t>醒愿</t>
  </si>
  <si>
    <t>白酒; 烈酒; 含酒精的饮料（啤酒除外）; 蒸馏饮料; 葡萄酒; 烧酒; 甜酒; 米酒; 果酒; 开胃酒 查看详细信息</t>
  </si>
  <si>
    <t>陈敏</t>
  </si>
  <si>
    <t>茸康元</t>
  </si>
  <si>
    <t>鸡尾酒; 果酒（含酒精）; 清酒（日本米酒）; 食用酒精; 烧酒; 白酒; 米酒; 青稞酒; 葡萄酒; 黄酒 查看详细信息</t>
  </si>
  <si>
    <t>候佳齐</t>
  </si>
  <si>
    <t>境宾台</t>
  </si>
  <si>
    <t>米酒; 白酒; 黄酒; 由谷物蒸馏的白酒; 谷物制蒸馏酒精饮料; 高粱酒; 老酒（中国蒸馏烈酒）; 果酒（含酒精）; 白干酒（中国白酒）; 烧酒 查看详细信息</t>
  </si>
  <si>
    <t>双鉴</t>
  </si>
  <si>
    <t>果酒（含酒精）; 米酒; 葡萄酒; 清酒（日本米酒）; 食用酒精; 烧酒; 白酒; 烈酒; 酒精饮料（啤酒除外）; 蒸馏饮料 查看详细信息</t>
  </si>
  <si>
    <t>贵州华柽坞酒业（集团）有限公司</t>
  </si>
  <si>
    <t>华柽坞</t>
  </si>
  <si>
    <t>酒精饮料（啤酒除外）; 清酒; 开胃酒; 葡萄酒; 黄酒; 鸡尾酒; 果酒（含酒精）; 青稞酒; 白酒; 威士忌 查看详细信息</t>
  </si>
  <si>
    <t>安丘市景冠酒业有限公司</t>
  </si>
  <si>
    <t>潍水洞</t>
  </si>
  <si>
    <t>黄酒; 食用酒精; 伏特加酒; 葡萄酒; 白酒; 青稞酒; 蒸煮提取物（利口酒和烈酒）; 老酒（中国蒸馏烈酒）; 烧酒; 果酒（含酒精） 查看详细信息</t>
  </si>
  <si>
    <t>青岛鑫金邦清洁设备有限公司</t>
  </si>
  <si>
    <t>籽粿</t>
  </si>
  <si>
    <t>烧酒; 青稞酒; 黄酒; 米酒; 苦荞酒; 红葡萄酒; 已调味的麦芽酿制的酒精饮料（啤酒除外）; 白酒; 高粱酒; 白干酒（中国白酒） 查看详细信息</t>
  </si>
  <si>
    <t>苏丁丁</t>
  </si>
  <si>
    <t>拉喆</t>
  </si>
  <si>
    <t>黄酒; 高粱酒; 果酒（含酒精）; 白酒; 烈酒（饮料）; 鸡尾酒; 米酒; 葡萄酒; 伏特加酒; 酒精饮料（啤酒除外） 查看详细信息</t>
  </si>
  <si>
    <t>玖仙深</t>
  </si>
  <si>
    <t>预先混合的酒精饮料（以啤酒为主的除外）; 酒精饮料原汁; 烈性干酒; 蒸馏饮料; 露酒; 天然汽酒; 水果汽酒; 甜酒; 老酒（中国蒸馏烈酒）; 蒸煮提取物（利口酒和烈酒） 查看详细信息</t>
  </si>
  <si>
    <t>贵州仁怀九兵酒业销售有限公司</t>
  </si>
  <si>
    <t>大同盛世</t>
  </si>
  <si>
    <t>葡萄酒; 果酒; 谷物制蒸馏酒精饮料; 利口酒; 白酒; 米酒; 烧酒; 酒精饮料原汁; 老酒（中国蒸馏烈酒）; 烈酒 查看详细信息</t>
  </si>
  <si>
    <t>厦门市多维爱生活用品有限公司</t>
  </si>
  <si>
    <t>见熹</t>
  </si>
  <si>
    <t>葡萄酒; 预先混合的酒精饮料（以啤酒为主的除外）; 白兰地; 伏特加酒; 酒精饮料（啤酒除外）; 米酒; 烈酒（饮料）; 白酒; 黄酒; 威士忌 查看详细信息</t>
  </si>
  <si>
    <t>彭志华</t>
  </si>
  <si>
    <t>匠香宗</t>
  </si>
  <si>
    <t>清酒（日本米酒）; 白酒; 烈酒（饮料）; 高粱酒; 米酒; 白干酒（中国白酒）; 葡萄酒; 含水果酒精饮料; 烈酒; 烧酒 查看详细信息</t>
  </si>
  <si>
    <t>王者光辉</t>
  </si>
  <si>
    <t>蒸馏饮料; 水果汽酒; 老酒（中国蒸馏烈酒）; 酒精饮料原汁; 预先混合的酒精饮料（以啤酒为主的除外）; 甜酒; 天然汽酒; 烈酒（饮料）; 露酒; 蒸煮提取物（利口酒和烈酒） 查看详细信息</t>
  </si>
  <si>
    <t>袁飞</t>
  </si>
  <si>
    <t>傲虎</t>
  </si>
  <si>
    <t>果酒（含酒精）; 伏特加酒; 白酒; 清酒; 黄酒; 米酒; 烧酒; 汽酒; 梅酒; 葡萄酒 查看详细信息</t>
  </si>
  <si>
    <t>眉山市刘家坊酒业有限公司</t>
  </si>
  <si>
    <t>财米坊</t>
  </si>
  <si>
    <t>鸡尾酒; 葡萄酒; 酒精饮料（啤酒除外）; 果酒（含酒精）; 米酒; 烧酒; 青稞酒; 黄酒; 食用酒精; 白酒 查看详细信息</t>
  </si>
  <si>
    <t>杭州有舍有得信息服务有限公司</t>
  </si>
  <si>
    <t>景泉春牌</t>
  </si>
  <si>
    <t>白酒; 含水果酒精饮料; 黄酒; 葡萄酒; 酒精饮料（啤酒除外）; 烧酒; 食用酒精; 果酒（含酒精）; 烈酒（饮料）; 米酒 查看详细信息</t>
  </si>
  <si>
    <t>西安市高新区羌妹熟食店</t>
  </si>
  <si>
    <t>羌乡情</t>
  </si>
  <si>
    <t>白酒; 黄酒; 苹果酒; 葡萄酒; 酒精饮料（啤酒除外）; 果酒（含酒精）; 青稞酒; 米酒; 烧酒; 含水果酒精饮料 查看详细信息</t>
  </si>
  <si>
    <t>白酒; 酒精饮料（啤酒除外）; 葡萄酒; 甜酒; 果酒; 食用酒精; 黄酒; 米酒; 烈酒（饮料）; 烧酒 查看详细信息</t>
  </si>
  <si>
    <t>春泉景</t>
  </si>
  <si>
    <t>食用酒精; 白酒; 烧酒; 黄酒; 酒精饮料（啤酒除外）; 果酒（含酒精）; 葡萄酒; 米酒; 烈酒（饮料）; 含水果酒精饮料 查看详细信息</t>
  </si>
  <si>
    <t>李朝明</t>
  </si>
  <si>
    <t>奉椿</t>
  </si>
  <si>
    <t>烧酒; 黄酒; 果酒（含酒精）; 酒精饮料（啤酒除外）; 烈酒; 白酒; 白干酒（中国白酒）; 甜酒; 蒸馏饮料; 汽酒 查看详细信息</t>
  </si>
  <si>
    <t>山西古酿清酒业有限公司</t>
  </si>
  <si>
    <t>晋蒙汉</t>
  </si>
  <si>
    <t>青稞酒; 黄酒; 白酒; 烧酒; 开胃酒; 烈酒（饮料）; 食用酒精; 杜松子酒; 利口酒; 蒸煮提取物（利口酒和烈酒） 查看详细信息</t>
  </si>
  <si>
    <t>杨金旭</t>
  </si>
  <si>
    <t>予之小九舍</t>
  </si>
  <si>
    <t>烧酒; 白酒; 高粱酒; 果酒; 烈酒; 食用酒精; 甜酒; 老酒（中国蒸馏烈酒）; 米酒; 黄酒 查看详细信息</t>
  </si>
  <si>
    <t>贵州省仁怀市茅台镇金酱酒业有限公司</t>
  </si>
  <si>
    <t>金酱大师</t>
  </si>
  <si>
    <t>葡萄酒; 白酒; 烧酒; 食用酒精; 预先混合的酒精饮料（以啤酒为主的除外）; 蒸馏饮料; 酒精饮料原汁; 烈酒（饮料）; 酒精饮料（啤酒除外）; 果酒（含酒精） 查看详细信息</t>
  </si>
  <si>
    <t>上海仲酣商贸有限公司</t>
  </si>
  <si>
    <t>JLKVIN</t>
  </si>
  <si>
    <t>葡萄酒; 鸡尾酒; 清酒; 谷物制蒸馏酒精饮料; 烈酒; 威士忌; 果酒（含酒精）; 酒精饮料（啤酒除外）; 汽酒; 白酒 查看详细信息</t>
  </si>
  <si>
    <t>曾棕福</t>
  </si>
  <si>
    <t>福轩台</t>
  </si>
  <si>
    <t>伏特加酒; 白酒; 含水果酒精饮料; 露酒; 威士忌; 米酒; 清酒; 烧酒; 白兰地; 葡萄酒 查看详细信息</t>
  </si>
  <si>
    <t>牟定县喜鹊窝酒业有限公司</t>
  </si>
  <si>
    <t>银喜鹊窝</t>
  </si>
  <si>
    <t>果酒（含酒精）; 苦荞酒; 五加皮酒（中国混合烈酒）; 米酒; 白酒; 烧酒（烈酒）; 杨梅酒; 烈酒（饮料）; 青稞酒; 烧酒 查看详细信息</t>
  </si>
  <si>
    <t>海淘易购供应链（广州）有限公司</t>
  </si>
  <si>
    <t>HAMAS LOUIE H</t>
  </si>
  <si>
    <t>威士忌; 白兰地; 含酒精的充气饮料（啤酒除外）; 伏特加酒; 利口酒; 开胃酒; 朗姆酒; 鸡尾酒; 混合威士忌酒; 葡萄酒 查看详细信息</t>
  </si>
  <si>
    <t>杏句</t>
  </si>
  <si>
    <t>酒精饮料（啤酒除外）; 烧酒; 烈酒; 白酒; 食用酒精; 蒸馏饮料; 果酒（含酒精）; 清酒（日本米酒）; 葡萄酒; 米酒 查看详细信息</t>
  </si>
  <si>
    <t>天津市大强酒业贸易有限公司</t>
  </si>
  <si>
    <t>内津花扁壶</t>
  </si>
  <si>
    <t>烧酒; 葡萄酒; 米酒; 汽酒; 利口酒; 白酒; 果酒（含酒精）; 白兰地; 清酒; 黄酒 查看详细信息</t>
  </si>
  <si>
    <t>北京思维魔法教育科技有限公司</t>
  </si>
  <si>
    <t>魔法小八 科技成就好思维</t>
  </si>
  <si>
    <t>开胃酒; 威士忌; 薄荷酒; 白兰地; 亚力酒; 青稞酒; 果酒（含酒精）; 葡萄酒; 鸡尾酒; 清酒（日本米酒） 查看详细信息</t>
  </si>
  <si>
    <t>江西万寿宫酒厂股份有限公司</t>
  </si>
  <si>
    <t>万寿宫三花</t>
  </si>
  <si>
    <t>果酒（含酒精）; 威士忌; 含水果酒精饮料; 葡萄酒; 白兰地; 以葡萄酒为主的饮料; 米酒; 黄酒; 白酒; 食用酒精 查看详细信息</t>
  </si>
  <si>
    <t>深圳民众鑫贸易有限公司</t>
  </si>
  <si>
    <t>预先混合的酒精饮料（以啤酒为主的除外）; 谷物制蒸馏酒精饮料; 烈酒; 酒精饮料浓缩汁; 蒸馏饮料; 含水果酒精饮料; 白酒; 葡萄酒; 酒精饮料原汁; 酒精饮料（啤酒除外） 查看详细信息</t>
  </si>
  <si>
    <t>即墨市北宗黄酒有限公司</t>
  </si>
  <si>
    <t>郡墨</t>
  </si>
  <si>
    <t>白酒; 青稞酒; 米酒; 鸡尾酒; 谷物制蒸馏酒精饮料; 清酒（日本米酒）; 黄酒; 开胃酒; 葡萄酒; 果酒（含酒精） 查看详细信息</t>
  </si>
  <si>
    <t>元树文440126********5456</t>
  </si>
  <si>
    <t>金僖福</t>
  </si>
  <si>
    <t>鸡尾酒; 黄酒; 烧酒; 烈酒（饮料）; 酒精饮料（啤酒除外）; 白酒; 含水果酒精饮料; 果酒（含酒精）; 开胃酒; 米酒 查看详细信息</t>
  </si>
  <si>
    <t>沈佳音</t>
  </si>
  <si>
    <t>葡萄酒; 含水果酒精饮料; 白酒; 酒精饮料（啤酒除外）; 烈酒（饮料）; 黄酒; 开胃酒; 烧酒; 鸡尾酒; 米酒 查看详细信息</t>
  </si>
  <si>
    <t>魔法小八 让生活更有趣</t>
  </si>
  <si>
    <t>果酒（含酒精）; 亚力酒; 威士忌; 清酒（日本米酒）; 白兰地; 开胃酒; 青稞酒; 葡萄酒; 鸡尾酒; 薄荷酒 查看详细信息</t>
  </si>
  <si>
    <t>天津津帝酒业有限公司</t>
  </si>
  <si>
    <t>帝皇花扁壶</t>
  </si>
  <si>
    <t>白酒; 果酒（含酒精）; 烧酒; 葡萄酒; 白兰地; 清酒; 黄酒; 利口酒; 米酒; 汽酒 查看详细信息</t>
  </si>
  <si>
    <t>朱文玉</t>
  </si>
  <si>
    <t>卡百利道小酒</t>
  </si>
  <si>
    <t>果酒; 葡萄酒; 鸡尾酒; 烈酒; 烧酒; 含酒精的饮料（啤酒除外）; 高粱酒; 白酒; 黄酒; 以葡萄酒为主的开胃酒 查看详细信息</t>
  </si>
  <si>
    <t>上海法堡国际贸易有限公司</t>
  </si>
  <si>
    <t>ROSENGENT</t>
  </si>
  <si>
    <t>葡萄酒; 苹果酒; 朗姆酒; 伏特加酒; 含水果酒精饮料; 果酒（含酒精）; 鸡尾酒; 白兰地; 白酒; 威士忌 查看详细信息</t>
  </si>
  <si>
    <t>贵州元逸飞贸易有限公司</t>
  </si>
  <si>
    <t>带经而锄</t>
  </si>
  <si>
    <t>餐后酒（利口酒和烈酒）; 谷物制蒸馏酒精饮料; 露酒; 白酒; 烈酒（饮料）; 米酒; 果酒（含酒精）; 葡萄酒; 蒸馏饮料; 苹果酒 查看详细信息</t>
  </si>
  <si>
    <t>黑龙江省玉泉酒业有限责任公司</t>
  </si>
  <si>
    <t>玉泉方瓶</t>
  </si>
  <si>
    <t>葡萄酒; 白酒; 清酒; 米酒; 果酒（含酒精）; 威士忌; 酒精饮料（啤酒除外）; 蒸馏饮料; 黄酒; 烈酒（饮料） 查看详细信息</t>
  </si>
  <si>
    <t>保定君酌商贸有限公司</t>
  </si>
  <si>
    <t>诚信君酌</t>
  </si>
  <si>
    <t>青稞酒; 红葡萄酒; 果酒; 烧酒; 黄酒; 苦荞酒; 白酒; 高粱酒; 烈酒; 露酒 查看详细信息</t>
  </si>
  <si>
    <t>JLKWIN</t>
  </si>
  <si>
    <t>葡萄酒; 鸡尾酒; 酒精饮料（啤酒除外）; 清酒; 果酒（含酒精）; 烈酒; 威士忌; 汽酒; 谷物制蒸馏酒精饮料; 白酒 查看详细信息</t>
  </si>
  <si>
    <t>曾泽坤</t>
  </si>
  <si>
    <t>曾小己</t>
  </si>
  <si>
    <t>烈酒（饮料）; 蜂蜜酒; 食用酒精; 果酒（含酒精）; 白酒; 酒精饮料（啤酒除外）; 开胃酒; 葡萄酒; 米酒; 餐后酒（利口酒和烈酒） 查看详细信息</t>
  </si>
  <si>
    <t>贵州万酌酒业集团有限公司</t>
  </si>
  <si>
    <t>财韵窖</t>
  </si>
  <si>
    <t>鸡尾酒; 葡萄酒; 利口酒; 烈酒（饮料）; 烧酒; 苹果酒; 谷物制蒸馏酒精饮料; 白酒; 果酒（含酒精）; 黄酒 查看详细信息</t>
  </si>
  <si>
    <t>贵州省仁怀市福客来酒业有限公司</t>
  </si>
  <si>
    <t>福御客</t>
  </si>
  <si>
    <t>葡萄酒; 烈酒（饮料）; 清酒（日本米酒）; 果酒（含酒精）; 鸡尾酒; 酒精饮料（啤酒除外）; 烧酒; 黄酒; 米酒; 白酒 查看详细信息</t>
  </si>
  <si>
    <t>江门市新会区甘满堂陈皮食品有限公司</t>
  </si>
  <si>
    <t>祿语时代</t>
  </si>
  <si>
    <t>黄酒; 葡萄酒; 果酒; 白酒; 蒸煮提取物（利口酒和烈酒）; 烈酒（饮料）; 鸡尾酒; 酒精饮料（啤酒除外）; 威士忌; 米酒 查看详细信息</t>
  </si>
  <si>
    <t>安徽省红龙生态农业科技有限公司</t>
  </si>
  <si>
    <t>乐享鹿</t>
  </si>
  <si>
    <t>葡萄酒; 米酒; 烧酒; 樱桃酒; 鸡尾酒; 黄酒; 梨酒; 白酒; 开胃酒; 白兰地 查看详细信息</t>
  </si>
  <si>
    <t>上海酉米酒业有限公司</t>
  </si>
  <si>
    <t>YI HAO MEIJIU</t>
  </si>
  <si>
    <t>黄酒; 烈酒（饮料）; 白兰地; 葡萄酒; 果酒（含酒精）; 白酒; 食用酒精; 威士忌; 朗姆酒; 伏特加酒 查看详细信息</t>
  </si>
  <si>
    <t>王鹏</t>
  </si>
  <si>
    <t>KAFITE</t>
  </si>
  <si>
    <t>高粱酒; 鸡尾酒; 米酒; 葡萄酒; 烈酒（饮料）; 黄酒; 伏特加酒; 白酒; 酒精饮料（啤酒除外）; 果酒（含酒精） 查看详细信息</t>
  </si>
  <si>
    <t>李天军530113********1313</t>
  </si>
  <si>
    <t>归好农庄 GUIHAO FERM</t>
  </si>
  <si>
    <t>米酒; 酒精饮料（啤酒除外）; 果酒; 葡萄酒; 甜酒; 威士忌; 黄酒; 白酒; 清酒; 汽酒 查看详细信息</t>
  </si>
  <si>
    <t>青岛芯源博科贸有限公司</t>
  </si>
  <si>
    <t>镜涵池</t>
  </si>
  <si>
    <t>老酒（中国蒸馏烈酒）; 酒精饮料原汁; 白酒; 已调味的麦芽酿制的酒精饮料（啤酒除外）; 酒精饮料（啤酒除外）; 谷物制蒸馏酒精饮料; 烈酒（饮料）; 预先混合的酒精饮料（以啤酒为主的除外）; 黄酒; 含酒精的饮料（啤酒除外） 查看详细信息</t>
  </si>
  <si>
    <t>清酒（日本米酒）; 葡萄酒; 青稞酒; 薄荷酒; 白兰地; 亚力酒; 威士忌; 鸡尾酒; 开胃酒; 果酒（含酒精） 查看详细信息</t>
  </si>
  <si>
    <t>重庆尘钢汉商贸有限公司</t>
  </si>
  <si>
    <t>巧练衡</t>
  </si>
  <si>
    <t>开胃酒; 葡萄酒; 谷物制蒸馏酒精饮料; 预先混合的酒精饮料（以啤酒为主的除外）; 以葡萄酒为主的饮料; 白酒; 食用酒精; 果酒（含酒精）; 烈酒（饮料）; 酒精饮料（啤酒除外） 查看详细信息</t>
  </si>
  <si>
    <t>贵州耀台酒业（集团）有限公司</t>
  </si>
  <si>
    <t>耀百朝</t>
  </si>
  <si>
    <t>酒精饮料（啤酒除外）; 烧酒; 果酒（含酒精）; 蒸煮提取物（利口酒和烈酒）; 烈酒（饮料）; 酒精饮料原汁; 酒精饮料浓缩汁; 白酒; 食用酒精; 蒸馏饮料 查看详细信息</t>
  </si>
  <si>
    <t>贵州匠明酒业销售有限公司</t>
  </si>
  <si>
    <t>兴龙门</t>
  </si>
  <si>
    <t>酒精饮料原汁; 米酒; 葡萄酒; 白兰地; 黄酒; 露酒; 梨酒; 青稞酒; 白酒; 果酒（含酒精） 查看详细信息</t>
  </si>
  <si>
    <t>王帅垚</t>
  </si>
  <si>
    <t>冠四方</t>
  </si>
  <si>
    <t>米酒; 利口酒; 烈酒（饮料）; 开胃酒; 白兰地; 烧酒; 酒精饮料（啤酒除外）; 葡萄酒; 食用酒精; 白酒 查看详细信息</t>
  </si>
  <si>
    <t>广东泰升药业有限公司</t>
  </si>
  <si>
    <t>旗修堂</t>
  </si>
  <si>
    <t>葡萄酒; 清酒（日本米酒）; 预先混合的酒精饮料（以啤酒为主的除外）; 酒精饮料（啤酒除外）; 威士忌; 食用酒精; 含水果酒精饮料; 蒸馏饮料; 白酒; 烈酒 查看详细信息</t>
  </si>
  <si>
    <t>辽宁中屏科技股份有限公司</t>
  </si>
  <si>
    <t>多屏</t>
  </si>
  <si>
    <t>果酒; 烈酒; 威士忌; 鸡尾酒; 米酒; 白酒; 烧酒; 高粱酒; 黄酒; 白干酒（中国白酒） 查看详细信息</t>
  </si>
  <si>
    <t>陕西左岸香颂酒业集团有限公司</t>
  </si>
  <si>
    <t>丘葡特</t>
  </si>
  <si>
    <t>白酒; 酒精饮料（啤酒除外）; 果酒（含酒精）; 鸡尾酒; 米酒; 清酒（日本米酒）; 黄酒; 葡萄酒; 烧酒; 烈酒（饮料） 查看详细信息</t>
  </si>
  <si>
    <t>贵州仁怀安佳醇酒业有限公司</t>
  </si>
  <si>
    <t>细台山水</t>
  </si>
  <si>
    <t>黄酒; 高粱酒; 酒精饮料原汁; 白酒; 开胃酒; 酒精饮料（啤酒除外）; 烧酒; 老酒（中国蒸馏烈酒）; 白干酒（中国白酒）; 葡萄酒 查看详细信息</t>
  </si>
  <si>
    <t>宿州尹品汇酒业有限公司</t>
  </si>
  <si>
    <t>乃绿</t>
  </si>
  <si>
    <t>烈酒; 烧酒; 白酒; 酒精饮料（啤酒除外）; 黄酒; 果酒; 米酒; 老酒（中国蒸馏烈酒）; 葡萄酒; 高粱酒 查看详细信息</t>
  </si>
  <si>
    <t>广州金竹酒业有限公司</t>
  </si>
  <si>
    <t>清酒（日本米酒）; 白酒; 黄酒; 果酒（含酒精）; 鸡尾酒; 烧酒; 葡萄酒; 酒精饮料（啤酒除外）; 米酒; 烈酒（饮料） 查看详细信息</t>
  </si>
  <si>
    <t>南通星浩供水设备有限公司</t>
  </si>
  <si>
    <t>万笙歌</t>
  </si>
  <si>
    <t>开胃酒; 白酒; 酒精饮料（啤酒除外）; 鸡尾酒; 烈酒; 果酒（含酒精）; 清酒（日本米酒）; 威士忌; 黄酒; 葡萄酒 查看详细信息</t>
  </si>
  <si>
    <t>河北合集睿科技有限公司</t>
  </si>
  <si>
    <t>合享生活</t>
  </si>
  <si>
    <t>起泡白葡萄酒; 鸡尾酒; 果酒（含酒精）; 米酒; 白酒; 红葡萄酒; 黄酒; 白兰地; 威士忌; 白葡萄酒 查看详细信息</t>
  </si>
  <si>
    <t>中海储能科技（北京）有限公司</t>
  </si>
  <si>
    <t>食用酒精; 烧酒; 果酒（含酒精）; 鸡尾酒; 葡萄酒; 米酒; 白酒; 清酒; 白兰地; 酒精饮料（啤酒除外） 查看详细信息</t>
  </si>
  <si>
    <t>哈尔滨龙江龙兴昌酒业有限公司</t>
  </si>
  <si>
    <t>龙凤呈祥龙江龙</t>
  </si>
  <si>
    <t>烈酒（饮料）; 米酒; 白酒; 酒精饮料（啤酒除外）; 葡萄酒; 黄酒; 烧酒; 鸡尾酒; 清酒（日本米酒）; 果酒（含酒精） 查看详细信息</t>
  </si>
  <si>
    <t>凤舞承运龙江龙</t>
  </si>
  <si>
    <t>烧酒; 清酒（日本米酒）; 黄酒; 白酒; 米酒; 果酒（含酒精）; 鸡尾酒; 葡萄酒; 酒精饮料（啤酒除外）; 烈酒（饮料） 查看详细信息</t>
  </si>
  <si>
    <t>王政</t>
  </si>
  <si>
    <t>密台</t>
  </si>
  <si>
    <t>米酒; 酒精饮料（啤酒除外）; 烈酒（饮料）; 葡萄酒; 白酒; 威士忌; 食用酒精; 黄酒; 果酒（含酒精）; 含水果酒精饮料 查看详细信息</t>
  </si>
  <si>
    <t>泰州市睿王日用品有限公司</t>
  </si>
  <si>
    <t>W 禾一今</t>
  </si>
  <si>
    <t>果酒; 白干酒（中国白酒）; 高粱酒; 甜酒; 青梅酒; 含酒精的饮料（啤酒除外）; 白酒; 烈性干酒; 由谷物蒸馏的白酒; 老酒（中国蒸馏烈酒） 查看详细信息</t>
  </si>
  <si>
    <t>胡秋英</t>
  </si>
  <si>
    <t>CHARLES LANEY 查理·兰尼轩</t>
  </si>
  <si>
    <t>白酒; 葡萄酒; 鸡尾酒; 酒精饮料（啤酒除外）; 烈酒（饮料）; 米酒; 果酒（含酒精）; 白兰地; 威士忌; 烧酒 查看详细信息</t>
  </si>
  <si>
    <t>亚音娱改科技（深圳）有限公司</t>
  </si>
  <si>
    <t>A M SIC IVAL</t>
  </si>
  <si>
    <t>白酒; 朗姆酒; 果酒（含酒精）; 白兰地; 烈酒（饮料）; 伏特加酒; 食用酒精; 威士忌; 葡萄酒; 黄酒 查看详细信息</t>
  </si>
  <si>
    <t>西安贝千电子商务有限公司</t>
  </si>
  <si>
    <t>悦醉一香</t>
  </si>
  <si>
    <t>白酒; 伏特加酒; 鸡尾酒; 白兰地; 果酒; 含酒精的饮料（啤酒除外）; 葡萄酒; 威士忌; 米酒; 黄酒 查看详细信息</t>
  </si>
  <si>
    <t>上海全唐广告有限公司</t>
  </si>
  <si>
    <t>外滩乐活</t>
  </si>
  <si>
    <t>白酒; 高粱酒; 黄酒; 酒精饮料（啤酒除外）; 果酒（含酒精）; 含酒精的鸡尾酒混合饮品; 甜酒; 老酒（中国蒸馏烈酒）; 白干酒（中国白酒）; 含酒精水果饮料; 露酒 查看详细信息</t>
  </si>
  <si>
    <t>湖南华兴酒业有限公司</t>
  </si>
  <si>
    <t>杜松子酒; 鸡尾酒; 葡萄酒; 朗姆酒; 白兰地; 蜂蜜酒; 威士忌; 果酒; 利口酒; 伏特加酒 查看详细信息</t>
  </si>
  <si>
    <t>林贵林</t>
  </si>
  <si>
    <t>迈狮</t>
  </si>
  <si>
    <t>威士忌; 蒸煮提取物（利口酒和烈酒）; 白兰地; 酒精饮料原汁; 酒精饮料（啤酒除外）; 黄酒; 白酒; 鸡尾酒; 葡萄酒; 果酒（含酒精） 查看详细信息</t>
  </si>
  <si>
    <t>四川金小台酒业有限公司</t>
  </si>
  <si>
    <t>半左半右</t>
  </si>
  <si>
    <t>葡萄酒; 食用酒精; 蒸煮提取物（利口酒和烈酒）; 白酒; 除啤酒外的酒精饮料; 开胃酒; 老酒（中国蒸馏烈酒）; 蒸馏饮料; 烧酒; 甜果酒 查看详细信息</t>
  </si>
  <si>
    <t>浙江松寿堂医药有限公司</t>
  </si>
  <si>
    <t>地球松</t>
  </si>
  <si>
    <t>蒸馏饮料; 利口酒; 烧酒; 开胃酒; 果酒（含酒精）; 葡萄酒; 白酒; 酒精饮料（啤酒除外）; 烈酒（饮料）; 食用酒精 查看详细信息</t>
  </si>
  <si>
    <t>广西世金供应链有限责任公司</t>
  </si>
  <si>
    <t>臻珪淳</t>
  </si>
  <si>
    <t>鸡尾酒; 葡萄酒; 黄酒; 烈酒（饮料）; 酒精饮料（啤酒除外）; 白酒; 烧酒; 果酒（含酒精）; 米酒; 蒸馏饮料 查看详细信息</t>
  </si>
  <si>
    <t>海南凡创科技有限公司</t>
  </si>
  <si>
    <t>森华千年</t>
  </si>
  <si>
    <t>威士忌; 白兰地; 烧酒; 果酒（含酒精）; 白酒; 蒸馏饮料; 米酒; 黄酒; 鸡尾酒; 葡萄酒 查看详细信息</t>
  </si>
  <si>
    <t>苍南县苍井酒厂</t>
  </si>
  <si>
    <t>谷心淳</t>
  </si>
  <si>
    <t>谷物制蒸馏酒精饮料; 蒸煮提取物（利口酒和烈酒）; 黄酒; 樱桃酒; 烧酒; 青稞酒; 蒸馏饮料; 含水果酒精饮料; 白酒; 米酒 查看详细信息</t>
  </si>
  <si>
    <t>铁门关市昊晨畜牧养殖专业合作社</t>
  </si>
  <si>
    <t>鹿天晨</t>
  </si>
  <si>
    <t>黄酒; 烧酒; 汽酒; 蒸馏饮料; 鸡尾酒; 果酒（含酒精）; 烈酒（饮料）; 白酒; 薄荷酒; 开胃酒 查看详细信息</t>
  </si>
  <si>
    <t>细台故事</t>
  </si>
  <si>
    <t>酒精饮料（啤酒除外）; 烧酒; 酒精饮料原汁; 高粱酒; 白干酒（中国白酒）; 黄酒; 开胃酒; 葡萄酒; 白酒; 老酒（中国蒸馏烈酒） 查看详细信息</t>
  </si>
  <si>
    <t>张文选</t>
  </si>
  <si>
    <t>雅梦圆</t>
  </si>
  <si>
    <t>蒸馏饮料; 白酒; 黄酒; 开胃酒; 伏特加酒; 鸡尾酒; 白兰地; 果酒（含酒精）; 清酒（日本米酒）; 葡萄酒 查看详细信息</t>
  </si>
  <si>
    <t>昆山弘惠食品有限公司</t>
  </si>
  <si>
    <t>CAFEBREAK</t>
  </si>
  <si>
    <t>服装; 骑自行车服装; 雨衣; 鞋; 帽; 袜; 手套（服装）; 领带; 围巾; 腰带 查看详细信息</t>
  </si>
  <si>
    <t>贵州星谷农业科技有限公司</t>
  </si>
  <si>
    <t>星谷云</t>
  </si>
  <si>
    <t>果酒（含酒精）; 葡萄酒; 高粱酒; 烧酒; 老酒（中国蒸馏烈酒）; 白干酒（中国白酒）; 苦荞酒; 酒精饮料（啤酒除外）; 黄酒; 白酒 查看详细信息</t>
  </si>
  <si>
    <t>骆利琴</t>
  </si>
  <si>
    <t>北国祥瑞</t>
  </si>
  <si>
    <t>白干酒（中国白酒）; 白酒; 清酒（日本米酒）; 烈酒（饮料）; 鸡尾酒; 蒸馏饮料; 黄酒; 果酒; 果酒（含酒精）; 酒精饮料（啤酒除外） 查看详细信息</t>
  </si>
  <si>
    <t>龙明本</t>
  </si>
  <si>
    <t>泡木冲</t>
  </si>
  <si>
    <t>黄酒; 红葡萄酒; 葡萄酒; 酒精饮料（啤酒除外）; 高粱酒; 蜂蜜酒; 米酒; 烧酒; 白酒; 含酒精水果饮料 查看详细信息</t>
  </si>
  <si>
    <t>闫浩</t>
  </si>
  <si>
    <t>京大王</t>
  </si>
  <si>
    <t>果酒（含酒精）; 米酒; 由谷物蒸馏的白酒; 高粱酒; 白干酒（中国白酒）; 烈酒（饮料）; 黄酒; 老酒（中国蒸馏烈酒）; 汽酒; 白酒 查看详细信息</t>
  </si>
  <si>
    <t>浙江铭穗实业有限公司</t>
  </si>
  <si>
    <t>刘府源地大作坊</t>
  </si>
  <si>
    <t>葡萄酒; 米酒; 烧酒; 甜酒; 老酒（中国蒸馏烈酒）; 蜂蜜酒; 黄酒; 白酒; 清酒; 果酒（含酒精） 查看详细信息</t>
  </si>
  <si>
    <t>中科国龙生物科技发展（北京）有限公司</t>
  </si>
  <si>
    <t>京龙天承</t>
  </si>
  <si>
    <t>烧酒; 葡萄酒; 预先混合的酒精饮料（以啤酒为主的除外）; 清酒（日本米酒）; 含水果酒精饮料; 米酒; 酒精饮料（啤酒除外）; 黄酒; 果酒（含酒精）; 白酒 查看详细信息</t>
  </si>
  <si>
    <t>连云港兰凌渡酒业有限公司</t>
  </si>
  <si>
    <t>兰凌渡</t>
  </si>
  <si>
    <t>果酒（含酒精）; 米酒; 酒精饮料（啤酒除外）; 威士忌; 鸡尾酒; 清酒（日本米酒）; 黄酒; 葡萄酒; 白酒; 青稞酒 查看详细信息</t>
  </si>
  <si>
    <t>周春</t>
  </si>
  <si>
    <t>丰谷鼎</t>
  </si>
  <si>
    <t>烧酒; 米酒; 果酒（含酒精）; 鸡尾酒; 黄酒; 清酒（日本米酒）; 酒精饮料（啤酒除外）; 白酒; 烈酒（饮料）; 葡萄酒 查看详细信息</t>
  </si>
  <si>
    <t>浙江澎湃酒业有限公司</t>
  </si>
  <si>
    <t>江湖澎湃</t>
  </si>
  <si>
    <t>白酒; 果酒（含酒精）; 鸡尾酒; 烧酒; 米酒; 甘蔗制烈酒; 葡萄酒; 烈酒（饮料）; 酒精饮料（啤酒除外）; 黄酒 查看详细信息</t>
  </si>
  <si>
    <t>公元管道(深圳)有限公司</t>
  </si>
  <si>
    <t>永高</t>
  </si>
  <si>
    <t>葡萄酒; 果酒（含酒精）; 果酒; 烧酒; 白兰地; 烈酒（饮料）; 黄酒; 米酒; 茴香酒（利口酒）; 汽酒 查看详细信息</t>
  </si>
  <si>
    <t>四川长飙科技有限公司</t>
  </si>
  <si>
    <t>长飙</t>
  </si>
  <si>
    <t>葡萄酒; 威士忌; 鸡尾酒; 白兰地; 伏特加酒; 清酒（日本米酒）; 朗姆酒; 烧酒; 白酒; 果酒（含酒精） 查看详细信息</t>
  </si>
  <si>
    <t>广西中怡生物科技有限公司</t>
  </si>
  <si>
    <t>马甄红</t>
  </si>
  <si>
    <t>蜂蜜酒; 白酒; 葡萄酒; 柑香酒; 果酒; 露酒; 米酒; 甘蔗制酒精饮料; 含酒精的饮料（啤酒除外）; 黄酒; 蒸馏饮料; 朗姆酒; 高粱酒; 烈酒; 老酒（中国蒸馏烈酒） 查看详细信息</t>
  </si>
  <si>
    <t>信阳栗达康食品有限公司</t>
  </si>
  <si>
    <t>栗达康</t>
  </si>
  <si>
    <t>鸡尾酒; 烧酒; 威士忌; 米酒; 黄酒; 白酒; 伏特加酒; 烈酒（饮料）; 葡萄酒; 白兰地 查看详细信息</t>
  </si>
  <si>
    <t>北京合能科技有限公司</t>
  </si>
  <si>
    <t>HENECO</t>
  </si>
  <si>
    <t>果酒（含酒精）; 白酒; 利口酒; 以葡萄酒为主的饮料; 已调味的麦芽酿制的酒精饮料（啤酒除外）; 米酒; 黄酒; 鸡尾酒; 酒精饮料（啤酒除外）; 葡萄酒 查看详细信息</t>
  </si>
  <si>
    <t>漳州市尊尚贸易有限公司</t>
  </si>
  <si>
    <t>鲸父</t>
  </si>
  <si>
    <t>葡萄酒; 含酒精的饮料（啤酒除外）; 果酒; 鸡尾酒; 伏特加酒; 白酒; 米酒; 威士忌; 黄酒; 白兰地 查看详细信息</t>
  </si>
  <si>
    <t>衡水衡湖醇酿酒有限责任公司</t>
  </si>
  <si>
    <t>德水衡湖醇</t>
  </si>
  <si>
    <t>白兰地; 伏特加酒; 利口酒; 烈酒（饮料）; 白酒; 黄酒; 威士忌; 米酒; 葡萄酒; 烧酒 查看详细信息</t>
  </si>
  <si>
    <t>陕西万凤酒业有限公司</t>
  </si>
  <si>
    <t>万凤酒</t>
  </si>
  <si>
    <t>食用酒精; 烧酒; 白酒; 黄酒; 红葡萄酒; 烧酒（烈酒）; 烈酒; 甜酒; 清酒; 果酒 查看详细信息</t>
  </si>
  <si>
    <t>袁迪</t>
  </si>
  <si>
    <t>元老翁</t>
  </si>
  <si>
    <t>酒精饮料（啤酒除外）; 白酒; 鸡尾酒; 葡萄酒; 黄酒; 烧酒; 米酒; 果酒（含酒精）; 清酒（日本米酒）; 烈酒（饮料） 查看详细信息</t>
  </si>
  <si>
    <t>毛桂朋</t>
  </si>
  <si>
    <t>诱趣</t>
  </si>
  <si>
    <t>葡萄酒; 烧酒; 米酒; 黄酒; 含水果酒精饮料; 果酒（含酒精）; 开胃酒; 威士忌; 食用酒精; 白酒 查看详细信息</t>
  </si>
  <si>
    <t>贵州双雄酒业集团有限公司</t>
  </si>
  <si>
    <t>双雄美</t>
  </si>
  <si>
    <t>葡萄酒; 果酒（含酒精）; 青稞酒; 米酒; 老酒（中国蒸馏烈酒）; 果酒; 甜果酒; 梅酒; 黄酒; 白酒 查看详细信息</t>
  </si>
  <si>
    <t>囍迎年</t>
  </si>
  <si>
    <t>葡萄酒; 白酒; 青稞酒; 果酒（含酒精）; 老酒（中国蒸馏烈酒）; 甜果酒; 黄酒; 梅酒; 果酒; 米酒 查看详细信息</t>
  </si>
  <si>
    <t>山西汾藏大曲清香酒业有限公司</t>
  </si>
  <si>
    <t>腾藏幸福</t>
  </si>
  <si>
    <t>米酒; 酒精饮料（啤酒除外）; 食用酒精; 清酒; 白酒; 烧酒; 葡萄酒; 酒精饮料原汁; 果酒（含酒精）; 利口酒 查看详细信息</t>
  </si>
  <si>
    <t>十堰金仙子农业开发有限公司</t>
  </si>
  <si>
    <t>花蝶村</t>
  </si>
  <si>
    <t>米酒; 蜂蜜酒; 白酒; 果酒（含酒精）; 酒精饮料（啤酒除外）; 已调味的蒸馏酒; 烧酒; 白兰地; 葡萄酒; 黄酒 查看详细信息</t>
  </si>
  <si>
    <t>厦门鸿润欣文化传播有限公司</t>
  </si>
  <si>
    <t>沛力泉 PEINITY</t>
  </si>
  <si>
    <t>白酒; 预先混合的酒精饮料（以啤酒为主的除外）; 蜂蜜酒; 蒸馏饮料; 餐后酒（利口酒和烈酒）; 酸酒（低等葡萄酒）; 果酒（含酒精）; 葡萄酒; 含水果酒精饮料; 谷物制蒸馏酒精饮料 查看详细信息</t>
  </si>
  <si>
    <t>天酩山</t>
  </si>
  <si>
    <t>果酒（含酒精）; 白酒; 黄酒; 苹果酒; 米酒; 谷物制蒸馏酒精饮料; 烈酒（饮料）; 葡萄酒; 青稞酒; 餐后酒（利口酒和烈酒） 查看详细信息</t>
  </si>
  <si>
    <t>怀化市鹤城区山禾商行</t>
  </si>
  <si>
    <t>和道至仁</t>
  </si>
  <si>
    <t>烧酒; 白兰地; 葡萄酒; 烈酒（饮料）; 米酒; 白酒; 威士忌; 伏特加酒; 果酒（含酒精）; 黄酒 查看详细信息</t>
  </si>
  <si>
    <t>郑州宏城商贸有限公司</t>
  </si>
  <si>
    <t>蒸馏饮料; 烧酒（烈酒）; 白酒; 烈酒（饮料）; 果酒（含酒精）; 青稞酒; 食用酒精; 米酒; 黄酒; 汽酒 查看详细信息</t>
  </si>
  <si>
    <t>陈广</t>
  </si>
  <si>
    <t>AERGO</t>
  </si>
  <si>
    <t>白兰地; 鸡尾酒; 葡萄酒; 利口酒; 清酒; 伏特加酒; 威士忌; 含酒精水果饮料; 烈酒; 朗姆酒 查看详细信息</t>
  </si>
  <si>
    <t>邓文斌</t>
  </si>
  <si>
    <t>奕福</t>
  </si>
  <si>
    <t>葡萄酒; 朗姆酒; 高粱酒; 青稞酒; 黄酒; 利口酒; 白兰地; 伏特加酒; 威士忌; 白酒 查看详细信息</t>
  </si>
  <si>
    <t>河南宝溪实业有限公司</t>
  </si>
  <si>
    <t>龙翁诗</t>
  </si>
  <si>
    <t>米酒; 预先混合的酒精饮料（以啤酒为主的除外）; 黄酒; 含水果酒精饮料; 烧酒（烈酒）; 谷物制蒸馏酒精饮料; 由谷物蒸馏的白酒; 果酒; 高粱酒; 白酒 查看详细信息</t>
  </si>
  <si>
    <t>班瑞克酿酒有限公司</t>
  </si>
  <si>
    <t>格兰拉索</t>
  </si>
  <si>
    <t>烈酒; 威士忌; 蒸馏饮料; 酒精饮料（啤酒除外） 查看详细信息</t>
  </si>
  <si>
    <t>刃意</t>
  </si>
  <si>
    <t>果酒（含酒精）; 葡萄酒; 米酒; 黄酒; 含水果酒精饮料; 鸡尾酒; 白酒; 烧酒; 威士忌; 白兰地 查看详细信息</t>
  </si>
  <si>
    <t>姚小庆</t>
  </si>
  <si>
    <t>彩臻凤</t>
  </si>
  <si>
    <t>黄酒; 烈酒（饮料）; 烧酒; 白酒; 高粱酒; 白干酒（中国白酒）; 果酒（含酒精）; 桃红葡萄酒; 青稞酒; 烧酒（烈酒） 查看详细信息</t>
  </si>
  <si>
    <t>东莞市施乐富贸易有限公司</t>
  </si>
  <si>
    <t>酒精饮料（啤酒除外）; 蒸馏饮料; 葡萄酒; 青稞酒; 苹果酒; 杜松子酒; 白兰地; 含水果酒精饮料; 鸡尾酒; 朗姆酒 查看详细信息</t>
  </si>
  <si>
    <t>范李科</t>
  </si>
  <si>
    <t>樽品天下</t>
  </si>
  <si>
    <t>由谷物蒸馏的白酒; 老酒（中国蒸馏烈酒）; 已调味的蒸馏酒; 烧酒（烈酒）; 白干酒（中国白酒）; 酒精饮料（啤酒除外）; 白酒; 果酒; 含酒精的饮料（啤酒除外）; 高粱酒 查看详细信息</t>
  </si>
  <si>
    <t>陕西德柚棠餐饮管理有限责任公司</t>
  </si>
  <si>
    <t>德柚棠</t>
  </si>
  <si>
    <t>梅酒; 白酒; 高粱酒; 苦荞酒; 清酒; 烈性干酒; 苹果酒; 果酒（含酒精）; 葡萄酒; 烧酒 查看详细信息</t>
  </si>
  <si>
    <t>成都和创纵合餐饮管理有限公司</t>
  </si>
  <si>
    <t>烈酒（饮料）; 开胃酒; 鸡尾酒; 葡萄酒; 杜松子酒; 烧酒; 梨酒; 白酒; 苹果酒; 樱桃酒 查看详细信息</t>
  </si>
  <si>
    <t>吕英</t>
  </si>
  <si>
    <t>奇缘时光</t>
  </si>
  <si>
    <t>食用酒精; 白兰地; 黄酒; 白干酒（中国白酒）; 蜂蜜酒; 白酒; 烈酒（饮料）; 烧酒; 葡萄酒; 果酒（含酒精） 查看详细信息</t>
  </si>
  <si>
    <t>郑贵权</t>
  </si>
  <si>
    <t>天罡门</t>
  </si>
  <si>
    <t>开胃酒; 果酒（含酒精）; 蜂蜜酒; 酒精饮料（啤酒除外）; 苹果酒; 葡萄酒; 鸡尾酒; 梨酒; 利口酒; 米酒 查看详细信息</t>
  </si>
  <si>
    <t>蜀国春酒业股份有限公司</t>
  </si>
  <si>
    <t>五接</t>
  </si>
  <si>
    <t>烧酒; 果酒（含酒精）; 利口酒; 烈酒（饮料）; 白酒; 米酒; 汽酒; 葡萄酒; 黄酒; 酒精饮料（啤酒除外） 查看详细信息</t>
  </si>
  <si>
    <t>林州市众禾思食品有限公司</t>
  </si>
  <si>
    <t>乡野众禾 RUSTICHARVEST</t>
  </si>
  <si>
    <t>白酒; 白兰地; 谷物制蒸馏酒精饮料; 清酒（日本米酒）; 米酒; 烈酒（饮料）; 鸡尾酒; 葡萄酒; 威士忌; 果酒（含酒精） 查看详细信息</t>
  </si>
  <si>
    <t>袁浩烨</t>
  </si>
  <si>
    <t>康葩</t>
  </si>
  <si>
    <t>由谷物蒸馏的白酒; 白干酒（中国白酒）; 白酒; 老酒（中国蒸馏烈酒） 查看详细信息</t>
  </si>
  <si>
    <t>安徽酷醉商贸有限公司</t>
  </si>
  <si>
    <t>馥唻香</t>
  </si>
  <si>
    <t>烈酒（饮料）; 白兰地; 威士忌; 鸡尾酒; 米酒; 白酒; 葡萄酒; 烧酒; 黄酒; 清酒（日本米酒） 查看详细信息</t>
  </si>
  <si>
    <t>郑志达</t>
  </si>
  <si>
    <t>五峰山</t>
  </si>
  <si>
    <t>酒精饮料（啤酒除外）; 蜂蜜酒; 伏特加酒; 青稞酒; 鸡尾酒; 薄荷酒; 开胃酒; 日本梅子酒; 蒸馏饮料; 白酒 查看详细信息</t>
  </si>
  <si>
    <t>浙江华景劳务有限公司</t>
  </si>
  <si>
    <t>峰岩鼎</t>
  </si>
  <si>
    <t>白酒; 米酒; 黄酒; 朗姆酒; 烧酒; 烈酒; 白兰地; 威士忌; 果酒（含酒精）; 葡萄酒 查看详细信息</t>
  </si>
  <si>
    <t>北京中科慧钜健康科学技术研究院有限公司</t>
  </si>
  <si>
    <t>神之光影</t>
  </si>
  <si>
    <t>汽酒; 烧酒; 黄酒; 果酒（含酒精）; 食用酒精; 酒精饮料（啤酒除外）; 白酒; 清酒（日本米酒）; 米酒; 葡萄酒 查看详细信息</t>
  </si>
  <si>
    <t>普宁市喜滋颜贸易有限公司</t>
  </si>
  <si>
    <t>海富翁</t>
  </si>
  <si>
    <t>葡萄酒; 果酒; 清酒; 白酒; 酒精饮料浓缩汁; 蒸馏饮料; 米酒; 汽酒; 开胃酒; 烈酒 查看详细信息</t>
  </si>
  <si>
    <t>长沙盛捷酒业有限公司</t>
  </si>
  <si>
    <t>罗曼帝·禧邑</t>
  </si>
  <si>
    <t>果酒（含酒精）; 利口酒; 白酒; 食用酒精; 伏特加酒; 含水果酒精饮料; 葡萄酒; 白兰地; 威士忌; 酒精饮料（啤酒除外） 查看详细信息</t>
  </si>
  <si>
    <t>达州宝岛农业科技开发有限公司</t>
  </si>
  <si>
    <t>思飨家</t>
  </si>
  <si>
    <t>白酒; 葡萄酒; 酒精饮料（啤酒除外）; 米酒; 蜂蜜酒; 威士忌; 果酒（含酒精）; 清酒; 开胃酒; 鸡尾酒 查看详细信息</t>
  </si>
  <si>
    <t>彭致瑞</t>
  </si>
  <si>
    <t>库尔德宁蝶湖</t>
  </si>
  <si>
    <t>葡萄酒; 酒精饮料（啤酒除外）; 蒸煮提取物（利口酒和烈酒）; 烧酒; 烈酒; 果酒（含酒精）; 黄酒; 白干酒（中国白酒）; 白酒; 食用酒精 查看详细信息</t>
  </si>
  <si>
    <t>六安市隋珠玉露酒业有限公司</t>
  </si>
  <si>
    <t>隋珠玉露</t>
  </si>
  <si>
    <t>红葡萄酒; 果酒（含酒精）; 烧酒; 黄酒; 白干酒（中国白酒）; 米酒; 果酒; 鸡尾酒; 白酒; 葡萄酒 查看详细信息</t>
  </si>
  <si>
    <t>贵州仁怀饮故事酒业有限公司</t>
  </si>
  <si>
    <t>颜启动</t>
  </si>
  <si>
    <t>威士忌; 朗姆酒; 利口酒; 白葡萄酒; 高粱酒; 果酒（含酒精）; 伏特加酒; 烈酒; 开胃酒; 白酒 查看详细信息</t>
  </si>
  <si>
    <t>湖南美霖宫健康科技有限公司</t>
  </si>
  <si>
    <t>美霖宫</t>
  </si>
  <si>
    <t>开胃酒; 烈酒（饮料）; 白兰地; 白酒; 酒精饮料（啤酒除外）; 米酒; 黄酒; 果酒（含酒精）; 葡萄酒; 鸡尾酒 查看详细信息</t>
  </si>
  <si>
    <t>郑州万魅软件科技有限公司</t>
  </si>
  <si>
    <t>蒙贵坊</t>
  </si>
  <si>
    <t>果酒; 白酒; 鸡尾酒; 葡萄酒; 黄酒; 米酒; 含酒精蛋奶酒; 白干酒（中国白酒）; 开胃酒; 利口酒 查看详细信息</t>
  </si>
  <si>
    <t>青岛吉宝航商贸有限公司</t>
  </si>
  <si>
    <t>同合僖</t>
  </si>
  <si>
    <t>果酒; 葡萄酒; 含水果酒精饮料; 威士忌; 鸡尾酒; 白酒; 米酒; 露酒; 甜酒; 黄酒 查看详细信息</t>
  </si>
  <si>
    <t>圣玛丁·兆邑</t>
  </si>
  <si>
    <t>果酒（含酒精）; 食用酒精; 含水果酒精饮料; 葡萄酒; 伏特加酒; 威士忌; 利口酒; 白酒; 酒精饮料（啤酒除外）; 白兰地 查看详细信息</t>
  </si>
  <si>
    <t>郑晓娣</t>
  </si>
  <si>
    <t>KOLANKONI</t>
  </si>
  <si>
    <t>米酒; 鸡尾酒; 清酒（日本米酒）; 烈酒; 朗姆酒; 酒精饮料（啤酒除外）; 黄酒; 白酒; 果酒; 葡萄酒 查看详细信息</t>
  </si>
  <si>
    <t>罗曼帝·尚尊</t>
  </si>
  <si>
    <t>白兰地; 白酒; 利口酒; 果酒（含酒精）; 含水果酒精饮料; 酒精饮料（啤酒除外）; 葡萄酒; 威士忌; 伏特加酒; 食用酒精 查看详细信息</t>
  </si>
  <si>
    <t>贵州粮匠台酒业有限公司</t>
  </si>
  <si>
    <t>初台初见</t>
  </si>
  <si>
    <t>果酒（含酒精）; 蒸馏饮料; 白干酒（中国白酒）; 以葡萄酒为主的饮料; 含酒精的充气饮料（啤酒除外）; 酒精饮料（啤酒除外）; 由谷物蒸馏的白酒; 白酒; 高粱酒; 烈酒（饮料） 查看详细信息</t>
  </si>
  <si>
    <t>山东潮红季商业管理咨询有限公司</t>
  </si>
  <si>
    <t>潮红季</t>
  </si>
  <si>
    <t>蒸煮提取物（利口酒和烈酒）; 开胃酒; 汽酒; 利口酒; 酒精饮料（啤酒除外）; 酒精饮料原汁; 黄酒; 烧酒; 葡萄酒; 酸酒（低等葡萄酒） 查看详细信息</t>
  </si>
  <si>
    <t>胥振影</t>
  </si>
  <si>
    <t>蒸馏饮料; 含水果酒精饮料; 葡萄酒; 黄酒; 白兰地; 烈酒（饮料）; 白酒; 甜果酒; 酒精饮料原汁; 米酒 查看详细信息</t>
  </si>
  <si>
    <t>佛山市江渔盛农业科技有限公司</t>
  </si>
  <si>
    <t>南海·海寿岛</t>
  </si>
  <si>
    <t>果酒（含酒精）; 白酒; 米酒; 黄酒; 梅酒; 露酒; 蜂蜜酒; 含酒精的饮料（啤酒除外）; 含水果酒精饮料; 含酒精的充气饮料（啤酒除外） 查看详细信息</t>
  </si>
  <si>
    <t>合肥锦久辰商贸有限公司</t>
  </si>
  <si>
    <t>明皇大帝至尊明绿液</t>
  </si>
  <si>
    <t>白酒; 伏特加酒; 白兰地; 鸡尾酒; 果酒（含酒精）; 蒸煮提取物（利口酒和烈酒）; 威士忌; 米酒; 清酒（日本米酒）; 酒精饮料浓缩汁 查看详细信息</t>
  </si>
  <si>
    <t>北京阳光雨林文化交流中心</t>
  </si>
  <si>
    <t>法兰菲 FLANGE FE</t>
  </si>
  <si>
    <t>贵州中省酒业有限公司</t>
  </si>
  <si>
    <t>醉省阳</t>
  </si>
  <si>
    <t>烧酒(烈酒); 苦味酒; 白干酒(中国白酒); 米酒; 果酒; 黄酒; 烈酒（饮料）; 老酒(中国蒸馏烈酒); 白酒; 烧酒 查看详细信息</t>
  </si>
  <si>
    <t>成都特安特企业管理咨询有限公司</t>
  </si>
  <si>
    <t>神州状元坊</t>
  </si>
  <si>
    <t>白酒; 烈酒（饮料）; 米酒; 谷物制蒸馏酒精饮料; 汽酒; 果酒（含酒精）; 酒精饮料（啤酒除外）; 食用酒精; 预先混合的酒精饮料（以啤酒为主的除外）; 蒸馏饮料 查看详细信息</t>
  </si>
  <si>
    <t>邱桂华</t>
  </si>
  <si>
    <t>粮和液</t>
  </si>
  <si>
    <t>黄酒; 果酒; 白酒; 威士忌; 鸡尾酒; 葡萄酒; 米酒; 酒精饮料（啤酒除外）; 烧酒; 烈酒 查看详细信息</t>
  </si>
  <si>
    <t>徐占喆</t>
  </si>
  <si>
    <t>求史</t>
  </si>
  <si>
    <t>蒸煮提取物（利口酒和烈酒）; 果酒（含酒精）; 烈酒（饮料）; 白酒; 黄酒; 酒精饮料原汁; 含水果酒精饮料; 米酒; 葡萄酒; 蒸馏饮料 查看详细信息</t>
  </si>
  <si>
    <t>贵州正永和酒业股份有限公司</t>
  </si>
  <si>
    <t>睥睨大地</t>
  </si>
  <si>
    <t>烧酒; 黄酒; 青稞酒; 清酒; 高粱酒; 白酒; 露酒; 烈酒; 老酒（中国蒸馏烈酒）; 白干酒（中国白酒） 查看详细信息</t>
  </si>
  <si>
    <t>史蒂芬（广州）实业有限公司</t>
  </si>
  <si>
    <t>STFEN</t>
  </si>
  <si>
    <t>谷物制蒸馏酒精饮料; 白酒; 鸡尾酒; 烧酒; 果酒; 利口酒; 蜂蜜酒; 酒精饮料（啤酒除外）; 米酒; 葡萄汽酒 查看详细信息</t>
  </si>
  <si>
    <t>青岛炊事班餐饮管理有限公司</t>
  </si>
  <si>
    <t>蒙山爷们</t>
  </si>
  <si>
    <t>汽酒; 果酒（含酒精）; 烈酒; 烧酒; 食用酒精; 蒸馏饮料; 酒精饮料（啤酒除外）; 米酒; 葡萄酒; 白酒 查看详细信息</t>
  </si>
  <si>
    <t>北京粤京熹餐饮咨询服务有限公司</t>
  </si>
  <si>
    <t>喂.湘川</t>
  </si>
  <si>
    <t>烧酒; 酒精饮料原汁; 白酒; 含酒精的水果鸡尾酒饮料; 甜果酒; 果酒; 米酒; 蒸馏米酒（泡盛酒）; 白干酒（中国白酒）; 高粱酒 查看详细信息</t>
  </si>
  <si>
    <t>上海炳马帝诺贸易有限公司</t>
  </si>
  <si>
    <t>MM LIONEL PLATINUM</t>
  </si>
  <si>
    <t>果酒; 蒸煮提取物（利口酒和烈酒）; 葡萄酒; 清酒（日本米酒）; 含水果酒精饮料; 白酒; 烈酒; 蒸馏饮料; 利口酒; 烧酒 查看详细信息</t>
  </si>
  <si>
    <t>海南华传实业有限公司</t>
  </si>
  <si>
    <t>琼台志</t>
  </si>
  <si>
    <t>烈酒（饮料）; 烧酒; 白酒; 葡萄酒; 鸡尾酒; 开胃酒; 米酒; 黄酒; 清酒; 果酒（含酒精） 查看详细信息</t>
  </si>
  <si>
    <t>颐正源（天津）生态农业科技有限公司</t>
  </si>
  <si>
    <t>梨酒; 含水果酒精饮料; 甜果酒; 苹果酒; 含酒精水果饮料; 果酒; 草莓酒; 果酒（含酒精）; 葡萄酒; 樱桃酒 查看详细信息</t>
  </si>
  <si>
    <t>泉州金酒贸易有限公司</t>
  </si>
  <si>
    <t>酒精饮料（啤酒除外）; 果酒; 高粱酒; 白干酒（中国白酒）; 白酒; 葡萄酒; 米酒; 梅酒; 含酒精的水果鸡尾酒饮料; 黄酒 查看详细信息</t>
  </si>
  <si>
    <t>罗曼帝·耀世</t>
  </si>
  <si>
    <t>威士忌; 酒精饮料（啤酒除外）; 葡萄酒; 含水果酒精饮料; 伏特加酒; 白酒; 食用酒精; 利口酒; 果酒（含酒精）; 白兰地 查看详细信息</t>
  </si>
  <si>
    <t>贵州正心食品有限公司</t>
  </si>
  <si>
    <t>四廿山青绿</t>
  </si>
  <si>
    <t>老酒（中国蒸馏烈酒）; 高粱酒; 杨梅酒; 米酒; 酒精饮料（啤酒除外）; 白酒; 黄酒; 烧酒; 果酒（含酒精）; 烈酒 查看详细信息</t>
  </si>
  <si>
    <t>黄宝国</t>
  </si>
  <si>
    <t>云领亿品</t>
  </si>
  <si>
    <t>食用酒精; 果酒（含酒精）; 米酒; 威士忌; 白酒; 烧酒; 黄酒; 鸡尾酒; 白兰地; 葡萄酒 查看详细信息</t>
  </si>
  <si>
    <t>房县超悦商贸有限公司</t>
  </si>
  <si>
    <t>紫莫淡然</t>
  </si>
  <si>
    <t>烈酒（饮料）; 开胃酒; 烧酒; 黄酒; 青稞酒; 蜂蜜酒; 米酒; 白酒; 葡萄酒; 鸡尾酒 查看详细信息</t>
  </si>
  <si>
    <t>海南省江诚商贸有限责任公司</t>
  </si>
  <si>
    <t>华小业</t>
  </si>
  <si>
    <t>果酒; 伏特加酒; 蒸馏饮料; 米酒; 梨酒; 威士忌; 白酒; 含水果酒精饮料; 酒精饮料原汁; 清酒 查看详细信息</t>
  </si>
  <si>
    <t>蒙山姑娘</t>
  </si>
  <si>
    <t>白酒; 米酒; 葡萄酒; 食用酒精; 酒精饮料（啤酒除外）; 果酒（含酒精）; 汽酒; 烧酒; 蒸馏饮料; 烈酒 查看详细信息</t>
  </si>
  <si>
    <t>陈显晓</t>
  </si>
  <si>
    <t>野柴</t>
  </si>
  <si>
    <t>米酒; 白酒; 果酒（含酒精）; 烧酒; 黄酒; 烧酒（烈酒）; 高粱酒; 梅酒; 烈酒; 老酒（中国蒸馏烈酒） 查看详细信息</t>
  </si>
  <si>
    <t>谭明学</t>
  </si>
  <si>
    <t>普天长弘</t>
  </si>
  <si>
    <t>鸡尾酒; 烧酒; 果酒; 红葡萄酒; 杨梅酒; 酒精饮料（啤酒除外）; 蜂蜜酒; 米酒; 高粱酒; 白酒 查看详细信息</t>
  </si>
  <si>
    <t>周顺凤</t>
  </si>
  <si>
    <t>传承韵</t>
  </si>
  <si>
    <t>开胃酒; 葡萄酒; 梨酒; 白酒; 烧酒; 清酒（日本米酒）; 黄酒; 青稞酒; 利口酒; 米酒 查看详细信息</t>
  </si>
  <si>
    <t>乘鑫</t>
  </si>
  <si>
    <t>酒精饮料原汁; 葡萄酒; 果酒（含酒精）; 烈酒（饮料）; 白酒; 米酒; 酒精饮料（啤酒除外）; 烧酒; 食用酒精; 黄酒 查看详细信息</t>
  </si>
  <si>
    <t>郑海彪</t>
  </si>
  <si>
    <t>北活画喜</t>
  </si>
  <si>
    <t>烧酒; 黄酒; 白酒; 餐后酒（利口酒和烈酒）; 果酒（含酒精）; 鸡尾酒; 米酒; 开胃酒; 伏特加酒; 含酒精的气泡水 查看详细信息</t>
  </si>
  <si>
    <t>求师</t>
  </si>
  <si>
    <t>米酒; 鸡尾酒; 果酒（含酒精）; 樱桃酒; 黄酒; 烧酒; 葡萄酒; 酒精饮料（啤酒除外）; 食用酒精; 白酒 查看详细信息</t>
  </si>
  <si>
    <t>陈梦奇</t>
  </si>
  <si>
    <t>醉清亦</t>
  </si>
  <si>
    <t>米酒; 果酒（含酒精）; 烈酒（饮料）; 白酒; 餐后酒（利口酒和烈酒）; 含水果酒精饮料; 杨梅酒; 高粱酒; 老酒（中国蒸馏烈酒）; 烧酒 查看详细信息</t>
  </si>
  <si>
    <t>唐裕航510703********2910</t>
  </si>
  <si>
    <t>岚楟叙</t>
  </si>
  <si>
    <t>米酒; 酒精饮料（啤酒除外）; 白酒; 鸡尾酒; 黄酒; 烧酒; 甘蔗制烈酒; 果酒（含酒精）; 葡萄酒; 烈酒（饮料） 查看详细信息</t>
  </si>
  <si>
    <t>贵州省仁怀市君之品酒业有限公司</t>
  </si>
  <si>
    <t>特发牛</t>
  </si>
  <si>
    <t>米酒; 蒸馏饮料; 含酒精的饮料（啤酒除外）; 食用酒精; 酒精饮料（啤酒除外）; 烈酒（饮料）; 鸡尾酒; 果酒（含酒精）; 烧酒; 谷物制蒸馏酒精饮料 查看详细信息</t>
  </si>
  <si>
    <t>令仙喜</t>
  </si>
  <si>
    <t>威士忌; 黄酒; 清酒（日本米酒）; 开胃酒; 烈酒（饮料）; 鸡尾酒; 米酒; 葡萄酒; 白酒; 果酒（含酒精） 查看详细信息</t>
  </si>
  <si>
    <t>吴安城</t>
  </si>
  <si>
    <t>年迹</t>
  </si>
  <si>
    <t>酒精饮料（啤酒除外）; 青稞酒; 米酒; 烈酒; 开胃酒; 果酒; 清酒; 酒精饮料浓缩汁; 伏特加酒; 白酒 查看详细信息</t>
  </si>
  <si>
    <t>敦根·脸谱</t>
  </si>
  <si>
    <t>果酒（含酒精）; 含水果酒精饮料; 米酒; 含酒精的饮料（啤酒除外）; 露酒; 白酒; 蜂蜜酒; 黄酒; 梅酒; 含酒精的充气饮料（啤酒除外） 查看详细信息</t>
  </si>
  <si>
    <t>湖南锦江泉酒业股份有限公司</t>
  </si>
  <si>
    <t>五溪往事</t>
  </si>
  <si>
    <t>果酒（含酒精）; 黄酒; 白兰地; 烈酒（饮料）; 威士忌; 伏特加酒; 葡萄酒; 白酒; 烧酒; 米酒 查看详细信息</t>
  </si>
  <si>
    <t>赣州市锦多多贸易有限公司</t>
  </si>
  <si>
    <t>友顺业兴</t>
  </si>
  <si>
    <t>开胃酒; 烧酒; 利口酒; 白酒; 清酒（日本米酒）; 青稞酒; 梨酒; 葡萄酒; 黄酒; 米酒 查看详细信息</t>
  </si>
  <si>
    <t>四川怡庆然酒类销售有限责任公司</t>
  </si>
  <si>
    <t>醉龙乡</t>
  </si>
  <si>
    <t>清酒; 鸡尾酒; 蜂蜜酒; 米酒; 酒精饮料（啤酒除外）; 果酒（含酒精）; 白酒; 葡萄酒; 开胃酒; 威士忌 查看详细信息</t>
  </si>
  <si>
    <t>浙江忠厚乳业股份有限公司</t>
  </si>
  <si>
    <t>忠厚东金</t>
  </si>
  <si>
    <t>白酒; 酒精饮料（啤酒除外）; 米酒; 葡萄酒; 食用酒精; 鸡尾酒; 酒精饮料原汁; 黄酒; 果酒（含酒精）; 烧酒 查看详细信息</t>
  </si>
  <si>
    <t>遂昌县百安食品厂（个人独资）</t>
  </si>
  <si>
    <t>遂百安</t>
  </si>
  <si>
    <t>黄酒; 白酒; 开胃酒; 白兰地; 酒精饮料（啤酒除外）; 米酒; 朗姆酒; 葡萄酒; 烧酒; 伏特加酒 查看详细信息</t>
  </si>
  <si>
    <t>河北高速公路集团有限公司</t>
  </si>
  <si>
    <t>葡萄酒; 酒精饮料（啤酒除外）; 烧酒; 白酒; 蒸馏饮料; 食用酒精; 果酒（含酒精）; 含水果酒精饮料; 烈酒（饮料）; 鸡尾酒 查看详细信息</t>
  </si>
  <si>
    <t>贵州黔荣幸酒业有限公司</t>
  </si>
  <si>
    <t>黔荣幸 QIANRONGJIU</t>
  </si>
  <si>
    <t>黄酒; 蒸煮提取物（利口酒和烈酒）; 烧酒; 烈酒（饮料）; 果酒（含酒精）; 白酒; 汽酒; 酒精饮料（啤酒除外）; 蒸馏饮料; 蜂蜜酒 查看详细信息</t>
  </si>
  <si>
    <t>财健顺</t>
  </si>
  <si>
    <t>梨酒; 米酒; 开胃酒; 青稞酒; 葡萄酒; 白酒; 利口酒; 清酒（日本米酒）; 烧酒; 黄酒 查看详细信息</t>
  </si>
  <si>
    <t>彭先惠</t>
  </si>
  <si>
    <t>ZHOT</t>
  </si>
  <si>
    <t>开胃酒; 葡萄酒; 清酒（日本米酒）; 酒精饮料（啤酒除外）; 威士忌; 鸡尾酒; 烈酒; 黄酒; 白酒; 果酒（含酒精） 查看详细信息</t>
  </si>
  <si>
    <t>仟金盛牧</t>
  </si>
  <si>
    <t>白酒; 黄酒; 蒸馏饮料; 果酒; 谷物制蒸馏酒精饮料; 酒精饮料（啤酒除外）; 葡萄酒; 清酒; 烧酒; 米酒 查看详细信息</t>
  </si>
  <si>
    <t>邓毓淑</t>
  </si>
  <si>
    <t>世喜天</t>
  </si>
  <si>
    <t>米酒; 鸡尾酒; 威士忌; 黄酒; 清酒（日本米酒）; 开胃酒; 果酒（含酒精）; 葡萄酒; 烈酒（饮料）; 白酒 查看详细信息</t>
  </si>
  <si>
    <t>贵州曲扬沙酒业有限公司</t>
  </si>
  <si>
    <t>曲扬沙平台</t>
  </si>
  <si>
    <t>谷物制蒸馏酒精饮料; 蒸馏饮料; 餐后酒（利口酒和烈酒）; 露酒; 烈酒（饮料）; 果酒（含酒精）; 米酒; 苹果酒; 葡萄酒; 白酒 查看详细信息</t>
  </si>
  <si>
    <t>包钱江</t>
  </si>
  <si>
    <t>环球元气</t>
  </si>
  <si>
    <t>清酒; 葡萄酒; 开胃酒; 米酒; 白酒; 汽酒; 食用酒精; 黄酒; 甜酒; 果酒 查看详细信息</t>
  </si>
  <si>
    <t>董小琴</t>
  </si>
  <si>
    <t>瀫江毛草铺</t>
  </si>
  <si>
    <t>米酒; 黄酒; 露酒; 薏仁酒; 白酒; 烧酒; 葡萄酒; 蜂蜜酒; 酒精饮料（啤酒除外）; 果酒（含酒精） 查看详细信息</t>
  </si>
  <si>
    <t>刘佳惠</t>
  </si>
  <si>
    <t>轻闲</t>
  </si>
  <si>
    <t>黄酒; 鸡尾酒; 果酒; 露酒; 含酒精的气泡水; 葡萄酒; 白酒; 米酒; 酒精饮料（啤酒除外）; 甜酒 查看详细信息</t>
  </si>
  <si>
    <t>世喜道</t>
  </si>
  <si>
    <t>米酒; 烈酒（饮料）; 葡萄酒; 鸡尾酒; 清酒（日本米酒）; 开胃酒; 果酒（含酒精）; 威士忌; 黄酒; 白酒 查看详细信息</t>
  </si>
  <si>
    <t>单小颍</t>
  </si>
  <si>
    <t>小元汽</t>
  </si>
  <si>
    <t>开胃酒; 果酒; 清酒; 葡萄酒; 食用酒精; 白酒; 汽酒; 甜酒; 米酒; 黄酒 查看详细信息</t>
  </si>
  <si>
    <t>史志</t>
  </si>
  <si>
    <t>酒精饮料（啤酒除外）; 果酒（含酒精）; 黄酒; 含水果酒精饮料; 烈酒（饮料）; 甜酒; 白酒; 甜果酒; 红葡萄酒; 葡萄酒 查看详细信息</t>
  </si>
  <si>
    <t>北京怡德营养食品科技有限公司</t>
  </si>
  <si>
    <t>膳姐食养</t>
  </si>
  <si>
    <t>杜松子酒; 餐后酒（利口酒和烈酒）; 葡萄酒; 含水果酒精饮料; 利口酒; 鸡尾酒; 酒精饮料（啤酒除外）; 薄荷酒; 苹果酒; 果酒（含酒精） 查看详细信息</t>
  </si>
  <si>
    <t>张珍土</t>
  </si>
  <si>
    <t>果酒（含酒精）; 烈酒（饮料）; 米酒; 烧酒; 蜂蜜酒; 清酒（日本米酒）; 黄酒; 谷物制蒸馏酒精饮料; 白酒; 葡萄酒 查看详细信息</t>
  </si>
  <si>
    <t>苟鹏</t>
  </si>
  <si>
    <t>煮耀</t>
  </si>
  <si>
    <t>高粱酒; 鸡尾酒; 葡萄酒; 老酒（中国蒸馏烈酒）; 酒精饮料（啤酒除外）; 果酒; 烈酒; 白酒; 烈酒（饮料）; 白干酒（中国白酒） 查看详细信息</t>
  </si>
  <si>
    <t>圣玛丁·尚尊</t>
  </si>
  <si>
    <t>白兰地; 白酒; 果酒（含酒精）; 含水果酒精饮料; 葡萄酒; 利口酒; 食用酒精; 威士忌; 酒精饮料（啤酒除外）; 伏特加酒 查看详细信息</t>
  </si>
  <si>
    <t>书祖烧坊</t>
  </si>
  <si>
    <t>梨酒; 青稞酒; 烧酒; 白酒; 黄酒; 利口酒; 米酒; 开胃酒; 葡萄酒; 清酒（日本米酒） 查看详细信息</t>
  </si>
  <si>
    <t>赵艳芳</t>
  </si>
  <si>
    <t>关中渭</t>
  </si>
  <si>
    <t>烧酒（烈酒）; 老酒（中国蒸馏烈酒）; 清酒; 烧酒; 烈酒; 白酒; 白干酒（中国白酒）; 由谷物蒸馏的白酒; 高粱酒; 果酒 查看详细信息</t>
  </si>
  <si>
    <t>孙志双</t>
  </si>
  <si>
    <t>龙江魂战神</t>
  </si>
  <si>
    <t>汽酒; 黄酒; 果酒（含酒精）; 酒精饮料（啤酒除外）; 烧酒; 白酒; 餐后酒（利口酒和烈酒）; 鸡尾酒; 米酒; 蜂蜜酒 查看详细信息</t>
  </si>
  <si>
    <t>天养国际生物科技（广东）有限公司</t>
  </si>
  <si>
    <t>天养陈</t>
  </si>
  <si>
    <t>葡萄酒; 白酒; 高粱酒; 咖啡利口酒; 杜松子酒; 米酒; 黄酒; 鸡尾酒; 樱桃酒; 以葡萄酒为主的饮料 查看详细信息</t>
  </si>
  <si>
    <t>无天于上</t>
  </si>
  <si>
    <t>白干酒（中国白酒）; 老酒（中国蒸馏烈酒）; 清酒; 白酒; 露酒; 烈酒; 烧酒; 黄酒; 高粱酒; 青稞酒 查看详细信息</t>
  </si>
  <si>
    <t>MM LIONEL DIAMOND</t>
  </si>
  <si>
    <t>烈酒; 果酒; 蒸馏饮料; 葡萄酒; 白酒; 蒸煮提取物（利口酒和烈酒）; 利口酒; 含水果酒精饮料; 烧酒; 清酒（日本米酒） 查看详细信息</t>
  </si>
  <si>
    <t>深圳富业酒堡酒业有限公司</t>
  </si>
  <si>
    <t>卡通狗</t>
  </si>
  <si>
    <t>白兰地; 鸡尾酒; 蒸煮提取物（利口酒和烈酒）; 朗姆酒; 果酒（含酒精）; 葡萄酒; 蒸馏饮料; 伏特加酒; 威士忌; 含水果酒精饮料 查看详细信息</t>
  </si>
  <si>
    <t>赵立康</t>
  </si>
  <si>
    <t>古方汉祖</t>
  </si>
  <si>
    <t>米酒; 黄酒; 葡萄酒; 汽酒; 甜酒; 开胃酒; 果酒; 白酒; 食用酒精; 清酒 查看详细信息</t>
  </si>
  <si>
    <t>初德名仕</t>
  </si>
  <si>
    <t>酒精饮料（啤酒除外）; 伏特加酒; 果酒（含酒精）; 含水果酒精饮料; 葡萄酒; 白兰地; 威士忌; 白酒; 利口酒; 食用酒精 查看详细信息</t>
  </si>
  <si>
    <t>宁波吉联电气有限公司</t>
  </si>
  <si>
    <t>新皇潮</t>
  </si>
  <si>
    <t>老酒（中国蒸馏烈酒）; 烧酒; 日式甜米酒; 黄酒; 白酒; 酒精饮料（啤酒除外）; 含水果酒精饮料; 甜果酒; 米酒; 果酒（含酒精） 查看详细信息</t>
  </si>
  <si>
    <t>林圣贤411421********0130</t>
  </si>
  <si>
    <t>林氏默娘</t>
  </si>
  <si>
    <t>蒸煮提取物（利口酒和烈酒）; 果酒（含酒精）; 白兰地; 酒精饮料（啤酒除外）; 白酒; 葡萄酒; 黄酒; 威士忌; 朗姆酒; 伏特加酒 查看详细信息</t>
  </si>
  <si>
    <t>北京小蜜蜂网易电子商务有限公司</t>
  </si>
  <si>
    <t>梵窖唐</t>
  </si>
  <si>
    <t>米酒; 白酒; 黄酒; 葡萄酒; 烧酒; 食用酒精; 开胃酒; 烧酒（烈酒）; 酸酒（低等葡萄酒）; 薄荷酒 查看详细信息</t>
  </si>
  <si>
    <t>玺鹊（上海）国际贸易有限公司</t>
  </si>
  <si>
    <t>LEOPORD DO</t>
  </si>
  <si>
    <t>葡萄酒; 伏特加酒; 烈酒; 蒸馏饮料; 果酒（含酒精）; 白兰地; 酒精饮料（啤酒除外）; 威士忌; 白酒; 鸡尾酒 查看详细信息</t>
  </si>
  <si>
    <t>邯郸市北朝贸易有限公司</t>
  </si>
  <si>
    <t>牛尾岗</t>
  </si>
  <si>
    <t>烧酒; 果酒; 白葡萄酒; 红葡萄酒; 老酒（中国蒸馏烈酒）; 白酒; 白干酒（中国白酒）; 米酒; 黄酒; 酒精饮料（啤酒除外） 查看详细信息</t>
  </si>
  <si>
    <t>医家井</t>
  </si>
  <si>
    <t>酒精饮料（啤酒除外）; 老酒（中国蒸馏烈酒）; 白葡萄酒; 红葡萄酒; 果酒; 米酒; 白干酒（中国白酒）; 黄酒; 烧酒; 白酒 查看详细信息</t>
  </si>
  <si>
    <t>寿粉琴</t>
  </si>
  <si>
    <t>寿稷</t>
  </si>
  <si>
    <t>果酒; 樱桃酒; 米酒; 谷物制蒸馏酒精饮料; 含水果酒精饮料; 以葡萄酒为主的饮料; 黄酒; 白酒; 葡萄酒; 烧酒 查看详细信息</t>
  </si>
  <si>
    <t>吉艾烈酒集团有限公司</t>
  </si>
  <si>
    <t>MIS AMIGOS 8</t>
  </si>
  <si>
    <t>鸡尾酒; 烈酒（饮料）; 伏特加酒; 杜松子酒; 含奶油利口酒; 白兰地; 酒精饮料（啤酒除外）; 利口酒; 含水果酒精饮料; 预先混合的酒精饮料（以啤酒为主的除外） 查看详细信息</t>
  </si>
  <si>
    <t>中山市爱朵食品科技有限公司</t>
  </si>
  <si>
    <t>姆优泉</t>
  </si>
  <si>
    <t>米酒; 白酒; 烈酒（饮料）; 白兰地; 威士忌; 烧酒; 果酒（含酒精）; 葡萄酒; 黄酒; 清酒（日本米酒） 查看详细信息</t>
  </si>
  <si>
    <t>三明市洋溪城镇建设投资有限公司</t>
  </si>
  <si>
    <t>洋溪阿溪妹</t>
  </si>
  <si>
    <t>开胃酒; 烧酒; 米酒; 青稞酒; 果酒（含酒精）; 含水果酒精饮料; 黄酒; 白酒; 葡萄酒; 蒸馏饮料 查看详细信息</t>
  </si>
  <si>
    <t>厦门古龙进出口有限公司</t>
  </si>
  <si>
    <t>观掌柜</t>
  </si>
  <si>
    <t>威士忌; 清酒; 蒸馏饮料; 开胃酒; 米酒; 葡萄酒; 果酒（含酒精）; 白酒; 白兰地; 烧酒（烈酒） 查看详细信息</t>
  </si>
  <si>
    <t>赵淑萍</t>
  </si>
  <si>
    <t>魔数</t>
  </si>
  <si>
    <t>汽酒; 清酒; 甜酒; 食用酒精; 葡萄酒; 黄酒; 开胃酒; 白酒; 米酒; 果酒 查看详细信息</t>
  </si>
  <si>
    <t>向往者（黑龙江）国际经贸有限责任公司</t>
  </si>
  <si>
    <t>蒲通人</t>
  </si>
  <si>
    <t>高粱酒; 刺五加酒; 米酒; 果酒; 葡萄酒; 烧酒; 老酒（中国蒸馏烈酒）; 白酒; 食用酒精; 已调味的蒸馏酒 查看详细信息</t>
  </si>
  <si>
    <t>四川新朝福湾品牌管理有限公司</t>
  </si>
  <si>
    <t>匿坊醇</t>
  </si>
  <si>
    <t>白酒; 米酒; 黄酒; 果酒（含酒精）; 高粱酒; 老酒（中国蒸馏烈酒）; 葡萄酒; 蜂蜜酒; 酒精饮料（啤酒除外）; 烧酒 查看详细信息</t>
  </si>
  <si>
    <t>陈科全</t>
  </si>
  <si>
    <t>西坝五福川</t>
  </si>
  <si>
    <t>果酒（含酒精）; 葡萄酒; 朗姆酒; 开胃酒; 米酒; 烧酒; 鸡尾酒; 白酒; 酒精饮料（啤酒除外）; 烈酒（饮料） 查看详细信息</t>
  </si>
  <si>
    <t>胡开银</t>
  </si>
  <si>
    <t>满财人生</t>
  </si>
  <si>
    <t>烈酒（饮料）; 葡萄酒; 烈酒; 白酒; 烧酒; 白干酒（中国白酒）; 含水果酒精饮料; 清酒（日本米酒）; 米酒; 高粱酒 查看详细信息</t>
  </si>
  <si>
    <t>程大方</t>
  </si>
  <si>
    <t>晕字辈</t>
  </si>
  <si>
    <t>苹果酒; 青稞酒; 白酒; 果酒（含酒精）; 米酒; 黄酒; 蒸馏饮料; 酒精饮料原汁; 含水果酒精饮料; 开胃酒 查看详细信息</t>
  </si>
  <si>
    <t>贵州天地源酒业有限公司</t>
  </si>
  <si>
    <t>亲和晚酌</t>
  </si>
  <si>
    <t>果酒; 鸡尾酒; 黄酒; 烈酒; 葡萄酒; 米酒; 酒精饮料（啤酒除外）; 清酒; 白酒; 酒精饮料原汁 查看详细信息</t>
  </si>
  <si>
    <t>林霞杰</t>
  </si>
  <si>
    <t>龟仙九宝</t>
  </si>
  <si>
    <t>白酒; 黄酒; 食用酒精; 青梅酒; 含水果酒精饮料; 米酒; 果酒（含酒精）; 清酒（日本米酒）; 烧酒; 葡萄酒 查看详细信息</t>
  </si>
  <si>
    <t>高袁</t>
  </si>
  <si>
    <t>黔师娘</t>
  </si>
  <si>
    <t>葡萄酒; 白兰地; 果酒（含酒精）; 蒸煮提取物（利口酒和烈酒）; 白酒; 威士忌; 酒精饮料原汁; 酒精饮料（啤酒除外）; 黄酒; 鸡尾酒 查看详细信息</t>
  </si>
  <si>
    <t>郑天琦</t>
  </si>
  <si>
    <t>赢春季</t>
  </si>
  <si>
    <t>威士忌; 含酒精的饮料（啤酒除外）; 果酒; 甜酒; 葡萄酒; 烈酒（饮料）; 酒精饮料（啤酒除外）; 米酒; 白酒; 鸡尾酒 查看详细信息</t>
  </si>
  <si>
    <t>赢夏季</t>
  </si>
  <si>
    <t>威士忌; 米酒; 鸡尾酒; 白酒; 果酒; 烈酒（饮料）; 酒精饮料（啤酒除外）; 含酒精的饮料（啤酒除外）; 甜酒; 葡萄酒 查看详细信息</t>
  </si>
  <si>
    <t>北京酿艺文化发展有限公司</t>
  </si>
  <si>
    <t>毛笔</t>
  </si>
  <si>
    <t>含水果酒精饮料; 烧酒; 白酒; 烈酒（饮料）; 米酒; 酒精饮料（啤酒除外）; 果酒（含酒精）; 清酒（日本米酒）; 葡萄酒; 白兰地 查看详细信息</t>
  </si>
  <si>
    <t>河南多福源健康食品有限公司</t>
  </si>
  <si>
    <t>根动</t>
  </si>
  <si>
    <t>米酒; 酒精饮料原汁; 白酒; 酒精饮料（啤酒除外）; 鸡尾酒; 果酒（含酒精）; 烧酒; 葡萄酒; 食用酒精; 黄酒 查看详细信息</t>
  </si>
  <si>
    <t>次元恋文化艺术(重庆)有限公司</t>
  </si>
  <si>
    <t>甜小泡</t>
  </si>
  <si>
    <t>苹果酒; 米酒; 酒精饮料原汁; 白酒; 含酒精的饮料（啤酒除外）; 清酒; 汽酒; 甜酒; 水果汽酒; 果酒 查看详细信息</t>
  </si>
  <si>
    <t>上海稻醴贸易有限公司</t>
  </si>
  <si>
    <t>冷船</t>
  </si>
  <si>
    <t>威士忌; 葡萄酒; 白酒; 含酒精的饮料（啤酒除外）; 以葡萄酒为主的饮料; 米酒; 甜酒; 白兰地; 清酒; 烈酒 查看详细信息</t>
  </si>
  <si>
    <t>赵嘉洹</t>
  </si>
  <si>
    <t>粮乎</t>
  </si>
  <si>
    <t>果酒（含酒精）; 清酒（日本米酒）; 白酒; 烈酒; 酒精饮料（啤酒除外）; 鸡尾酒; 葡萄酒; 开胃酒; 威士忌; 黄酒 查看详细信息</t>
  </si>
  <si>
    <t>宿雾空</t>
  </si>
  <si>
    <t>果酒; 青梅酒; 咖啡利口酒; 黄酒; 威士忌; 清酒; 汽酒; 米酒; 梅酒; 白酒 查看详细信息</t>
  </si>
  <si>
    <t>赢冬季</t>
  </si>
  <si>
    <t>葡萄酒; 酒精饮料（啤酒除外）; 米酒; 甜酒; 鸡尾酒; 烈酒（饮料）; 威士忌; 白酒; 果酒; 含酒精的饮料（啤酒除外） 查看详细信息</t>
  </si>
  <si>
    <t>谢伟军</t>
  </si>
  <si>
    <t>小筱</t>
  </si>
  <si>
    <t>酒精饮料（啤酒除外）; 果酒（含酒精）; 葡萄酒; 白酒; 米酒; 威士忌; 酒精饮料原汁; 含水果酒精饮料; 烧酒; 蒸馏饮料 查看详细信息</t>
  </si>
  <si>
    <t>贵州省仁怀市茅台镇典藏酒厂</t>
  </si>
  <si>
    <t>怀蒲酒都窖</t>
  </si>
  <si>
    <t>黄酒; 烧酒; 酒精饮料（啤酒除外）; 白酒; 清酒（日本米酒）; 米酒; 葡萄酒; 果酒（含酒精）; 甜酒; 烈酒（饮料） 查看详细信息</t>
  </si>
  <si>
    <t>梨花翁</t>
  </si>
  <si>
    <t>葡萄酒; 蒸馏饮料; 白酒; 食用酒精; 烈酒（饮料）; 汽酒; 酒精饮料（啤酒除外）; 清酒（日本米酒）; 果酒（含酒精）; 米酒 查看详细信息</t>
  </si>
  <si>
    <t>COOLSHIP</t>
  </si>
  <si>
    <t>威士忌; 甜酒; 以葡萄酒为主的饮料; 清酒; 白酒; 葡萄酒; 白兰地; 米酒; 烈酒; 含酒精的饮料（啤酒除外） 查看详细信息</t>
  </si>
  <si>
    <t>陈朝均</t>
  </si>
  <si>
    <t>新时代露吧</t>
  </si>
  <si>
    <t>果酒; 酒精饮料（啤酒除外）; 鸡尾酒; 白兰地; 汽酒; 葡萄酒; 米酒; 威士忌; 白酒; 蒸馏饮料 查看详细信息</t>
  </si>
  <si>
    <t>赢秋季</t>
  </si>
  <si>
    <t>米酒; 甜酒; 葡萄酒; 烈酒（饮料）; 威士忌; 白酒; 含酒精的饮料（啤酒除外）; 果酒; 鸡尾酒; 酒精饮料（啤酒除外） 查看详细信息</t>
  </si>
  <si>
    <t>济南盘龙生物科技有限公司</t>
  </si>
  <si>
    <t>优养升</t>
  </si>
  <si>
    <t>红葡萄酒; 白酒; 米酒; 清酒; 葡萄酒; 黄酒; 起泡红葡萄酒; 老酒（中国蒸馏烈酒）; 烧酒; 果酒（含酒精） 查看详细信息</t>
  </si>
  <si>
    <t>深圳市九州槿焱数码科技有限公司</t>
  </si>
  <si>
    <t>九州槿焱</t>
  </si>
  <si>
    <t>烈酒（饮料）; 酒精饮料原汁; 白酒; 葡萄酒; 酒精饮料（啤酒除外）; 米酒; 黄酒; 烧酒; 果酒（含酒精）; 蒸煮提取物（利口酒和烈酒） 查看详细信息</t>
  </si>
  <si>
    <t>贵州云上华夏数字科技有限公司</t>
  </si>
  <si>
    <t>未闻其声</t>
  </si>
  <si>
    <t>烧酒; 果酒（含酒精）; 鸡尾酒; 葡萄酒; 清酒（日本米酒）; 酒精饮料（啤酒除外）; 黄酒; 米酒; 白酒; 烈酒（饮料） 查看详细信息</t>
  </si>
  <si>
    <t>北京幸福三坊商贸有限公司</t>
  </si>
  <si>
    <t>晟骑士</t>
  </si>
  <si>
    <t>食用酒精; 红葡萄酒; 果酒（含酒精）; 汽酒; 烈酒（饮料）; 葡萄酒; 鸡尾酒; 白酒; 黄酒; 含酒精水果饮料 查看详细信息</t>
  </si>
  <si>
    <t>陕西绿色通达信息科技有限公司</t>
  </si>
  <si>
    <t>烈酒; 老酒（中国蒸馏烈酒）; 白酒; 高粱酒; 清酒; 葡萄酒; 果酒（含酒精）; 烧酒; 米酒; 黄酒 查看详细信息</t>
  </si>
  <si>
    <t>泉州浩智网络科技有限公司</t>
  </si>
  <si>
    <t>惠崇</t>
  </si>
  <si>
    <t>白酒; 米酒; 预先混合的酒精饮料（以啤酒为主的除外）; 葡萄酒; 鸡尾酒; 酒精饮料浓缩汁; 烈酒; 威士忌; 白兰地; 伏特加酒 查看详细信息</t>
  </si>
  <si>
    <t>冯书林</t>
  </si>
  <si>
    <t>紫穹</t>
  </si>
  <si>
    <t>开胃酒; 烈酒; 葡萄酒; 威士忌; 清酒（日本米酒）; 果酒（含酒精）; 酒精饮料（啤酒除外）; 黄酒; 鸡尾酒; 白酒 查看详细信息</t>
  </si>
  <si>
    <t>高东祥</t>
  </si>
  <si>
    <t>年小集</t>
  </si>
  <si>
    <t>预先混合的酒精饮料（以啤酒为主的除外）; 食用酒精; 烈酒; 酒精饮料（啤酒除外）; 果酒（含酒精）; 米酒; 黄酒; 葡萄酒; 白酒; 酒精饮料原汁 查看详细信息</t>
  </si>
  <si>
    <t>青岛劲康酒业有限公司</t>
  </si>
  <si>
    <t>巷力康</t>
  </si>
  <si>
    <t>果酒（含酒精）; 白兰地; 预先混合的酒精饮料（以啤酒为主的除外）; 鸡尾酒; 白酒; 烈酒; 黄酒; 威士忌; 米酒; 利口酒 查看详细信息</t>
  </si>
  <si>
    <t>福祥天下服务集团有限公司</t>
  </si>
  <si>
    <t>富元素竹元酒</t>
  </si>
  <si>
    <t>烈酒（饮料）; 白葡萄酒; 甜酒; 果酒; 白酒; 清酒（日本米酒）; 米酒; 烧酒; 黄酒; 含酒精的饮料（啤酒除外） 查看详细信息</t>
  </si>
  <si>
    <t>上海雄盟网络科技有限公司</t>
  </si>
  <si>
    <t>聚团生活</t>
  </si>
  <si>
    <t>黄酒; 果酒（含酒精）; 威士忌; 白兰地; 鸡尾酒; 白酒; 含酒精的气泡水; 葡萄酒; 青稞酒; 米酒 查看详细信息</t>
  </si>
  <si>
    <t>鲟力源（厦门）生物科技有限公司</t>
  </si>
  <si>
    <t>鲟力源</t>
  </si>
  <si>
    <t>烧酒; 酒精饮料原汁; 食用酒精; 白酒; 含酒精的饮料（啤酒除外）; 葡萄酒; 果酒（含酒精）; 米酒; 甜酒; 黄酒 查看详细信息</t>
  </si>
  <si>
    <t>上海鸣家易道文化传播有限公司</t>
  </si>
  <si>
    <t>北坑乡土情</t>
  </si>
  <si>
    <t>果酒（含酒精）; 烈酒（饮料）; 酒精饮料（啤酒除外）; 米酒; 甜酒; 清酒（日本米酒）; 葡萄酒; 黄酒; 白酒; 烧酒 查看详细信息</t>
  </si>
  <si>
    <t>洋溪小洋哥</t>
  </si>
  <si>
    <t>白酒; 青稞酒; 黄酒; 米酒; 烧酒; 开胃酒; 果酒（含酒精）; 含水果酒精饮料; 葡萄酒; 蒸馏饮料 查看详细信息</t>
  </si>
  <si>
    <t>北京信永发商贸有限公司</t>
  </si>
  <si>
    <t>释如谜</t>
  </si>
  <si>
    <t>酒精饮料（啤酒除外）; 米酒; 果酒（含酒精）; 开胃酒; 白酒; 苹果酒; 葡萄酒; 烈酒（饮料）; 烧酒; 蒸馏饮料 查看详细信息</t>
  </si>
  <si>
    <t>杨文彬</t>
  </si>
  <si>
    <t>衡酝烧春</t>
  </si>
  <si>
    <t>米酒; 烧酒; 烈酒（饮料）; 蒸煮提取物（利口酒和烈酒）; 红葡萄酒; 老酒（中国蒸馏烈酒）; 黄酒; 白干酒（中国白酒）; 五加皮酒（中国混合烈酒）; 白酒 查看详细信息</t>
  </si>
  <si>
    <t>田开喜</t>
  </si>
  <si>
    <t>葡萄酒; 白干酒（中国白酒）; 高粱酒; 果酒（含酒精）; 老酒（中国蒸馏烈酒）; 烧酒; 已调味的蒸馏酒; 五加皮酒（中国混合烈酒）; 白酒; 由谷物蒸馏的白酒 查看详细信息</t>
  </si>
  <si>
    <t>成都华典商贸有限公司</t>
  </si>
  <si>
    <t>世纪华典华诞</t>
  </si>
  <si>
    <t>白酒; 威士忌; 鸡尾酒; 开胃酒; 烧酒; 葡萄酒; 果酒（含酒精）; 米酒; 食用酒精; 黄酒 查看详细信息</t>
  </si>
  <si>
    <t>深圳国玖国际贸易有限公司</t>
  </si>
  <si>
    <t>CHATEAU DE MARETS</t>
  </si>
  <si>
    <t>烈酒（饮料）; 烧酒; 葡萄酒; 果酒（含酒精）; 米酒; 蒸馏饮料; 威士忌; 白酒; 鸡尾酒; 酒精饮料（啤酒除外） 查看详细信息</t>
  </si>
  <si>
    <t>贵州行生堂医疗科技研发有限公司</t>
  </si>
  <si>
    <t>垙湎</t>
  </si>
  <si>
    <t>葡萄酒; 米酒; 烧酒; 黄酒; 白酒; 蒸馏饮料; 蜂蜜酒; 食用酒精; 开胃酒; 果酒（含酒精） 查看详细信息</t>
  </si>
  <si>
    <t>顾玉红</t>
  </si>
  <si>
    <t>泸臣</t>
  </si>
  <si>
    <t>烧酒; 高粱酒; 老酒（中国蒸馏烈酒）; 米酒; 青梅酒; 食用酒精; 清酒（日本米酒）; 蜂蜜酒; 果酒; 白酒 查看详细信息</t>
  </si>
  <si>
    <t>君会上宴华章</t>
  </si>
  <si>
    <t>白酒; 鸡尾酒; 开胃酒; 威士忌; 食用酒精; 烧酒; 葡萄酒; 果酒（含酒精）; 黄酒; 米酒 查看详细信息</t>
  </si>
  <si>
    <t>淮安市小牛贝贝鞋帽服装有限公司</t>
  </si>
  <si>
    <t>开胃酒; 鸡尾酒; 威士忌; 伏特加酒; 以葡萄酒为主的饮料; 含水果酒精饮料; 果酒（含酒精）; 葡萄酒; 烈酒（饮料）; 白兰地 查看详细信息</t>
  </si>
  <si>
    <t>北京鑫涛辉煌生物科技有限公司</t>
  </si>
  <si>
    <t>医卫囍</t>
  </si>
  <si>
    <t>咖啡; 茶; 糖果; 蜂蜜; 以米为主的零食小吃; 谷类制品; 海藻（调味品）; 酵母提取物; 食品用香料（含醚香料和香精油除外）; 食用预制谷蛋白 查看详细信息</t>
  </si>
  <si>
    <t>田路姐</t>
  </si>
  <si>
    <t>嘉泉</t>
  </si>
  <si>
    <t>酒精饮料（啤酒除外）; 青稞酒; 烧酒; 葡萄酒; 黄酒; 米酒; 果酒（含酒精）; 伏特加酒; 白酒; 清酒（日本米酒） 查看详细信息</t>
  </si>
  <si>
    <t>程强</t>
  </si>
  <si>
    <t>天放仙院</t>
  </si>
  <si>
    <t>烈酒（饮料）; 含水果酒精饮料; 烧酒; 开胃酒; 酒精饮料原汁; 鸡尾酒; 米酒; 果酒（含酒精）; 蜂蜜酒; 葡萄酒 查看详细信息</t>
  </si>
  <si>
    <t>闵斌</t>
  </si>
  <si>
    <t>玉玺古</t>
  </si>
  <si>
    <t>烈酒; 食用酒精; 葡萄酒; 威士忌; 米酒; 果酒（含酒精）; 黄酒; 烧酒; 白酒; 酒精饮料（啤酒除外） 查看详细信息</t>
  </si>
  <si>
    <t>青岛易宣软件有限公司</t>
  </si>
  <si>
    <t>易校</t>
  </si>
  <si>
    <t>烧酒; 果酒; 白酒; 黄酒; 烈酒（饮料）; 高粱酒; 甜酒; 开胃酒; 红葡萄酒; 米酒 查看详细信息</t>
  </si>
  <si>
    <t>陆成</t>
  </si>
  <si>
    <t>苏夫子</t>
  </si>
  <si>
    <t>含水果酒精饮料; 白酒; 鸡尾酒; 烧酒; 米酒; 威士忌; 青稞酒; 果酒（含酒精）; 葡萄酒; 黄酒 查看详细信息</t>
  </si>
  <si>
    <t>田会长</t>
  </si>
  <si>
    <t>白干酒（中国白酒）; 五加皮酒（中国混合烈酒）; 白酒; 由谷物蒸馏的白酒; 果酒（含酒精）; 高粱酒; 葡萄酒; 已调味的蒸馏酒; 老酒（中国蒸馏烈酒）; 烧酒 查看详细信息</t>
  </si>
  <si>
    <t>王运刚</t>
  </si>
  <si>
    <t>梅花凤</t>
  </si>
  <si>
    <t>清酒; 露酒; 青稞酒; 葡萄酒; 苦味酒; 果酒; 黄酒; 苦荞酒; 白酒; 汽酒 查看详细信息</t>
  </si>
  <si>
    <t>东莞市凯硕智能科技有限公司</t>
  </si>
  <si>
    <t>酒人赋酒人坊</t>
  </si>
  <si>
    <t>利口酒; 威士忌; 米酒; 葡萄酒; 果酒（含酒精）; 白酒; 烈酒（饮料）; 黄酒; 烧酒; 预先混合的酒精饮料（以啤酒为主的除外） 查看详细信息</t>
  </si>
  <si>
    <t>安徽人为贵商贸有限公司</t>
  </si>
  <si>
    <t>感生说</t>
  </si>
  <si>
    <t>甜酒; 白酒; 已调味的蒸馏酒; 果酒; 葡萄酒; 高粱酒; 露酒; 酒精饮料（啤酒除外）; 米酒; 预先混合的酒精饮料（以啤酒为主的除外） 查看详细信息</t>
  </si>
  <si>
    <t>黛伦堡有限公司</t>
  </si>
  <si>
    <t>复古比恩卡车系列 VINTAGE BEAN TRUCK BY F.E.OSBORN</t>
  </si>
  <si>
    <t>烈酒; 葡萄酒; 利口酒 查看详细信息</t>
  </si>
  <si>
    <t>德化县尽元驰百货商行</t>
  </si>
  <si>
    <t>CHATEAU BECARFE 柏卡斐庄园</t>
  </si>
  <si>
    <t>餐后酒（利口酒和烈酒）; 白兰地; 汽酒; 伏特加酒; 鸡尾酒; 威士忌; 葡萄酒; 白酒; 蒸馏饮料; 酒精饮料（啤酒除外） 查看详细信息</t>
  </si>
  <si>
    <t>刘洁</t>
  </si>
  <si>
    <t>欧凯罗</t>
  </si>
  <si>
    <t>白酒; 烧酒; 葡萄酒; 鸡尾酒; 米酒; 烈酒（饮料）; 白兰地; 威士忌; 酒精饮料（啤酒除外）; 果酒（含酒精） 查看详细信息</t>
  </si>
  <si>
    <t>青岛满记水产有限公司</t>
  </si>
  <si>
    <t>WETRUST</t>
  </si>
  <si>
    <t>果酒（含酒精）; 烧酒; 白酒; 清酒（日本米酒）; 白兰地; 威士忌; 葡萄酒; 开胃酒 查看详细信息</t>
  </si>
  <si>
    <t>罗玉鸿</t>
  </si>
  <si>
    <t>青稞酒; 高粱酒; 米酒; 威士忌; 黄酒; 薄荷酒; 果酒（含酒精）; 蒸馏饮料; 以葡萄酒为主的饮料; 白酒 查看详细信息</t>
  </si>
  <si>
    <t>高卢</t>
  </si>
  <si>
    <t>临湖沙</t>
  </si>
  <si>
    <t>米酒; 鸡尾酒; 葡萄酒; 烈酒（饮料）; 清酒; 烧酒; 高粱酒; 黄酒; 白酒; 酒精饮料（啤酒除外） 查看详细信息</t>
  </si>
  <si>
    <t>陈鹏</t>
  </si>
  <si>
    <t>湖艳湾</t>
  </si>
  <si>
    <t>葡萄酒; 白酒; 蒸馏饮料; 含水果酒精饮料; 酒精饮料浓缩汁; 果酒; 米酒; 蒸煮提取物（利口酒和烈酒）; 鸡尾酒; 食用酒精 查看详细信息</t>
  </si>
  <si>
    <t>北京麦朴论道科技有限公司</t>
  </si>
  <si>
    <t>TIERRA VIVA</t>
  </si>
  <si>
    <t>白酒; 葡萄汽酒; 以葡萄酒为主的饮料; 果酒; 起泡红葡萄酒; 白兰地; 白葡萄酒; 威士忌; 红葡萄酒; 葡萄酒 查看详细信息</t>
  </si>
  <si>
    <t>福鼎市亿翔食品厂</t>
  </si>
  <si>
    <t>福顶红</t>
  </si>
  <si>
    <t>葡萄酒; 酒精饮料（啤酒除外）; 黄酒; 烧酒; 烈酒（饮料）; 清酒（日本米酒）; 果酒（含酒精）; 米酒; 白酒; 甜酒 查看详细信息</t>
  </si>
  <si>
    <t>张小云</t>
  </si>
  <si>
    <t>凰义堂</t>
  </si>
  <si>
    <t>烧酒; 白酒; 米酒; 烈酒（饮料）; 白兰地; 鸡尾酒; 葡萄酒; 果酒（含酒精）; 威士忌; 酒精饮料（啤酒除外） 查看详细信息</t>
  </si>
  <si>
    <t>江阴市陆右丰酒业有限公司</t>
  </si>
  <si>
    <t>YINGZHEN LUYOUFENG LIQUOR INDUSTRY 迎臻陆右丰酒业</t>
  </si>
  <si>
    <t>米酒; 黄酒; 白酒; 威士忌; 酒精饮料（啤酒除外）; 烈酒（饮料）; 朗姆酒; 果酒（含酒精）; 葡萄酒; 鸡尾酒 查看详细信息</t>
  </si>
  <si>
    <t>张春霞</t>
  </si>
  <si>
    <t>丰月桥</t>
  </si>
  <si>
    <t>餐后酒（利口酒和烈酒）; 蒸馏饮料; 烧酒; 蜂蜜酒; 葡萄酒; 酒精饮料浓缩汁; 果酒（含酒精）; 酒精饮料原汁; 酒精饮料（啤酒除外）; 白酒 查看详细信息</t>
  </si>
  <si>
    <t>李福华</t>
  </si>
  <si>
    <t>花伊亭街头</t>
  </si>
  <si>
    <t>烧酒; 汽酒; 葡萄酒; 米酒; 马格利酒（朝鲜传统米酒）; 开胃酒; 果酒; 梨酒; 白酒; 酒精饮料（啤酒除外） 查看详细信息</t>
  </si>
  <si>
    <t>重庆市梁平区唐文江白酒酿造坊</t>
  </si>
  <si>
    <t>唐文江</t>
  </si>
  <si>
    <t>白酒; 蒸煮提取物（利口酒和烈酒）; 利口酒; 高粱酒; 露酒; 烧酒; 酒精饮料（啤酒除外）; 白干酒（中国白酒）; 果酒; 米酒 查看详细信息</t>
  </si>
  <si>
    <t>陈利博</t>
  </si>
  <si>
    <t>缘九洲</t>
  </si>
  <si>
    <t>威士忌; 果酒（含酒精）; 烧酒; 葡萄酒; 白酒; 鸡尾酒; 黄酒; 烈酒（饮料）; 米酒; 酒精饮料（啤酒除外） 查看详细信息</t>
  </si>
  <si>
    <t>王怀竹</t>
  </si>
  <si>
    <t>金川友</t>
  </si>
  <si>
    <t>米酒; 白酒; 烧酒; 青稞酒; 黄酒; 鸡尾酒; 食用酒精; 葡萄酒; 酒精饮料（啤酒除外）; 果酒（含酒精） 查看详细信息</t>
  </si>
  <si>
    <t>李贤文</t>
  </si>
  <si>
    <t>斛三国</t>
  </si>
  <si>
    <t>威士忌; 含水果酒精饮料; 白酒; 鸡尾酒; 葡萄酒; 烧酒; 酒精饮料（啤酒除外）; 黄酒; 开胃酒; 烈酒（饮料） 查看详细信息</t>
  </si>
  <si>
    <t>罗宗道433022********5512</t>
  </si>
  <si>
    <t>以葡萄酒为主的饮料; 烈酒（饮料）; 黄酒; 甜果酒; 烧酒; 果酒（含酒精）; 米酒; 白酒; 清酒（日本米酒）; 利口酒 查看详细信息</t>
  </si>
  <si>
    <t>铠萨</t>
  </si>
  <si>
    <t>白兰地; 蜂蜜酒; 威士忌; 伏特加酒; 白酒; 朗姆酒; 杜松子酒; 利口酒; 鸡尾酒; 果酒 查看详细信息</t>
  </si>
  <si>
    <t>西安市莲湖区兮丽商贸部(个体工商户)</t>
  </si>
  <si>
    <t>禧玲盛世</t>
  </si>
  <si>
    <t>葡萄酒; 烧酒; 蒸煮提取物（利口酒和烈酒）; 果酒（含酒精）; 食用酒精; 米酒; 白酒; 酒精饮料（啤酒除外）; 黄酒; 酒精饮料浓缩汁 查看详细信息</t>
  </si>
  <si>
    <t>扬隆庆</t>
  </si>
  <si>
    <t>白酒; 酒精饮料（啤酒除外）; 葡萄酒; 鸡尾酒; 烈酒（饮料）; 米酒; 白兰地; 威士忌; 果酒（含酒精）; 烧酒 查看详细信息</t>
  </si>
  <si>
    <t>海南菜篮子实业有限公司</t>
  </si>
  <si>
    <t>海发供</t>
  </si>
  <si>
    <t>酒精饮料（啤酒除外）; 蒸馏饮料; 酒精饮料浓缩汁; 清酒（日本米酒）; 食用酒精; 白酒; 葡萄酒; 威士忌; 酒精饮料原汁; 黄酒 查看详细信息</t>
  </si>
  <si>
    <t>周国华</t>
  </si>
  <si>
    <t>粮云樽</t>
  </si>
  <si>
    <t>清酒（日本米酒）; 含水果酒精饮料; 米酒; 果酒（含酒精）; 伏特加酒; 白酒; 酒精饮料（啤酒除外）; 威士忌; 黄酒; 葡萄酒 查看详细信息</t>
  </si>
  <si>
    <t>贵州金志福酒业有限公司</t>
  </si>
  <si>
    <t>夙兴</t>
  </si>
  <si>
    <t>清酒（日本米酒）; 葡萄酒; 蒸馏饮料; 鸡尾酒; 汽酒; 烧酒; 含水果酒精饮料; 米酒; 白酒; 黄酒 查看详细信息</t>
  </si>
  <si>
    <t>胡卫斌</t>
  </si>
  <si>
    <t>兆京方</t>
  </si>
  <si>
    <t>果酒（含酒精）; 烈酒（饮料）; 酒精饮料（啤酒除外）; 酒精饮料浓缩汁; 黄酒; 含水果酒精饮料; 白酒; 米酒; 葡萄酒; 烧酒 查看详细信息</t>
  </si>
  <si>
    <t>剀萨尚尊</t>
  </si>
  <si>
    <t>白酒; 朗姆酒; 鸡尾酒; 杜松子酒; 威士忌; 白兰地; 果酒; 利口酒; 蜂蜜酒; 伏特加酒 查看详细信息</t>
  </si>
  <si>
    <t>利华汇（湖北）连锁管理有限公司</t>
  </si>
  <si>
    <t>京利华</t>
  </si>
  <si>
    <t>含水果酒精饮料; 烧酒; 葡萄酒; 白兰地; 果酒（含酒精）; 预先混合的酒精饮料（以啤酒为主的除外）; 白酒; 米酒; 鸡尾酒; 黄酒 查看详细信息</t>
  </si>
  <si>
    <t>上海宝由名庄贸易有限公司</t>
  </si>
  <si>
    <t>宝由名庄</t>
  </si>
  <si>
    <t>鸡尾酒; 酒精饮料（啤酒除外）; 葡萄酒; 白兰地; 果酒（含酒精）; 利口酒; 白酒; 黄酒; 威士忌; 清酒（日本米酒） 查看详细信息</t>
  </si>
  <si>
    <t>瓢故事</t>
  </si>
  <si>
    <t>开胃酒; 马格利酒（朝鲜传统米酒）; 梨酒; 米酒; 果酒; 葡萄酒; 烧酒; 汽酒; 白酒; 酒精饮料（啤酒除外） 查看详细信息</t>
  </si>
  <si>
    <t>宁德市亿博商贸有限公司</t>
  </si>
  <si>
    <t>路易斯 博里奇</t>
  </si>
  <si>
    <t>果酒; 含酒精的饮料（啤酒除外）; 白干酒（中国白酒）; 食用酒精; 高粱酒; 水果汽酒; 白酒; 葡萄酒; 蒸馏饮料; 白兰地 查看详细信息</t>
  </si>
  <si>
    <t>吉林省牧驴人网络科技有限公司</t>
  </si>
  <si>
    <t>牧驴人</t>
  </si>
  <si>
    <t>清酒; 由谷物蒸馏的白酒; 黄酒; 预先混合的酒精饮料（以啤酒为主的除外）; 老酒（中国蒸馏烈酒）; 鸡尾酒; 白酒; 红葡萄酒; 白葡萄酒; 食用酒精 查看详细信息</t>
  </si>
  <si>
    <t>上海俍道商贸有限公司</t>
  </si>
  <si>
    <t>申呇</t>
  </si>
  <si>
    <t>白酒; 黄酒; 梨酒; 果酒（含酒精）; 开胃酒; 烧酒; 餐后酒（利口酒和烈酒）; 鸡尾酒; 烈酒（饮料）; 米酒 查看详细信息</t>
  </si>
  <si>
    <t>宝酝(天津)商业管理有限公司</t>
  </si>
  <si>
    <t>雅酝</t>
  </si>
  <si>
    <t>开胃酒; 白兰地; 黄酒; 烧酒; 米酒; 清酒（日本米酒）; 果酒; 白酒; 葡萄酒; 烈酒 查看详细信息</t>
  </si>
  <si>
    <t>秋月潭</t>
  </si>
  <si>
    <t>白酒; 烧酒; 米酒; 葡萄酒; 酒精饮料（啤酒除外）; 威士忌; 烈酒（饮料）; 果酒（含酒精）; 鸡尾酒; 白兰地 查看详细信息</t>
  </si>
  <si>
    <t>沈阳工学院</t>
  </si>
  <si>
    <t>沈阳工学院 SHENYANG INSTITUTE OF TECHNOLOGY</t>
  </si>
  <si>
    <t>汽酒; 鸡尾酒; 烈酒（饮料）; 葡萄酒; 米酒; 黄酒; 青梅酒; 白酒; 果酒; 烧酒 查看详细信息</t>
  </si>
  <si>
    <t>浙江克莱思曼工贸有限公司</t>
  </si>
  <si>
    <t>卡纳戈伦</t>
  </si>
  <si>
    <t>肉; 鱼制食品; 食用海藻提取物; 水果蜜饯; 水果色拉; 腌制蔬菜; 豆奶; 食品用果冻（非甜食）; 加工过的坚果; 豆腐 查看详细信息</t>
  </si>
  <si>
    <t>台州市溪边桥食品有限公司</t>
  </si>
  <si>
    <t>浅沐湖</t>
  </si>
  <si>
    <t>果酒（含酒精）; 樱桃酒; 烧酒; 米酒; 谷物制蒸馏酒精饮料; 威士忌; 白酒; 黄酒; 酸酒（低等葡萄酒）; 苦味酒 查看详细信息</t>
  </si>
  <si>
    <t>贵州省仁怀市九醇台酒业有限公司</t>
  </si>
  <si>
    <t>九醇台</t>
  </si>
  <si>
    <t>白酒; 烈酒（饮料）; 开胃酒; 酒精饮料（啤酒除外）; 鸡尾酒; 黄酒; 米酒; 蒸馏饮料; 果酒（含酒精）; 葡萄酒 查看详细信息</t>
  </si>
  <si>
    <t>姚元义</t>
  </si>
  <si>
    <t>黔卯</t>
  </si>
  <si>
    <t>果酒（含酒精）; 白酒; 酒精饮料原汁; 黄酒; 米酒; 食用酒精; 葡萄酒; 清酒（日本米酒）; 酒精饮料（啤酒除外）; 蒸馏饮料 查看详细信息</t>
  </si>
  <si>
    <t>吕现潮</t>
  </si>
  <si>
    <t>环都</t>
  </si>
  <si>
    <t>果酒; 食用酒精; 白酒; 烧酒; 鸡尾酒; 威士忌; 酒精饮料（啤酒除外）; 黄酒; 米酒; 葡萄酒 查看详细信息</t>
  </si>
  <si>
    <t>四川绵竹贵王酒业有限公司</t>
  </si>
  <si>
    <t>贵王青醇</t>
  </si>
  <si>
    <t>葡萄酒; 烧酒; 烈酒; 米酒; 蒸馏饮料; 青稞酒; 酒精饮料（啤酒除外）; 白酒; 鸡尾酒; 果酒（含酒精） 查看详细信息</t>
  </si>
  <si>
    <t>富丽家酿葡萄酒有限公司</t>
  </si>
  <si>
    <t>SHAHNACHIE</t>
  </si>
  <si>
    <t>酒精饮料（啤酒除外）; 威士忌; 蒸馏烈酒 查看详细信息</t>
  </si>
  <si>
    <t>河南多朴酒业有限公司</t>
  </si>
  <si>
    <t>左契</t>
  </si>
  <si>
    <t>米酒; 黄酒; 白酒; 威士忌; 蒸馏饮料; 清酒（日本米酒）; 白兰地; 朗姆酒; 伏特加酒; 果酒（含酒精） 查看详细信息</t>
  </si>
  <si>
    <t>山西褚沟泉酒业有限公司</t>
  </si>
  <si>
    <t>褚沟泉</t>
  </si>
  <si>
    <t>葡萄酒; 清酒（日本米酒）; 酒精饮料（啤酒除外）; 米酒; 白酒; 黄酒; 甜酒; 果酒（含酒精）; 烧酒; 烈酒（饮料） 查看详细信息</t>
  </si>
  <si>
    <t>含山县毛滩现代农业发展有限公司</t>
  </si>
  <si>
    <t>盘仙岗古酿</t>
  </si>
  <si>
    <t>果酒（含酒精）; 烈酒（饮料）; 酒精饮料（啤酒除外）; 米酒; 烧酒; 葡萄酒; 清酒（日本米酒）; 谷物制蒸馏酒精饮料; 朝鲜族米酒; 白酒 查看详细信息</t>
  </si>
  <si>
    <t>林润华</t>
  </si>
  <si>
    <t>仙小调</t>
  </si>
  <si>
    <t>清酒（日本米酒）; 蒸馏饮料; 白酒; 食用酒精; 果酒（含酒精）; 烈酒（饮料）; 葡萄酒; 米酒; 酒精饮料（啤酒除外）; 汽酒 查看详细信息</t>
  </si>
  <si>
    <t>永州传世名方美容养生技术有限公司</t>
  </si>
  <si>
    <t>琼窑</t>
  </si>
  <si>
    <t>酒精饮料（啤酒除外）; 五加皮酒（中国混合烈酒）; 柑香酒; 老酒（中国蒸馏烈酒）; 黄酒; 白酒; 果酒（含酒精）; 蒸馏米酒（泡盛酒）; 白干酒（中国白酒）; 葡萄酒 查看详细信息</t>
  </si>
  <si>
    <t>海南久霖投资有限公司</t>
  </si>
  <si>
    <t>呲呲</t>
  </si>
  <si>
    <t>含酒精水果饮料; 酒精饮料（啤酒除外）; 米酒; 含酒精的气泡水; 预先混合的酒精饮料（以啤酒为主的除外）; 鸡尾酒; 烧酒; 含水果酒精饮料; 开胃酒; 果酒（含酒精） 查看详细信息</t>
  </si>
  <si>
    <t>云南醉仁大美酒业有限公司</t>
  </si>
  <si>
    <t>醉美巨仁</t>
  </si>
  <si>
    <t>黄酒; 高粱酒; 酒精饮料（啤酒除外）; 白酒; 烧酒; 果酒; 老酒（中国蒸馏烈酒）; 米酒; 葡萄酒; 烈酒 查看详细信息</t>
  </si>
  <si>
    <t>甘巧</t>
  </si>
  <si>
    <t>平夫</t>
  </si>
  <si>
    <t>严坤</t>
  </si>
  <si>
    <t>庄严千秋</t>
  </si>
  <si>
    <t>开胃酒; 白酒; 含水果酒精饮料; 烧酒; 苦味酒; 茴香酒; 葡萄酒; 米酒; 黄酒; 清酒 查看详细信息</t>
  </si>
  <si>
    <t>李力力</t>
  </si>
  <si>
    <t>华禧令</t>
  </si>
  <si>
    <t>烧酒（烈酒）; 酒精饮料（啤酒除外）; 米酒; 白酒; 谷物制蒸馏酒精饮料; 清酒; 利口酒; 烈酒（饮料）; 白干酒（中国白酒）; 老酒（中国蒸馏烈酒） 查看详细信息</t>
  </si>
  <si>
    <t>布诺顿 BUNOTON</t>
  </si>
  <si>
    <t>鸡尾酒; 烈酒（饮料）; 威士忌; 烧酒; 米酒; 果酒（含酒精）; 白兰地; 酒精饮料（啤酒除外）; 白酒; 葡萄酒 查看详细信息</t>
  </si>
  <si>
    <t>比那多（苏州吴中）超市有限公司</t>
  </si>
  <si>
    <t>BINDUO</t>
  </si>
  <si>
    <t>葡萄酒 查看详细信息</t>
  </si>
  <si>
    <t>汤阴县史点百货店</t>
  </si>
  <si>
    <t>鸿图福</t>
  </si>
  <si>
    <t>黄酒; 蒸馏饮料; 葡萄酒; 汽酒; 烈酒（饮料）; 老酒（中国蒸馏烈酒）; 白酒; 鸡尾酒; 果酒（含酒精）; 酒精饮料（啤酒除外） 查看详细信息</t>
  </si>
  <si>
    <t>唐中和</t>
  </si>
  <si>
    <t>中钺</t>
  </si>
  <si>
    <t>烧酒; 米酒; 葡萄酒; 鸡尾酒; 酒精饮料(啤酒除外); 果酒(含酒精); 白酒; 青稞酒; 蜂蜜酒; 黄酒 查看详细信息</t>
  </si>
  <si>
    <t>湘西齐源中草药种植专业合作社</t>
  </si>
  <si>
    <t>康礼源</t>
  </si>
  <si>
    <t>白兰地; 烈性干酒; 米酒; 青稞酒; 蜂蜜酒; 开胃酒; 烧酒; 含酒精的鸡尾酒混合饮品; 甜酒; 黄酒 查看详细信息</t>
  </si>
  <si>
    <t>陈云普</t>
  </si>
  <si>
    <t>誉名台龙匠</t>
  </si>
  <si>
    <t>果酒; 开胃酒; 酒精饮料（啤酒除外）; 黄酒; 葡萄酒; 烧酒; 米酒; 白酒; 蒸煮提取物（利口酒和烈酒）; 清酒 查看详细信息</t>
  </si>
  <si>
    <t>绵阳市涪城区大土土花艺工作室</t>
  </si>
  <si>
    <t>果酒; 鸡尾酒; 米酒; 白酒; 酒精饮料原汁; 青稞酒; 葡萄酒; 黄酒; 烧酒; 汽酒 查看详细信息</t>
  </si>
  <si>
    <t>马金玉</t>
  </si>
  <si>
    <t>冠群英</t>
  </si>
  <si>
    <t>白兰地; 餐后酒（利口酒和烈酒）; 果酒（含酒精）; 酒精饮料原汁; 白酒; 烧酒; 葡萄酒; 黄酒; 梅酒; 米酒 查看详细信息</t>
  </si>
  <si>
    <t>内蒙古申青牧歌商贸有限公司</t>
  </si>
  <si>
    <t>申青牧歌</t>
  </si>
  <si>
    <t>黄酒; 苹果酒; 食用酒精; 葡萄酒; 烈性干酒; 白酒; 烧酒; 老酒（中国蒸馏烈酒）; 汽酒; 高粱酒 查看详细信息</t>
  </si>
  <si>
    <t>无锡金易汇企业管理有限公司</t>
  </si>
  <si>
    <t>花间堂愉园</t>
  </si>
  <si>
    <t>清酒（日本米酒）; 果酒（含酒精）; 威士忌; 烈酒（饮料）; 白酒; 蒸煮提取物（利口酒和烈酒）; 葡萄酒; 酒精饮料（啤酒除外）; 黄酒; 米酒 查看详细信息</t>
  </si>
  <si>
    <t>安徽青谷酒业有限公司</t>
  </si>
  <si>
    <t>青谷酿</t>
  </si>
  <si>
    <t>果酒（含酒精）; 鸡尾酒; 露酒; 葡萄酒; 米酒; 预先混合的酒精饮料（以啤酒为主的除外）; 酒精饮料（啤酒除外）; 由谷物蒸馏的白酒; 白酒; 高粱酒 查看详细信息</t>
  </si>
  <si>
    <t>湖北火麒麟科技有限公司</t>
  </si>
  <si>
    <t>岁丰年</t>
  </si>
  <si>
    <t>清酒（日本米酒）; 酒精饮料（啤酒除外）; 烧酒; 鸡尾酒; 米酒; 葡萄酒; 烈酒（饮料）; 黄酒; 白酒; 果酒（含酒精） 查看详细信息</t>
  </si>
  <si>
    <t>王启叶</t>
  </si>
  <si>
    <t>本仁酉黔</t>
  </si>
  <si>
    <t>酒精饮料（啤酒除外）; 含水果酒精饮料; 食用酒精; 白酒; 黄酒; 葡萄酒; 烧酒; 开胃酒; 果酒（含酒精）; 蒸馏饮料 查看详细信息</t>
  </si>
  <si>
    <t>陕西摩安娜文化传媒发展有限责任公司</t>
  </si>
  <si>
    <t>西京印记</t>
  </si>
  <si>
    <t>米酒; 酒精饮料原汁; 以葡萄酒为主的饮料; 果酒（含酒精）; 黄酒; 烧酒; 酒精饮料（啤酒除外）; 蒸馏饮料; 开胃酒; 白酒 查看详细信息</t>
  </si>
  <si>
    <t>义乌市义商智库企业管理咨询有限公司</t>
  </si>
  <si>
    <t>有徳乃胜</t>
  </si>
  <si>
    <t>果酒（含酒精）; 葡萄酒; 黄酒; 含水果酒精饮料; 酒精饮料（啤酒除外）; 白酒; 米酒; 甜酒; 烧酒; 开胃酒 查看详细信息</t>
  </si>
  <si>
    <t>誉名台</t>
  </si>
  <si>
    <t>白酒; 果酒; 清酒; 黄酒; 葡萄酒; 酒精饮料（啤酒除外）; 米酒; 开胃酒; 蒸煮提取物（利口酒和烈酒）; 烧酒 查看详细信息</t>
  </si>
  <si>
    <t>浙江金华市朝真文化发展有限公司</t>
  </si>
  <si>
    <t>淉嘫烧</t>
  </si>
  <si>
    <t>酒精饮料（啤酒除外）; 烈酒（饮料）; 以蒸馏酒为主的开胃酒; 黄酒; 烧酒; 汽酒; 白酒; 果酒（含酒精）; 白兰地; 含水果酒精饮料 查看详细信息</t>
  </si>
  <si>
    <t>翟立冬</t>
  </si>
  <si>
    <t>段芝堂</t>
  </si>
  <si>
    <t>清酒（日本米酒）; 白酒; 开胃酒; 葡萄酒; 白兰地; 酒精饮料（啤酒除外）; 果酒（含酒精）; 汽酒; 食用酒精; 烧酒 查看详细信息</t>
  </si>
  <si>
    <t>百年康（海南）医药科技有限公司</t>
  </si>
  <si>
    <t>康</t>
  </si>
  <si>
    <t>白酒; 果酒（含酒精）; 苹果酒; 清酒（日本米酒）; 威士忌; 由谷物蒸馏的白酒; 葡萄酒; 白兰地; 鸡尾酒; 白干酒（中国白酒） 查看详细信息</t>
  </si>
  <si>
    <t>广东可得科技控股有限公司</t>
  </si>
  <si>
    <t>市草丰信</t>
  </si>
  <si>
    <t>清酒; 烈酒（饮料）; 含水果酒精饮料; 蒸馏饮料; 葡萄酒; 蒸煮提取物（利口酒和烈酒）; 利口酒; 果酒（含酒精）; 酒精饮料原汁; 烧酒 查看详细信息</t>
  </si>
  <si>
    <t>河南丰元惠实业有限公司</t>
  </si>
  <si>
    <t>丹洛贵</t>
  </si>
  <si>
    <t>茶; 蜂王浆; 冰糖燕窝; 蜂蜜; 谷类制品; 小米; 谷粉; 食盐; 醋; 酱油 查看详细信息</t>
  </si>
  <si>
    <t>吉瑞国际股份有限公司</t>
  </si>
  <si>
    <t>LA BOULANGERIE ROBUCHON</t>
  </si>
  <si>
    <t>白葡萄酒; 佐餐酒; 红葡萄酒; 烈酒; 除啤酒外的酒精饮料; 蒸馏饮料; 酒精饮料（啤酒除外）; 葡萄酒; 开胃酒; 利口酒 查看详细信息</t>
  </si>
  <si>
    <t>刘志琛</t>
  </si>
  <si>
    <t>鸾羽摇小咖</t>
  </si>
  <si>
    <t>米酒; 黄酒; 利口酒; 食用酒精; 含水果酒精饮料; 酒精饮料原汁; 果酒（含酒精）; 白酒; 葡萄酒; 烧酒 查看详细信息</t>
  </si>
  <si>
    <t>方和平</t>
  </si>
  <si>
    <t>薙龙台</t>
  </si>
  <si>
    <t>蒸馏饮料; 葡萄酒; 酒精饮料（啤酒除外）; 含水果酒精饮料; 白酒; 果酒; 烧酒（烈酒）; 汽酒; 黄酒; 米酒 查看详细信息</t>
  </si>
  <si>
    <t>广州苗湘村酒业有限公司</t>
  </si>
  <si>
    <t>苗仙寨</t>
  </si>
  <si>
    <t>鸡尾酒; 酒精饮料（啤酒除外）; 威士忌; 白酒; 白兰地; 汽酒; 果酒（含酒精）; 餐后酒（利口酒和烈酒）; 葡萄酒; 米酒 查看详细信息</t>
  </si>
  <si>
    <t>贵州酱村庄酒业股份有限公司</t>
  </si>
  <si>
    <t>裕粮御香</t>
  </si>
  <si>
    <t>白酒; 黄酒; 果酒（含酒精）; 鸡尾酒; 烧酒; 烈酒（饮料）; 葡萄酒; 开胃酒; 青稞酒; 米酒 查看详细信息</t>
  </si>
  <si>
    <t>谢益元</t>
  </si>
  <si>
    <t>匠才子</t>
  </si>
  <si>
    <t>葡萄酒; 鸡尾酒; 烧酒; 白酒; 青稞酒; 威士忌; 含水果酒精饮料; 米酒; 果酒（含酒精）; 黄酒 查看详细信息</t>
  </si>
  <si>
    <t>刘华</t>
  </si>
  <si>
    <t>枣贵人</t>
  </si>
  <si>
    <t>黄酒; 烈酒（饮料）; 酒精饮料（啤酒除外）; 果酒（含酒精）; 白兰地; 含水果酒精饮料; 烧酒; 蜂蜜酒; 白酒; 酒精饮料原汁 查看详细信息</t>
  </si>
  <si>
    <t>辽宁奥美投资有限公司</t>
  </si>
  <si>
    <t>烈酒（饮料）; 白酒; 苹果酒; 果酒（含酒精）; 清酒（日本米酒）; 葡萄酒; 利口酒; 白兰地; 酒精饮料原汁; 开胃酒 查看详细信息</t>
  </si>
  <si>
    <t>李磊</t>
  </si>
  <si>
    <t>冀公醉</t>
  </si>
  <si>
    <t>预先混合的酒精饮料（以啤酒为主的除外）; 食用酒精; 果酒（含酒精）; 烈酒（饮料）; 白酒; 黄酒; 烧酒; 清酒（日本米酒）; 葡萄酒; 酒精饮料浓缩汁 查看详细信息</t>
  </si>
  <si>
    <t>陕西壹信金诺供应链发展有限公司</t>
  </si>
  <si>
    <t>八宝甄善</t>
  </si>
  <si>
    <t>白酒; 葡萄酒; 果酒（含酒精）; 米酒; 烈酒（饮料）; 酒精饮料（啤酒除外）; 烧酒; 黄酒; 鸡尾酒; 蒸馏饮料 查看详细信息</t>
  </si>
  <si>
    <t>参之美（河南）生物科技有限公司</t>
  </si>
  <si>
    <t>圣源太乐</t>
  </si>
  <si>
    <t>烧酒; 果酒（含酒精）; 蜂蜜酒; 清酒（日本米酒）; 酒精饮料（啤酒除外）; 汽酒; 米酒; 黄酒; 食用酒精; 白酒 查看详细信息</t>
  </si>
  <si>
    <t>林回忠</t>
  </si>
  <si>
    <t>棒哒伴侣</t>
  </si>
  <si>
    <t>米酒; 汽酒; 白酒; 葡萄酒; 果酒（含酒精）; 烧酒; 酒精饮料（啤酒除外）; 青稞酒; 黄酒; 白兰地 查看详细信息</t>
  </si>
  <si>
    <t>河南耕田有道商贸有限公司</t>
  </si>
  <si>
    <t>犁雨</t>
  </si>
  <si>
    <t>开胃酒; 白酒; 蒸馏饮料; 酒精饮料浓缩汁; 米酒; 烧酒; 青稞酒; 利口酒; 汽酒; 黄酒 查看详细信息</t>
  </si>
  <si>
    <t>陈立昌</t>
  </si>
  <si>
    <t>超级广</t>
  </si>
  <si>
    <t>白酒; 米酒; 汽酒; 甜酒; 葡萄酒; 清酒; 黄酒; 开胃酒; 果酒; 食用酒精 查看详细信息</t>
  </si>
  <si>
    <t>宁波聚满云文化发展有限公司</t>
  </si>
  <si>
    <t>鲸至</t>
  </si>
  <si>
    <t>果酒; 鸡尾酒; 白酒; 高粱酒; 青稞酒; 葡萄酒; 米酒; 含酒精的饮料（啤酒除外）; 清酒; 黄酒 查看详细信息</t>
  </si>
  <si>
    <t>朱成武</t>
  </si>
  <si>
    <t>桂状名 酒</t>
  </si>
  <si>
    <t>米酒; 老酒（中国蒸馏烈酒）; 烧酒; 茴香酒（利口酒）; 烈酒（饮料）; 黄酒; 葡萄酒; 果酒（含酒精）; 白酒; 甜酒 查看详细信息</t>
  </si>
  <si>
    <t>贵州省仁怀市德四方酒业销售有限公司</t>
  </si>
  <si>
    <t>白酒; 葡萄酒; 含水果酒精饮料; 鸡尾酒; 白兰地; 米酒; 酒精饮料（啤酒除外）; 烧酒; 果酒（含酒精）; 开胃酒 查看详细信息</t>
  </si>
  <si>
    <t>青谷玉液</t>
  </si>
  <si>
    <t>果酒（含酒精）; 鸡尾酒; 预先混合的酒精饮料（以啤酒为主的除外）; 白酒; 酒精饮料（啤酒除外）; 由谷物蒸馏的白酒; 高粱酒; 露酒; 葡萄酒; 米酒 查看详细信息</t>
  </si>
  <si>
    <t>青谷池</t>
  </si>
  <si>
    <t>露酒; 鸡尾酒; 葡萄酒; 米酒; 白酒; 酒精饮料（啤酒除外）; 由谷物蒸馏的白酒; 高粱酒; 预先混合的酒精饮料（以啤酒为主的除外）; 果酒（含酒精） 查看详细信息</t>
  </si>
  <si>
    <t>陈绪林</t>
  </si>
  <si>
    <t>堰房源</t>
  </si>
  <si>
    <t>烈酒; 白酒; 利口酒; 烧酒; 食用酒精; 鸡尾酒; 开胃酒; 果酒（含酒精）; 黄酒; 蒸馏饮料 查看详细信息</t>
  </si>
  <si>
    <t>仲昭爽</t>
  </si>
  <si>
    <t>酒精饮料（啤酒除外）; 黄酒; 白兰地; 伏特加酒; 白酒; 果酒（含酒精）; 烈酒（饮料）; 清酒（日本米酒）; 葡萄酒; 汽酒 查看详细信息</t>
  </si>
  <si>
    <t>深圳市炽童网络有限公司</t>
  </si>
  <si>
    <t>MAGEGEE</t>
  </si>
  <si>
    <t>果酒（含酒精）; 酒精饮料原汁; 含水果酒精饮料; 鸡尾酒; 烧酒; 酒精饮料（啤酒除外）; 白酒; 苹果酒; 酒精饮料浓缩汁; 蒸馏饮料 查看详细信息</t>
  </si>
  <si>
    <t>凭祥市天意达科技有限公司</t>
  </si>
  <si>
    <t>黄酒; 白酒; 葡萄酒; 果酒（含酒精）; 威士忌; 酒精饮料（啤酒除外）; 烈酒（饮料）; 米酒; 烧酒; 鸡尾酒 查看详细信息</t>
  </si>
  <si>
    <t>广州腾爱医疗器械有限公司</t>
  </si>
  <si>
    <t>重胜堂</t>
  </si>
  <si>
    <t>白兰地; 葡萄酒; 威士忌; 烈酒（饮料）; 白酒; 汽酒; 清酒（日本米酒）; 苹果酒; 蜂蜜酒; 开胃酒 查看详细信息</t>
  </si>
  <si>
    <t>阜阳市鸿福农业科技股份有限公司</t>
  </si>
  <si>
    <t>闻福 心无界 我不醉</t>
  </si>
  <si>
    <t>含水果酒精饮料; 米酒; 樱桃酒; 餐后酒（利口酒和烈酒）; 青稞酒; 威士忌; 酒精饮料（啤酒除外）; 烧酒; 开胃酒; 蒸馏饮料; 草莓酒; 梅酒; 苦味酒; 苹果酒; 果酒（含酒精）; 鸡尾酒; 烈酒（饮料）; 梨酒; 朗姆酒; 伏特加酒; 汽酒; 白酒; 高粱酒; 薄荷酒; 葡萄酒; 蜂蜜酒; 白兰地; 清酒（日本米酒） 查看详细信息</t>
  </si>
  <si>
    <t>怀小伙</t>
  </si>
  <si>
    <t>老酒（中国蒸馏烈酒）; 葡萄酒; 鸡尾酒; 白酒; 酒精饮料（啤酒除外）; 汽酒; 烈酒（饮料）; 果酒（含酒精）; 蒸馏饮料; 黄酒 查看详细信息</t>
  </si>
  <si>
    <t>常海洋</t>
  </si>
  <si>
    <t>武弜</t>
  </si>
  <si>
    <t>汽酒; 葡萄酒; 蒸馏饮料; 蒸煮提取物（利口酒和烈酒）; 果酒（含酒精）; 米酒; 黄酒; 开胃酒; 白酒; 酒精饮料（啤酒除外） 查看详细信息</t>
  </si>
  <si>
    <t>河北衡湖缘酿酒有限公司</t>
  </si>
  <si>
    <t>椰海健鹿</t>
  </si>
  <si>
    <t>甜酒; 黄酒; 含水果酒精饮料; 伏特加酒; 米酒; 果酒; 苹果酒; 葡萄酒; 烈酒; 白酒 查看详细信息</t>
  </si>
  <si>
    <t>陈亚红</t>
  </si>
  <si>
    <t>佬潭城</t>
  </si>
  <si>
    <t>米酒; 开胃酒; 白酒; 食用酒精; 果酒; 汽酒; 清酒; 甜酒; 葡萄酒; 黄酒 查看详细信息</t>
  </si>
  <si>
    <t>河南静和源商贸有限公司</t>
  </si>
  <si>
    <t>聻</t>
  </si>
  <si>
    <t>薄荷酒; 青稞酒; 黄酒; 蜂蜜酒; 苹果酒; 果酒（含酒精）; 谷物制蒸馏酒精饮料; 白酒; 米酒; 梨酒 查看详细信息</t>
  </si>
  <si>
    <t>上海淘兔兔文化娱乐有限公司</t>
  </si>
  <si>
    <t>尊古京</t>
  </si>
  <si>
    <t>果酒; 白兰地; 清酒（日本米酒）; 威士忌; 烈酒（饮料）; 白酒; 烧酒; 葡萄酒; 黄酒; 米酒 查看详细信息</t>
  </si>
  <si>
    <t>深圳市万物蕴贸易有限公司</t>
  </si>
  <si>
    <t>花续</t>
  </si>
  <si>
    <t>朗姆酒; 蜂蜜酒; 米酒; 果酒; 含酒精的饮料（啤酒除外）; 调制好的葡萄酒鸡尾酒; 白酒; 葡萄酒; 甜酒; 梅酒 查看详细信息</t>
  </si>
  <si>
    <t>遵义西风烈文化教育培训中心有限公司</t>
  </si>
  <si>
    <t>西风烈盛世年华</t>
  </si>
  <si>
    <t>老酒（中国蒸馏烈酒）; 烈酒; 白酒; 果酒（含酒精）; 麦芽威士忌; 葡萄酒; 含水果酒精饮料; 以葡萄酒为主的饮料; 伏特加酒; 苹果酒 查看详细信息</t>
  </si>
  <si>
    <t>厦门世纪中基供应链有限公司</t>
  </si>
  <si>
    <t>乔治蒙特斯</t>
  </si>
  <si>
    <t>高粱酒; 麦芽威士忌; 葡萄酒; 白兰地; 威士忌; 清酒; 除啤酒外的酒精饮料; 果酒（含酒精）; 餐后酒（利口酒和烈酒）; 清酒（日本米酒） 查看详细信息</t>
  </si>
  <si>
    <t>张旭</t>
  </si>
  <si>
    <t>祝各亮</t>
  </si>
  <si>
    <t>啤酒; 制啤酒用麦芽汁; 果汁; 软饮料; 矿泉水（饮料）; 水（饮料）; 起泡水（饮料）; 加气水; 能量饮料; 苏打水 查看详细信息</t>
  </si>
  <si>
    <t>新区华杰电动自行车修理部</t>
  </si>
  <si>
    <t>宫酒坤宁宫</t>
  </si>
  <si>
    <t>果酒（含酒精）; 蒸馏饮料; 葡萄酒; 酒精饮料（啤酒除外）; 白酒; 预先混合的酒精饮料（以啤酒为主的除外）; 汽酒; 黄酒; 烧酒; 米酒 查看详细信息</t>
  </si>
  <si>
    <t>娄底市经济技术开发区万佳商行</t>
  </si>
  <si>
    <t>KEDDERL</t>
  </si>
  <si>
    <t>白酒; 烧酒; 酒精饮料（啤酒除外）; 黄酒; 烈酒（饮料）; 米酒; 伏特加酒; 开胃酒; 鸡尾酒; 葡萄酒 查看详细信息</t>
  </si>
  <si>
    <t>贵州苗修堂医药科技有限公司</t>
  </si>
  <si>
    <t>东皇汉帝</t>
  </si>
  <si>
    <t>果酒（含酒精）; 开胃酒; 苹果酒; 樱桃酒; 酒精饮料（啤酒除外）; 梨酒; 白酒; 鸡尾酒; 黄酒; 蜂蜜酒 查看详细信息</t>
  </si>
  <si>
    <t>冯丽华</t>
  </si>
  <si>
    <t>鲁御粮都金品</t>
  </si>
  <si>
    <t>白酒; 鸡尾酒; 开胃酒; 烈酒; 白兰地; 米酒; 果酒; 酒精饮料（啤酒除外）; 薄荷酒; 葡萄酒 查看详细信息</t>
  </si>
  <si>
    <t>上海垒锦环境科技中心</t>
  </si>
  <si>
    <t>棠羊</t>
  </si>
  <si>
    <t>果酒（含酒精）; 开胃酒; 烈酒（饮料）; 黄酒; 葡萄酒; 酒精饮料原汁; 酒精饮料（啤酒除外）; 含水果酒精饮料; 谷物制蒸馏酒精饮料; 白酒 查看详细信息</t>
  </si>
  <si>
    <t>厦门南海小珊瑚餐饮有限公司</t>
  </si>
  <si>
    <t>垠海</t>
  </si>
  <si>
    <t>开胃酒; 鸡尾酒; 葡萄酒; 威士忌; 烈酒; 黄酒; 白酒; 高粱酒; 白葡萄酒; 米酒 查看详细信息</t>
  </si>
  <si>
    <t>天津市蓝舍酒业有限公司</t>
  </si>
  <si>
    <t>蓝舍</t>
  </si>
  <si>
    <t>葡萄酒; 酒精饮料（啤酒除外）; 食用酒精; 鸡尾酒; 米酒; 威士忌; 烈酒; 白兰地; 白酒; 黄酒 查看详细信息</t>
  </si>
  <si>
    <t>谷城县墨冬昕商贸店(个体工商户)</t>
  </si>
  <si>
    <t>多醉仙</t>
  </si>
  <si>
    <t>米酒; 白酒; 果酒（含酒精）; 食用酒精; 蒸煮提取物（利口酒和烈酒）; 烧酒; 酒精饮料（啤酒除外）; 葡萄酒; 黄酒; 酒精饮料浓缩汁 查看详细信息</t>
  </si>
  <si>
    <t>文弜</t>
  </si>
  <si>
    <t>果酒（含酒精）; 汽酒; 开胃酒; 白酒; 酒精饮料（啤酒除外）; 黄酒; 蒸馏饮料; 蒸煮提取物（利口酒和烈酒）; 葡萄酒; 米酒 查看详细信息</t>
  </si>
  <si>
    <t>骏铭赋</t>
  </si>
  <si>
    <t>白酒; 威士忌; 鸡尾酒; 酒精饮料（啤酒除外）; 白兰地; 米酒; 葡萄酒; 果酒（含酒精）; 烈酒（饮料）; 烧酒 查看详细信息</t>
  </si>
  <si>
    <t>唐柏玉</t>
  </si>
  <si>
    <t>动力小夜曲 POWER SERENADE</t>
  </si>
  <si>
    <t>果酒（含酒精）; 白酒; 果酒; 清酒; 老酒（中国蒸馏烈酒）; 黄酒; 鸡尾酒; 含水果酒精饮料; 起泡红葡萄酒; 烈酒（饮料） 查看详细信息</t>
  </si>
  <si>
    <t>南山集团有限公司</t>
  </si>
  <si>
    <t>南山吉喜</t>
  </si>
  <si>
    <t>葡萄酒; 烧酒; 白兰地; 清酒（日本米酒）; 威士忌; 酒精饮料原汁; 酒精饮料浓缩汁; 酒精饮料（啤酒除外）; 含水果酒精饮料; 米酒; 伏特加酒; 白酒; 汽酒; 青稞酒; 黄酒; 食用酒精; 烈酒（饮料） 查看详细信息</t>
  </si>
  <si>
    <t>王东伟</t>
  </si>
  <si>
    <t>历代贤臣</t>
  </si>
  <si>
    <t>果酒（含酒精）; 米酒; 高粱酒; 甜酒; 白酒; 苦荞酒; 露酒; 青稞酒; 食用酒精; 红葡萄酒 查看详细信息</t>
  </si>
  <si>
    <t>杨军芳</t>
  </si>
  <si>
    <t>情系女娲</t>
  </si>
  <si>
    <t>果酒（含酒精）; 鸡尾酒; 利口酒; 白兰地; 含水果酒精饮料; 以葡萄酒为主的饮料; 烧酒; 黄酒; 白酒; 米酒 查看详细信息</t>
  </si>
  <si>
    <t>广东平安消防实业有限公司</t>
  </si>
  <si>
    <t>桂安 GA</t>
  </si>
  <si>
    <t>薄荷酒; 果酒（含酒精）; 苦味酒; 茴芹酒（利口酒）; 白酒; 亚力酒; 蒸馏饮料; 苹果酒; 葡萄酒; 开胃酒 查看详细信息</t>
  </si>
  <si>
    <t>邓正群</t>
  </si>
  <si>
    <t>蓉城序章</t>
  </si>
  <si>
    <t>开胃酒; 鸡尾酒; 酒精饮料（啤酒除外）; 含水果酒精饮料; 果酒（含酒精）; 餐后酒（利口酒和烈酒）; 威士忌; 白兰地; 葡萄酒; 白酒 查看详细信息</t>
  </si>
  <si>
    <t>小古京</t>
  </si>
  <si>
    <t>果酒; 葡萄酒; 黄酒; 烈酒（饮料）; 烧酒; 清酒（日本米酒）; 威士忌; 米酒; 白酒; 白兰地 查看详细信息</t>
  </si>
  <si>
    <t>李明芝</t>
  </si>
  <si>
    <t>泸小盼</t>
  </si>
  <si>
    <t>果酒; 烈酒; 烧酒; 白酒; 黄酒; 葡萄酒; 酒精饮料（啤酒除外）; 青稞酒; 高粱酒; 米酒 查看详细信息</t>
  </si>
  <si>
    <t>王波</t>
  </si>
  <si>
    <t>进沟香</t>
  </si>
  <si>
    <t>白酒; 果酒（含酒精）; 米酒; 黄酒; 葡萄酒; 青稞酒; 白干酒（中国白酒）; 由谷物蒸馏的白酒; 高粱酒; 烧酒 查看详细信息</t>
  </si>
  <si>
    <t>上海一久酒业有限公司</t>
  </si>
  <si>
    <t>刚卯</t>
  </si>
  <si>
    <t>白酒; 葡萄酒; 白兰地; 酒精饮料浓缩汁; 以葡萄酒为主的饮料; 酒精饮料（啤酒除外）; 预先混合的酒精饮料（以啤酒为主的除外）; 黄酒; 含酒精的水果鸡尾酒饮料; 果酒（含酒精） 查看详细信息</t>
  </si>
  <si>
    <t>杨国明</t>
  </si>
  <si>
    <t>念娇儿</t>
  </si>
  <si>
    <t>伏特加酒; 汽酒; 白酒; 露酒; 朗姆酒; 葡萄酒; 果酒（含酒精）; 利口酒; 酒精饮料（啤酒除外）; 鸡尾酒 查看详细信息</t>
  </si>
  <si>
    <t>南山祥喜</t>
  </si>
  <si>
    <t>广东古酒坊酒业有限公司</t>
  </si>
  <si>
    <t>贡旅池</t>
  </si>
  <si>
    <t>鸡尾酒; 葡萄酒; 酒精饮料浓缩汁; 含水果酒精饮料; 蒸煮提取物（利口酒和烈酒）; 食用酒精; 白酒; 蒸馏饮料; 果酒; 米酒 查看详细信息</t>
  </si>
  <si>
    <t>裕粮吉</t>
  </si>
  <si>
    <t>椰海康鹿</t>
  </si>
  <si>
    <t>含水果酒精饮料; 白酒; 米酒; 伏特加酒; 甜酒; 苹果酒; 葡萄酒; 黄酒; 烈酒; 果酒 查看详细信息</t>
  </si>
  <si>
    <t>王瑛</t>
  </si>
  <si>
    <t>嘉福万寿</t>
  </si>
  <si>
    <t>露酒; 白酒; 餐后酒（利口酒和烈酒）; 蒸馏饮料; 果酒（含酒精）; 苹果酒; 葡萄酒; 烈酒（饮料）; 谷物制蒸馏酒精饮料; 米酒 查看详细信息</t>
  </si>
  <si>
    <t>晋江千丝食品有限公司</t>
  </si>
  <si>
    <t>千丝韵</t>
  </si>
  <si>
    <t>果酒（含酒精）; 鸡尾酒; 葡萄酒; 清酒（日本米酒）; 含酒精水果饮料; 黄酒; 白酒; 预调甜酒; 红葡萄酒; 酒精饮料（啤酒除外） 查看详细信息</t>
  </si>
  <si>
    <t>东莞市商讼实业投资有限公司</t>
  </si>
  <si>
    <t>展豪</t>
  </si>
  <si>
    <t>白酒; 果酒（含酒精）; 葡萄酒; 烈酒（饮料）; 鸡尾酒; 威士忌; 米酒; 烧酒; 食用酒精; 白兰地 查看详细信息</t>
  </si>
  <si>
    <t>乾安县志诚农业种植中心</t>
  </si>
  <si>
    <t>乾泽源</t>
  </si>
  <si>
    <t>鸡尾酒; 葡萄酒; 烈酒（饮料）; 威士忌; 已调味的麦芽酿制的酒精饮料（啤酒除外）; 米酒; 黄酒; 白酒; 酒精饮料原汁; 含水果酒精饮料 查看详细信息</t>
  </si>
  <si>
    <t>严卯</t>
  </si>
  <si>
    <t>汤阴县股辊百货店</t>
  </si>
  <si>
    <t>仁赐匠</t>
  </si>
  <si>
    <t>葡萄酒; 白酒; 黄酒; 鸡尾酒; 烈酒（饮料）; 汽酒; 酒精饮料（啤酒除外）; 老酒（中国蒸馏烈酒）; 蒸馏饮料; 果酒（含酒精） 查看详细信息</t>
  </si>
  <si>
    <t>威士忌; 烈酒（饮料）; 白兰地; 白酒; 黄酒; 葡萄酒; 酒精饮料（啤酒除外）; 食用酒精; 鸡尾酒; 米酒 查看详细信息</t>
  </si>
  <si>
    <t>贵州京谭酒业有限责任公司</t>
  </si>
  <si>
    <t>龙呶台</t>
  </si>
  <si>
    <t>烧酒; 果酒（含酒精）; 蒸馏饮料; 食用酒精; 白酒; 米酒; 青稞酒; 黄酒; 葡萄酒; 酒精饮料（啤酒除外） 查看详细信息</t>
  </si>
  <si>
    <t>椰海圣鹿</t>
  </si>
  <si>
    <t>白酒; 含水果酒精饮料; 米酒; 伏特加酒; 甜酒; 苹果酒; 葡萄酒; 黄酒; 烈酒; 果酒 查看详细信息</t>
  </si>
  <si>
    <t>刘永</t>
  </si>
  <si>
    <t>赤粱井</t>
  </si>
  <si>
    <t>黄酒; 食用酒精; 米酒; 白酒; 蒸煮提取物（利口酒和烈酒）; 酒精饮料（啤酒除外）; 烧酒; 酒精饮料浓缩汁; 葡萄酒; 果酒（含酒精） 查看详细信息</t>
  </si>
  <si>
    <t>钓粮帝</t>
  </si>
  <si>
    <t>黄酒; 食用酒精; 酒精饮料浓缩汁; 葡萄酒; 蒸煮提取物（利口酒和烈酒）; 白酒; 烧酒; 果酒（含酒精）; 酒精饮料（啤酒除外）; 米酒 查看详细信息</t>
  </si>
  <si>
    <t>拾金拾艺秦皇岛文化传播有限公司</t>
  </si>
  <si>
    <t>至臻良食</t>
  </si>
  <si>
    <t>白酒; 果酒; 高粱酒; 含酒精水果饮料; 黄酒; 朝鲜烧酒; 清酒; 朝鲜族米酒; 葡萄酒; 梅酒 查看详细信息</t>
  </si>
  <si>
    <t>彭发力（522131********0435）</t>
  </si>
  <si>
    <t>仁茂帅</t>
  </si>
  <si>
    <t>白酒; 高粱酒; 果酒; 烧酒; 葡萄酒; 黄酒; 含水果酒精饮料; 鸡尾酒; 烈酒; 开胃酒 查看详细信息</t>
  </si>
  <si>
    <t>福鼎市韵夏白茶有限公司</t>
  </si>
  <si>
    <t>韵夏蓝</t>
  </si>
  <si>
    <t>果酒（含酒精）; 开胃酒; 鸡尾酒; 葡萄酒; 白酒; 酒精饮料（啤酒除外）; 米酒; 烧酒; 黄酒; 威士忌 查看详细信息</t>
  </si>
  <si>
    <t>凡元秀</t>
  </si>
  <si>
    <t>壶窖侠</t>
  </si>
  <si>
    <t>酒精饮料（啤酒除外）; 蒸煮提取物（利口酒和烈酒）; 果酒（含酒精）; 黄酒; 烧酒; 酒精饮料浓缩汁; 葡萄酒; 米酒; 白酒; 食用酒精 查看详细信息</t>
  </si>
  <si>
    <t>汉醉月</t>
  </si>
  <si>
    <t>果酒（含酒精）; 酒精饮料（啤酒除外）; 蒸煮提取物（利口酒和烈酒）; 黄酒; 烧酒; 酒精饮料浓缩汁; 葡萄酒; 米酒; 白酒; 食用酒精 查看详细信息</t>
  </si>
  <si>
    <t>上海沐德之初品牌管理有限公司</t>
  </si>
  <si>
    <t>JUMPIN' JACK</t>
  </si>
  <si>
    <t>果酒（含酒精）; 葡萄酒; 烈酒（饮料）; 威士忌; 食用酒精; 米酒; 伏特加酒; 黄酒; 酒精饮料（啤酒除外） 查看详细信息</t>
  </si>
  <si>
    <t>衡窖浔</t>
  </si>
  <si>
    <t>葡萄酒; 米酒; 白酒; 烧酒; 酒精饮料浓缩汁; 蒸煮提取物（利口酒和烈酒）; 酒精饮料（啤酒除外）; 黄酒; 食用酒精; 果酒（含酒精） 查看详细信息</t>
  </si>
  <si>
    <t>贵州奔福酒业集团有限公司</t>
  </si>
  <si>
    <t>奔福匠</t>
  </si>
  <si>
    <t>米酒; 青稞酒; 食用酒精; 白酒; 老酒（中国蒸馏烈酒）; 烈酒; 高粱酒; 果酒; 梅酒; 白干酒（中国白酒） 查看详细信息</t>
  </si>
  <si>
    <t>山东百脉泉酒业股份有限公司</t>
  </si>
  <si>
    <t>清照龙</t>
  </si>
  <si>
    <t>白酒; 果酒（含酒精）; 开胃酒; 苹果酒; 黄酒; 蜂蜜酒; 酸酒（低等葡萄酒）; 酒精饮料（啤酒除外）; 汽酒; 葡萄酒 查看详细信息</t>
  </si>
  <si>
    <t>清照地利</t>
  </si>
  <si>
    <t>开胃酒; 苹果酒; 葡萄酒; 蜂蜜酒; 果酒（含酒精）; 酒精饮料（啤酒除外）; 汽酒; 黄酒; 白酒; 酸酒（低等葡萄酒） 查看详细信息</t>
  </si>
  <si>
    <t>贵州冠之国酒文化有限公司</t>
  </si>
  <si>
    <t>和美为怀</t>
  </si>
  <si>
    <t>含水果酒精饮料; 米酒; 谷物制蒸馏酒精饮料; 白酒; 黄酒; 果酒（含酒精）; 鸡尾酒; 葡萄酒; 烈酒（饮料）; 烧酒 查看详细信息</t>
  </si>
  <si>
    <t>三刀客</t>
  </si>
  <si>
    <t>黄酒; 烧酒; 米酒; 酒精饮料（啤酒除外）; 清酒（日本米酒）; 蒸馏饮料; 伏特加酒; 葡萄酒; 含水果酒精饮料; 白酒 查看详细信息</t>
  </si>
  <si>
    <t>刘永伟</t>
  </si>
  <si>
    <t>丱亓弖㒵</t>
  </si>
  <si>
    <t>利口酒; 清酒（日本米酒）; 烈酒; 米酒; 除啤酒外的酒精饮料; 白酒; 茴香酒（利口酒）; 葡萄酒; 蒸煮提取物（利口酒和烈酒）; 烧酒 查看详细信息</t>
  </si>
  <si>
    <t>稻醉月</t>
  </si>
  <si>
    <t>食用酒精; 酒精饮料浓缩汁; 葡萄酒; 米酒; 蒸煮提取物（利口酒和烈酒）; 白酒; 烧酒; 果酒（含酒精）; 酒精饮料（啤酒除外）; 黄酒 查看详细信息</t>
  </si>
  <si>
    <t>美佳美奥州商贸（深圳）有限公司</t>
  </si>
  <si>
    <t>羊分子</t>
  </si>
  <si>
    <t>开胃酒; 鸡尾酒; 蜂蜜酒; 白兰地; 白酒; 米酒; 果酒（含酒精）; 烧酒; 黄酒; 酒精饮料（啤酒除外） 查看详细信息</t>
  </si>
  <si>
    <t>安徽武林风酒业有限公司</t>
  </si>
  <si>
    <t>繁城</t>
  </si>
  <si>
    <t>威士忌; 朗姆酒; 伏特加酒; 果酒; 酒精饮料（啤酒除外）; 烈酒; 露酒; 白酒; 鸡尾酒; 葡萄酒 查看详细信息</t>
  </si>
  <si>
    <t>何飞</t>
  </si>
  <si>
    <t>龙姬</t>
  </si>
  <si>
    <t>黄酒; 米酒; 葡萄酒; 除啤酒外的酒精饮料; 鸡尾酒; 白酒; 果酒; 清酒; 烈酒; 烧酒 查看详细信息</t>
  </si>
  <si>
    <t>清照天时</t>
  </si>
  <si>
    <t>贵州君品荟文化传媒有限公司</t>
  </si>
  <si>
    <t>麻寿康</t>
  </si>
  <si>
    <t>清酒（日本米酒）; 白酒; 葡萄酒; 米酒; 烈酒（饮料）; 黄酒; 烧酒; 酒精饮料（啤酒除外）; 鸡尾酒; 果酒（含酒精） 查看详细信息</t>
  </si>
  <si>
    <t>巴樽龙</t>
  </si>
  <si>
    <t>酒精饮料（啤酒除外）; 蒸煮提取物（利口酒和烈酒）; 黄酒; 食用酒精; 果酒（含酒精）; 葡萄酒; 米酒; 白酒; 烧酒; 酒精饮料浓缩汁 查看详细信息</t>
  </si>
  <si>
    <t>沐盟科技集团有限公司</t>
  </si>
  <si>
    <t>烧酒; 葡萄酒; 开胃酒; 白酒; 烈酒（饮料）; 清酒（日本米酒）; 青稞酒; 果酒; 米酒; 白兰地 查看详细信息</t>
  </si>
  <si>
    <t>贵帝玺</t>
  </si>
  <si>
    <t>添麻添寿</t>
  </si>
  <si>
    <t>葡萄酒; 米酒; 果酒（含酒精）; 黄酒; 白酒; 酒精饮料（啤酒除外）; 鸡尾酒; 烈酒（饮料）; 清酒（日本米酒）; 烧酒 查看详细信息</t>
  </si>
  <si>
    <t>马立金</t>
  </si>
  <si>
    <t>甩甩先生</t>
  </si>
  <si>
    <t>白酒; 果酒（含酒精）; 蒸馏饮料; 餐后酒（利口酒和烈酒）; 鸡尾酒; 酒精饮料（啤酒除外）; 含水果酒精饮料; 食用酒精; 葡萄酒; 白兰地 查看详细信息</t>
  </si>
  <si>
    <t>白粱井</t>
  </si>
  <si>
    <t>窦宇</t>
  </si>
  <si>
    <t>福余仁</t>
  </si>
  <si>
    <t>蜂蜜酒; 烈酒（饮料）; 含水果酒精饮料; 果酒（含酒精）; 露酒; 黄酒; 食用酒精; 烧酒; 谷物制蒸馏酒精饮料; 白酒 查看详细信息</t>
  </si>
  <si>
    <t>禾凤典</t>
  </si>
  <si>
    <t>孔金樽</t>
  </si>
  <si>
    <t>山东柿安盈食品有限公司</t>
  </si>
  <si>
    <t>NEWLAND SUNSHINE</t>
  </si>
  <si>
    <t>白酒; 烧酒; 含酒精水果饮料; 果酒; 鸡尾酒; 烈酒; 黄酒; 米酒; 葡萄酒; 高粱酒 查看详细信息</t>
  </si>
  <si>
    <t>韵夏红</t>
  </si>
  <si>
    <t>勋宾</t>
  </si>
  <si>
    <t>黄酒; 白酒; 烈酒; 高粱酒; 米酒; 老酒（中国蒸馏烈酒）; 果酒（含酒精）; 葡萄酒; 清酒 查看详细信息</t>
  </si>
  <si>
    <t>南京壹宸文化传播有限公司</t>
  </si>
  <si>
    <t>壹宸归藏</t>
  </si>
  <si>
    <t>利口酒; 含水果酒精饮料; 米酒; 烧酒; 黄酒; 果酒; 老酒（中国蒸馏烈酒）; 葡萄酒; 酒精饮料（啤酒除外）; 白酒 查看详细信息</t>
  </si>
  <si>
    <t>江西商酬信商贸有限公司</t>
  </si>
  <si>
    <t>商酬信</t>
  </si>
  <si>
    <t>葡萄酒; 黄酒; 米酒; 刺五加酒; 烈酒; 高粱酒; 老酒（中国蒸馏烈酒）; 白酒; 烧酒（烈酒）; 清酒; 青稞酒; 食用酒精; 果酒 查看详细信息</t>
  </si>
  <si>
    <t>山东潍县景艺酒业有限公司</t>
  </si>
  <si>
    <t>世事顺鑫</t>
  </si>
  <si>
    <t>果酒（含酒精）; 葡萄酒; 白兰地; 威士忌; 白酒; 朗姆酒; 伏特加酒; 黄酒; 食用酒精; 酒精饮料（啤酒除外） 查看详细信息</t>
  </si>
  <si>
    <t>石首市九九养老服务有限公司</t>
  </si>
  <si>
    <t>小怡肆</t>
  </si>
  <si>
    <t>开胃酒; 蒸煮提取物（利口酒和烈酒）; 利口酒; 烈酒（饮料）; 葡萄酒; 含水果酒精饮料; 米酒; 清酒（日本米酒）; 烧酒; 白兰地 查看详细信息</t>
  </si>
  <si>
    <t>恒阳河</t>
  </si>
  <si>
    <t>朗姆酒; 伏特加酒; 果酒; 葡萄酒; 酒精饮料（啤酒除外）; 露酒; 白酒; 鸡尾酒; 威士忌; 烈酒 查看详细信息</t>
  </si>
  <si>
    <t>刘艳</t>
  </si>
  <si>
    <t>蒙问</t>
  </si>
  <si>
    <t>果酒（含酒精）; 蒸馏饮料; 葡萄酒; 酒精饮料（啤酒除外）; 烧酒; 黄酒; 白酒; 开胃酒; 老酒（中国蒸馏烈酒）; 米酒 查看详细信息</t>
  </si>
  <si>
    <t>宋俊</t>
  </si>
  <si>
    <t>誉古翁</t>
  </si>
  <si>
    <t>沈志票</t>
  </si>
  <si>
    <t>粱五爷</t>
  </si>
  <si>
    <t>烈酒; 白酒; 黄酒; 酒精饮料（啤酒除外）; 果酒（含酒精）; 清酒（日本米酒）; 葡萄酒; 鸡尾酒; 开胃酒; 威士忌 查看详细信息</t>
  </si>
  <si>
    <t>雁凤潭</t>
  </si>
  <si>
    <t>岳黔匠</t>
  </si>
  <si>
    <t>食用酒精; 酒精饮料浓缩汁; 葡萄酒; 米酒; 蒸煮提取物（利口酒和烈酒）; 烧酒; 果酒（含酒精）; 黄酒; 酒精饮料（啤酒除外）; 白酒 查看详细信息</t>
  </si>
  <si>
    <t>溢醉翁</t>
  </si>
  <si>
    <t>北京红叶葡萄酒有限公司</t>
  </si>
  <si>
    <t>壮志凌云</t>
  </si>
  <si>
    <t>薄荷酒; 果酒（含酒精）; 鸡尾酒; 葡萄酒; 黄酒; 烈酒（饮料）; 米酒; 白酒; 白兰地 查看详细信息</t>
  </si>
  <si>
    <t>四川牛掌柜鑫腾达商贸有限公司</t>
  </si>
  <si>
    <t>蜀小黑</t>
  </si>
  <si>
    <t>果酒（含酒精）; 茴香酒（利口酒）; 开胃酒; 鸡尾酒; 葡萄酒; 食用酒精; 烧酒; 白酒; 青稞酒; 餐后酒（利口酒和烈酒） 查看详细信息</t>
  </si>
  <si>
    <t>北京均豪资产管理顾问有限公司</t>
  </si>
  <si>
    <t>郝伯</t>
  </si>
  <si>
    <t>利口酒; 威士忌; 米酒; 朗姆酒; 葡萄酒; 白酒; 酒精饮料（啤酒除外）; 含水果酒精饮料; 鸡尾酒; 伏特加酒 查看详细信息</t>
  </si>
  <si>
    <t>成都香城桂湖酒文化传播有限公司</t>
  </si>
  <si>
    <t>桂湖家</t>
  </si>
  <si>
    <t>葡萄酒; 黄酒; 米酒; 白干酒（中国白酒）; 蜂蜜酒; 烧酒; 高粱酒; 果酒; 白酒; 青稞酒 查看详细信息</t>
  </si>
  <si>
    <t>东方缘酿酒股份有限公司</t>
  </si>
  <si>
    <t>江旗牌</t>
  </si>
  <si>
    <t>果酒（含酒精）; 酒精饮料（啤酒除外）; 开胃酒; 葡萄酒; 白兰地; 烧酒; 食用酒精; 白酒; 鸡尾酒; 清酒（日本米酒） 查看详细信息</t>
  </si>
  <si>
    <t>阙大凯</t>
  </si>
  <si>
    <t>阙实好</t>
  </si>
  <si>
    <t>白酒; 葡萄酒; 果酒（含酒精）; 利口酒; 黄酒; 酒精饮料原汁; 含水果酒精饮料; 酒精饮料浓缩汁; 烧酒; 米酒 查看详细信息</t>
  </si>
  <si>
    <t>中国邮政集团有限公司吉林省分公司</t>
  </si>
  <si>
    <t>吉货出吉</t>
  </si>
  <si>
    <t>果酒（含酒精）; 葡萄酒; 鸡尾酒; 米酒; 青稞酒; 白酒; 老酒（中国蒸馏烈酒）; 烧酒（烈酒）; 汽酒; 黄酒 查看详细信息</t>
  </si>
  <si>
    <t>天津交个朋友酒业有限公司</t>
  </si>
  <si>
    <t>落日出逃</t>
  </si>
  <si>
    <t>鸡尾酒; 利口酒; 烈酒（饮料）; 白兰地; 白酒; 酒精饮料（啤酒除外）; 伏特加酒; 烧酒; 果酒（含酒精）; 威士忌 查看详细信息</t>
  </si>
  <si>
    <t>贵州省仁怀市彩酱酒业有限公司</t>
  </si>
  <si>
    <t>中鑫创新经济信息咨询（北京）有限公司</t>
  </si>
  <si>
    <t>知音九真</t>
  </si>
  <si>
    <t>烈酒（饮料）; 烧酒; 青稞酒; 米酒; 鸡尾酒; 果酒（含酒精）; 酒精饮料（啤酒除外）; 谷物制蒸馏酒精饮料; 黄酒; 葡萄酒 查看详细信息</t>
  </si>
  <si>
    <t>宁乡市星球贸易有限公司</t>
  </si>
  <si>
    <t>德凯龙</t>
  </si>
  <si>
    <t>果酒（含酒精）; 葡萄酒; 鸡尾酒; 白兰地; 烧酒（烈酒）; 米酒; 黄酒; 白酒; 甜酒; 威士忌 查看详细信息</t>
  </si>
  <si>
    <t>王科</t>
  </si>
  <si>
    <t>盈满仓</t>
  </si>
  <si>
    <t>果酒（含酒精）; 威士忌; 白酒; 米酒; 杨梅酒; 红葡萄酒; 白葡萄酒; 梅酒; 清酒; 伏特加酒 查看详细信息</t>
  </si>
  <si>
    <t>上海九域天宸企业发展有限公司</t>
  </si>
  <si>
    <t>九域融宸</t>
  </si>
  <si>
    <t>白酒; 青稞酒; 果酒（含酒精）; 葡萄酒; 预调甜酒; 酒精饮料（啤酒除外）; 含酒精蛋奶酒; 烧酒（烈酒）; 苦荞酒; 米酒 查看详细信息</t>
  </si>
  <si>
    <t>李兴银</t>
  </si>
  <si>
    <t>夕子畔</t>
  </si>
  <si>
    <t>果酒（含酒精）; 蒸煮提取物（利口酒和烈酒）; 葡萄酒; 烈酒（饮料）; 食用酒精; 谷物制蒸馏酒精饮料; 白酒; 汽酒; 黄酒; 酒精饮料（啤酒除外） 查看详细信息</t>
  </si>
  <si>
    <t>浙商酒（山东）电子商务有限公司</t>
  </si>
  <si>
    <t>海甄选酒</t>
  </si>
  <si>
    <t>果酒（含酒精）; 葡萄酒; 清酒（日本米酒）; 威士忌; 白酒; 米酒; 伏特加酒; 烧酒; 黄酒; 酒精饮料（啤酒除外） 查看详细信息</t>
  </si>
  <si>
    <t>薛炎虎</t>
  </si>
  <si>
    <t>皇土情</t>
  </si>
  <si>
    <t>酒精饮料（啤酒除外）; 清酒; 汽酒; 烧酒; 黄酒; 含水果酒精饮料; 果酒（含酒精）; 葡萄酒; 烈酒（饮料）; 酒精饮料原汁 查看详细信息</t>
  </si>
  <si>
    <t>河东焱</t>
  </si>
  <si>
    <t>酒精饮料原汁; 含水果酒精饮料; 汽酒; 烧酒; 葡萄酒; 酒精饮料（啤酒除外）; 清酒; 果酒（含酒精）; 烈酒（饮料）; 黄酒 查看详细信息</t>
  </si>
  <si>
    <t>喜帘</t>
  </si>
  <si>
    <t>烧酒; 烈酒; 含水果酒精饮料; 米酒; 烈酒（饮料）; 葡萄酒; 清酒（日本米酒）; 白干酒（中国白酒）; 白酒; 高粱酒 查看详细信息</t>
  </si>
  <si>
    <t>刘峰142201********7893</t>
  </si>
  <si>
    <t>中誉天诚</t>
  </si>
  <si>
    <t>果酒（含酒精）; 鸡尾酒; 烈酒（饮料）; 含水果酒精饮料; 烧酒; 开胃酒; 葡萄酒; 酒精饮料（啤酒除外）; 米酒; 白酒 查看详细信息</t>
  </si>
  <si>
    <t>运者</t>
  </si>
  <si>
    <t>果酒（含酒精）; 葡萄酒; 谷物制蒸馏酒精饮料; 烧酒; 高粱酒; 食用酒精; 白酒; 烈酒; 清酒; 黄酒 查看详细信息</t>
  </si>
  <si>
    <t>玉山雪莲（福建建瓯）发展有限公司</t>
  </si>
  <si>
    <t>亚力酒; 果酒（含酒精）; 梨酒; 白酒; 餐后酒（利口酒和烈酒）; 薄荷酒; 酒精饮料（啤酒除外）; 酸酒（低等葡萄酒）; 食用酒精; 葡萄酒 查看详细信息</t>
  </si>
  <si>
    <t>包头市隆行济达商贸有限公司</t>
  </si>
  <si>
    <t>友好舵手</t>
  </si>
  <si>
    <t>果酒（含酒精）; 开胃酒; 鸡尾酒; 葡萄酒; 食用酒精; 酒精饮料（啤酒除外）; 蒸馏饮料; 白兰地; 白酒; 烈酒（饮料） 查看详细信息</t>
  </si>
  <si>
    <t>胡晰智</t>
  </si>
  <si>
    <t>瓦其卡</t>
  </si>
  <si>
    <t>白酒; 烧酒; 果酒; 米酒; 谷物制蒸馏酒精饮料; 高粱酒; 食用酒精; 白干酒（中国白酒）; 酒精饮料（啤酒除外）; 汽酒 查看详细信息</t>
  </si>
  <si>
    <t>纽慕（上海）食品科技有限公司</t>
  </si>
  <si>
    <t>MUEFIE</t>
  </si>
  <si>
    <t>果酒（含酒精）; 白酒; 葡萄酒; 威士忌; 蜂蜜酒; 黄酒; 以葡萄酒为主的饮料; 伏特加酒; 汽酒; 米酒 查看详细信息</t>
  </si>
  <si>
    <t>深圳花知簪文化咨询有限公司</t>
  </si>
  <si>
    <t>畲力</t>
  </si>
  <si>
    <t>果酒（含酒精）; 青梅酒; 米酒; 烈酒（饮料）; 甜酒; 葡萄酒; 白酒; 黄酒; 烧酒; 酒精饮料（啤酒除外） 查看详细信息</t>
  </si>
  <si>
    <t>江旗美</t>
  </si>
  <si>
    <t>果酒（含酒精）; 开胃酒; 葡萄酒; 清酒（日本米酒）; 白兰地; 烧酒; 食用酒精; 白酒; 鸡尾酒; 酒精饮料（啤酒除外） 查看详细信息</t>
  </si>
  <si>
    <t>付晓龙</t>
  </si>
  <si>
    <t>龙翔雪村</t>
  </si>
  <si>
    <t>米酒; 烧酒; 白葡萄酒; 朝鲜族米酒; 红葡萄酒; 葡萄酒; 蜂蜜酒; 果酒 查看详细信息</t>
  </si>
  <si>
    <t>谭安娜</t>
  </si>
  <si>
    <t>尚腾斯</t>
  </si>
  <si>
    <t>白酒; 米酒; 黄酒; 酒精饮料（啤酒除外）; 烈酒; 白兰地; 红葡萄酒; 果酒; 高粱酒; 鸡尾酒 查看详细信息</t>
  </si>
  <si>
    <t>石伟江</t>
  </si>
  <si>
    <t>章盟主</t>
  </si>
  <si>
    <t>烧酒; 鸡尾酒; 蜂蜜酒; 白酒; 清酒（日本米酒）; 黄酒; 白兰地; 葡萄酒; 果酒（含酒精）; 酒精饮料（啤酒除外） 查看详细信息</t>
  </si>
  <si>
    <t>苏南邦</t>
  </si>
  <si>
    <t>于文波</t>
  </si>
  <si>
    <t>奎城天禄</t>
  </si>
  <si>
    <t>蜂蜜酒; 米酒; 白酒; 黄酒; 烧酒 查看详细信息</t>
  </si>
  <si>
    <t>杜冠华</t>
  </si>
  <si>
    <t>泸酉荟</t>
  </si>
  <si>
    <t>白酒; 烧酒; 烈酒; 老酒（中国蒸馏烈酒）; 鸡尾酒; 酒精饮料（啤酒除外）; 果酒（含酒精）; 食用酒精; 葡萄酒; 蒸馏饮料 查看详细信息</t>
  </si>
  <si>
    <t>郗少山</t>
  </si>
  <si>
    <t>邯在心里</t>
  </si>
  <si>
    <t>酒精饮料（啤酒除外）; 果酒（含酒精）; 白酒; 开胃酒; 米酒; 黄酒; 烧酒; 利口酒; 露酒; 葡萄酒 查看详细信息</t>
  </si>
  <si>
    <t>杨立志</t>
  </si>
  <si>
    <t>幻麟</t>
  </si>
  <si>
    <t>含水果酒精饮料; 果酒（含酒精）; 烈酒（饮料）; 烧酒; 黄酒; 米酒; 葡萄酒; 谷物制蒸馏酒精饮料; 酒精饮料（啤酒除外）; 白酒 查看详细信息</t>
  </si>
  <si>
    <t>韩月玲</t>
  </si>
  <si>
    <t>天地鸾</t>
  </si>
  <si>
    <t>米酒; 含酒精水果饮料; 清酒; 鸡尾酒; 露酒; 食用酒精; 黄酒; 汽酒; 果酒; 白酒 查看详细信息</t>
  </si>
  <si>
    <t>九域天宸</t>
  </si>
  <si>
    <t>吉林雪兰山葡萄酒业有限责任公司</t>
  </si>
  <si>
    <t>柳仓</t>
  </si>
  <si>
    <t>果酒（含酒精）; 鸡尾酒; 葡萄酒; 酒精饮料（啤酒除外）; 红葡萄酒; 以葡萄酒为主的饮料; 黄酒; 白酒; 白葡萄酒; 米酒 查看详细信息</t>
  </si>
  <si>
    <t>朱成吉</t>
  </si>
  <si>
    <t>芼勃</t>
  </si>
  <si>
    <t>白兰地; 含水果酒精饮料; 米酒; 葡萄酒; 蒸煮提取物（利口酒和烈酒）; 白酒; 清酒（日本米酒）; 黄酒; 果酒（含酒精）; 酒精饮料（啤酒除外） 查看详细信息</t>
  </si>
  <si>
    <t>茅台镇柔和酒业有限公司</t>
  </si>
  <si>
    <t>老糟匠</t>
  </si>
  <si>
    <t>白酒; 利口酒; 烧酒; 米酒; 青稞酒; 葡萄酒; 梨酒; 清酒（日本米酒）; 黄酒; 开胃酒 查看详细信息</t>
  </si>
  <si>
    <t>曾小勤（510524********0565）</t>
  </si>
  <si>
    <t>惜缘潭</t>
  </si>
  <si>
    <t>烧酒; 白酒; 黄酒; 葡萄酒; 除啤酒外的酒精饮料; 白兰地; 果酒（含酒精）; 青稞酒; 鸡尾酒; 米酒 查看详细信息</t>
  </si>
  <si>
    <t>济宁市天一商贸有限公司</t>
  </si>
  <si>
    <t>空桑郡主</t>
  </si>
  <si>
    <t>开胃酒; 果酒（含酒精）; 鸡尾酒; 威士忌; 伏特加酒; 含水果酒精饮料; 含酒精的气泡水; 白酒; 葡萄酒; 白兰地 查看详细信息</t>
  </si>
  <si>
    <t>牛中华411202********0518</t>
  </si>
  <si>
    <t>神都君鉴</t>
  </si>
  <si>
    <t>果酒（含酒精）; 米酒; 酒精饮料（啤酒除外）; 烧酒; 葡萄酒; 鸡尾酒; 烈酒（饮料）; 甘蔗制烈酒; 白酒; 黄酒 查看详细信息</t>
  </si>
  <si>
    <t>刘伟</t>
  </si>
  <si>
    <t>老家屯</t>
  </si>
  <si>
    <t>梅酒; 由谷物蒸馏的白酒; 高粱酒; 葡萄酒; 露酒; 烧酒; 青稞酒; 黄酒; 白酒; 含水果酒精饮料 查看详细信息</t>
  </si>
  <si>
    <t>张琴</t>
  </si>
  <si>
    <t>AXIK MAXUK</t>
  </si>
  <si>
    <t>烈酒; 酒精饮料（啤酒除外）; 朗姆酒; 汽酒; 白兰地; 威士忌; 果酒（含酒精）; 鸡尾酒; 利口酒; 葡萄酒 查看详细信息</t>
  </si>
  <si>
    <t>广西桂美贡酒业有限公司</t>
  </si>
  <si>
    <t>桂贡美酒</t>
  </si>
  <si>
    <t>烈酒（饮料）; 老酒（中国蒸馏烈酒）; 开胃酒; 白酒; 食用酒精; 烧酒; 葡萄酒; 汽酒; 米酒; 酒精饮料原汁 查看详细信息</t>
  </si>
  <si>
    <t>张永强412821********6858</t>
  </si>
  <si>
    <t>绝乐</t>
  </si>
  <si>
    <t>开胃酒; 米酒; 朗姆酒; 伏特加酒; 汽酒; 露酒; 青梅酒; 咖啡利口酒; 混合威士忌酒; 烧酒 查看详细信息</t>
  </si>
  <si>
    <t>企知道科技有限公司</t>
  </si>
  <si>
    <t>维正</t>
  </si>
  <si>
    <t>鸡尾酒; 烈酒（饮料）; 预先混合的酒精饮料（以啤酒为主的除外）; 蒸馏饮料; 威士忌; 米酒; 葡萄酒; 烧酒; 食用酒精; 白酒 查看详细信息</t>
  </si>
  <si>
    <t>㐨</t>
  </si>
  <si>
    <t>白酒; 葡萄酒; 米酒; 汽酒; 老酒（中国蒸馏烈酒）; 含酒精水果饮料; 露酒; 高粱酒; 果酒; 黄酒 查看详细信息</t>
  </si>
  <si>
    <t>GUESUE</t>
  </si>
  <si>
    <t>白酒; 葡萄酒; 蜂蜜酒; 白兰地; 果酒（含酒精）; 米酒; 黄酒; 食用酒精; 酒精饮料原汁; 威士忌 查看详细信息</t>
  </si>
  <si>
    <t>顺源宇瑞</t>
  </si>
  <si>
    <t>米酒; 杨梅酒; 红葡萄酒; 白葡萄酒; 梅酒; 清酒; 伏特加酒; 果酒（含酒精）; 威士忌; 白酒 查看详细信息</t>
  </si>
  <si>
    <t>北京精美轩食府</t>
  </si>
  <si>
    <t>三月厨</t>
  </si>
  <si>
    <t>白酒; 果酒（含酒精）; 葡萄酒; 餐后酒（利口酒和烈酒）; 除啤酒外的酒精饮料; 含水果酒精饮料; 米酒; 黄酒; 烧酒; 烈酒（饮料） 查看详细信息</t>
  </si>
  <si>
    <t>延舞</t>
  </si>
  <si>
    <t>葡萄酒; 调制好的葡萄酒鸡尾酒; 鸡尾酒; 白酒; 酒精饮料原汁; 以葡萄酒为主的饮料; 果酒（含酒精）; 利口酒; 黄酒; 青稞酒 查看详细信息</t>
  </si>
  <si>
    <t>薛学英</t>
  </si>
  <si>
    <t>烧酒; 白酒; 酒精饮料（啤酒除外）; 葡萄酒; 烈酒（饮料）; 鸡尾酒; 果酒（含酒精）; 蜂蜜酒; 含水果酒精饮料; 米酒 查看详细信息</t>
  </si>
  <si>
    <t>张健</t>
  </si>
  <si>
    <t>夲奥富</t>
  </si>
  <si>
    <t>白酒; 果酒; 黄酒; 利口酒; 葡萄酒; 鸡尾酒; 含水果酒精饮料; 烧酒; 开胃酒; 米酒 查看详细信息</t>
  </si>
  <si>
    <t>重庆围炉煮企业管理合伙企业（有限合伙）</t>
  </si>
  <si>
    <t>久视元年</t>
  </si>
  <si>
    <t>白酒; 黄酒; 果酒; 烈酒（饮料）; 米酒; 白兰地; 烧酒; 青稞酒; 葡萄酒; 梨酒 查看详细信息</t>
  </si>
  <si>
    <t>福建北大荒供应链有限公司青岛分公司</t>
  </si>
  <si>
    <t>大荒采林</t>
  </si>
  <si>
    <t>柑香酒; 果酒; 餐后酒（利口酒和烈酒）; 葡萄酒; 樱桃酒; 白兰地; 米酒; 苹果酒; 梨酒; 蜂蜜酒 查看详细信息</t>
  </si>
  <si>
    <t>桐城市放牛娃家庭农场有限公司</t>
  </si>
  <si>
    <t>龙眠亿品香</t>
  </si>
  <si>
    <t>白兰地; 蜂蜜酒; 黄酒; 米酒; 果酒; 烧酒（烈酒）; 老酒（中国蒸馏烈酒）; 葡萄酒; 高粱酒; 白酒 查看详细信息</t>
  </si>
  <si>
    <t>花知簪</t>
  </si>
  <si>
    <t>宿迁市洋河镇威誉酒业有限公司</t>
  </si>
  <si>
    <t>重固</t>
  </si>
  <si>
    <t>葡萄酒; 鸡尾酒; 开胃酒; 果酒（含酒精）; 含水果酒精饮料; 烧酒; 黄酒; 青稞酒; 米酒; 白酒 查看详细信息</t>
  </si>
  <si>
    <t>花野国际贸易（上海）有限公司</t>
  </si>
  <si>
    <t>大红泼</t>
  </si>
  <si>
    <t>果酒（含酒精）; 威士忌; 葡萄酒; 白兰地; 梨酒; 米酒; 白酒; 黄酒; 苹果酒; 酒精饮料（啤酒除外） 查看详细信息</t>
  </si>
  <si>
    <t>德尼蓝卡</t>
  </si>
  <si>
    <t>贵州省仁怀市茅台镇酒城酒业有限公司</t>
  </si>
  <si>
    <t>沪繁港花</t>
  </si>
  <si>
    <t>酒精饮料（啤酒除外）; 开胃酒; 米酒; 葡萄酒; 鸡尾酒; 烧酒; 白酒; 黄酒; 果酒（含酒精）; 清酒 查看详细信息</t>
  </si>
  <si>
    <t>甘云</t>
  </si>
  <si>
    <t>圣亚蒂</t>
  </si>
  <si>
    <t>白酒; 米酒; 葡萄酒; 果酒（含酒精）; 伏特加酒; 鸡尾酒; 白兰地; 清酒（日本米酒）; 威士忌; 开胃酒 查看详细信息</t>
  </si>
  <si>
    <t>前郭尔罗斯蒙古族自治县查干泡酒业发展有限公司</t>
  </si>
  <si>
    <t>白酒; 白干酒（中国白酒）; 烧酒（烈酒）; 开胃酒; 葡萄酒; 黄酒; 米酒; 草莓酒; 食用酒精; 梨酒 查看详细信息</t>
  </si>
  <si>
    <t>质每堂（湖北）中药饮片有限公司</t>
  </si>
  <si>
    <t>胤鹿居</t>
  </si>
  <si>
    <t>烈酒（饮料）; 酒精饮料（啤酒除外）; 果酒（含酒精）; 葡萄酒; 威士忌; 鸡尾酒; 开胃酒; 白酒; 黄酒; 清酒（日本米酒） 查看详细信息</t>
  </si>
  <si>
    <t>丁春梅</t>
  </si>
  <si>
    <t>鑫世界</t>
  </si>
  <si>
    <t>黄酒; 鸡尾酒; 葡萄酒; 茴香酒; 威士忌; 白酒; 烈酒; 清酒（日本米酒）; 果酒（含酒精）; 米酒 查看详细信息</t>
  </si>
  <si>
    <t>成都知周包装设计有限公司</t>
  </si>
  <si>
    <t>熊包包</t>
  </si>
  <si>
    <t>米酒; 开胃酒; 鸡尾酒; 伏特加酒; 白酒; 烧酒; 高粱酒; 烈酒; 甜酒; 白干酒（中国白酒） 查看详细信息</t>
  </si>
  <si>
    <t>贵州犟老头酒业有限公司</t>
  </si>
  <si>
    <t>犟老头大师</t>
  </si>
  <si>
    <t>果酒（含酒精）; 苹果酒; 葡萄酒; 烈酒（饮料）; 白酒; 米酒; 餐后酒（利口酒和烈酒）; 谷物制蒸馏酒精饮料; 露酒; 蒸馏饮料 查看详细信息</t>
  </si>
  <si>
    <t>路广新</t>
  </si>
  <si>
    <t>春芝苏</t>
  </si>
  <si>
    <t>葡萄酒; 米酒; 老酒（中国蒸馏烈酒）; 咖啡利口酒; 白酒; 白葡萄酒; 红葡萄酒; 烈酒; 梅酒; 果酒 查看详细信息</t>
  </si>
  <si>
    <t>北京寰沐农业科技有限公司</t>
  </si>
  <si>
    <t>温榆湾</t>
  </si>
  <si>
    <t>米酒; 薄荷酒; 开胃酒; 鸡尾酒; 烧酒; 黄酒; 白酒; 青稞酒; 食用酒精; 葡萄酒 查看详细信息</t>
  </si>
  <si>
    <t>林连玉</t>
  </si>
  <si>
    <t>CIELO BUIO</t>
  </si>
  <si>
    <t>薄荷酒; 开胃酒; 米酒; 含水果酒精饮料; 威士忌; 白酒; 果酒（含酒精）; 葡萄酒; 以葡萄酒为主的饮料; 烧酒 查看详细信息</t>
  </si>
  <si>
    <t>侯冬霞</t>
  </si>
  <si>
    <t>粮姐</t>
  </si>
  <si>
    <t>鸡尾酒; 葡萄酒; 伏特加酒; 蜂蜜酒; 白酒; 威士忌; 米酒; 老酒（中国蒸馏烈酒）; 果酒; 白兰地 查看详细信息</t>
  </si>
  <si>
    <t>珠海宏程国际贸易有限公司</t>
  </si>
  <si>
    <t>宸至堂</t>
  </si>
  <si>
    <t>甜酒; 含水果酒精饮料; 果酒（含酒精）; 葡萄酒; 酒精饮料（啤酒除外）; 威士忌; 白酒; 清酒; 烧酒; 高粱酒 查看详细信息</t>
  </si>
  <si>
    <t>周口百斯特威酒业有限公司</t>
  </si>
  <si>
    <t>RAINBOW PLAYER</t>
  </si>
  <si>
    <t>露酒; 米酒; 黄酒; 鸡尾酒; 利口酒; 果酒; 梅酒; 汽酒; 白酒; 葡萄酒 查看详细信息</t>
  </si>
  <si>
    <t>布兰妮袋鼠</t>
  </si>
  <si>
    <t>鸡尾酒; 利口酒; 果酒; 梅酒; 汽酒; 白酒; 葡萄酒; 露酒; 米酒; 黄酒 查看详细信息</t>
  </si>
  <si>
    <t>贵州大唐丞天下酒业有限公司</t>
  </si>
  <si>
    <t>粤半碗</t>
  </si>
  <si>
    <t>白兰地; 梨酒; 甘蔗制酒精饮料; 老酒（中国蒸馏烈酒）; 草莓酒; 由谷物蒸馏的白酒; 高粱酒; 白葡萄酒; 佐餐酒; 起泡红葡萄酒 查看详细信息</t>
  </si>
  <si>
    <t>天道缘合项目咨询管理有限公司</t>
  </si>
  <si>
    <t>天道缘合</t>
  </si>
  <si>
    <t>烈酒（饮料）; 黄酒; 米酒; 清酒; 鸡尾酒; 除啤酒外的酒精饮料; 果酒; 白酒; 葡萄酒; 烧酒 查看详细信息</t>
  </si>
  <si>
    <t>墨江大沟种植农民专业合作社</t>
  </si>
  <si>
    <t>芒意</t>
  </si>
  <si>
    <t>黄酒; 清酒; 葡萄酒; 果酒; 烧酒; 青稞酒; 米酒; 白酒; 烈酒 查看详细信息</t>
  </si>
  <si>
    <t>友好船长</t>
  </si>
  <si>
    <t>中宗文发（北京）信息咨询有限公司</t>
  </si>
  <si>
    <t>吉活</t>
  </si>
  <si>
    <t>果酒（含酒精）; 鸡尾酒; 清酒（日本米酒）; 米酒; 白酒; 梅酒; 水果汽酒; 老酒（中国蒸馏烈酒）; 黄酒; 除啤酒外的酒精饮料 查看详细信息</t>
  </si>
  <si>
    <t>陈建新</t>
  </si>
  <si>
    <t>滋轩酌</t>
  </si>
  <si>
    <t>米酒; 谷物制蒸馏酒精饮料; 黄酒; 食用酒精; 烧酒; 烈酒; 高粱酒; 果酒; 由谷物蒸馏的白酒; 白酒 查看详细信息</t>
  </si>
  <si>
    <t>中天锦礼（浙江）品牌管理有限公司</t>
  </si>
  <si>
    <t>中天锦鲤</t>
  </si>
  <si>
    <t>果酒（含酒精）; 酒精饮料原汁; 蒸煮提取物（利口酒和烈酒）; 葡萄酒; 烧酒; 威士忌; 苹果酒; 黄酒; 食用酒精; 烈酒（饮料） 查看详细信息</t>
  </si>
  <si>
    <t>吴梦华</t>
  </si>
  <si>
    <t>乾老头</t>
  </si>
  <si>
    <t>白酒; 黄酒; 清酒（日本米酒）; 开胃酒; 果酒（含酒精）; 烈酒; 鸡尾酒; 酒精饮料（啤酒除外）; 葡萄酒; 威士忌 查看详细信息</t>
  </si>
  <si>
    <t>富爷爷</t>
  </si>
  <si>
    <t>鸡尾酒; 蜂蜜酒; 白酒; 酒精饮料（啤酒除外）; 烧酒; 白兰地; 葡萄酒; 果酒（含酒精）; 清酒（日本米酒）; 黄酒 查看详细信息</t>
  </si>
  <si>
    <t>宁夏晟仕康实业有限责任公司</t>
  </si>
  <si>
    <t>杞玉圃</t>
  </si>
  <si>
    <t>果酒（含酒精）; 黑覆盆子酒; 含水果酒精饮料; 开胃酒; 米酒; 葡萄酒; 蒸馏饮料; 酒精饮料（啤酒除外）; 青稞酒; 柑香酒 查看详细信息</t>
  </si>
  <si>
    <t>周国升</t>
  </si>
  <si>
    <t>慈豪</t>
  </si>
  <si>
    <t>果酒（含酒精）; 葡萄酒; 米酒; 烧酒; 开胃酒; 白酒; 杨梅酒; 甜酒; 食用酒精; 黄酒 查看详细信息</t>
  </si>
  <si>
    <t>湖南阳光普爱医疗科技有限公司</t>
  </si>
  <si>
    <t>YGPA</t>
  </si>
  <si>
    <t>白酒; 鸡尾酒; 葡萄酒; 蜂蜜酒; 谷物制蒸馏酒精饮料; 威士忌; 米酒; 黄酒; 食用酒精; 白兰地 查看详细信息</t>
  </si>
  <si>
    <t>海南梧彤贸易有限公司</t>
  </si>
  <si>
    <t>麦芽威士忌; 果酒（含酒精）; 葡萄酒; 白兰地; 黄酒; 米酒; 含水果酒精饮料; 汽酒; 白酒; 威士忌 查看详细信息</t>
  </si>
  <si>
    <t>奔尼澳</t>
  </si>
  <si>
    <t>广州国色天香电子商务有限公司</t>
  </si>
  <si>
    <t>工夫甜甜</t>
  </si>
  <si>
    <t>食用酒精; 烧酒; 含水果酒精饮料; 果酒（含酒精）; 葡萄酒; 酒精饮料（啤酒除外）; 蒸馏饮料; 白酒; 米酒; 预先混合的酒精饮料（以啤酒为主的除外） 查看详细信息</t>
  </si>
  <si>
    <t>符思垚</t>
  </si>
  <si>
    <t>庄园纪</t>
  </si>
  <si>
    <t>开胃酒; 果酒; 汽酒; 清酒; 黄酒; 白酒; 米酒; 葡萄酒; 食用酒精; 甜酒 查看详细信息</t>
  </si>
  <si>
    <t>陈泽铸</t>
  </si>
  <si>
    <t>赤壁鼎</t>
  </si>
  <si>
    <t>白酒; 食用酒精; 汽酒; 米酒; 果酒（含酒精）; 清酒（日本米酒）; 烈酒（饮料）; 葡萄酒; 蒸馏饮料; 酒精饮料（啤酒除外） 查看详细信息</t>
  </si>
  <si>
    <t>张维凤</t>
  </si>
  <si>
    <t>掘享台</t>
  </si>
  <si>
    <t>利口酒; 果酒（含酒精）; 清酒（日本米酒）; 烈酒（饮料）; 黄酒; 葡萄酒; 蒸馏饮料; 酒精饮料原汁; 酒精饮料（啤酒除外）; 白酒 查看详细信息</t>
  </si>
  <si>
    <t>求享台</t>
  </si>
  <si>
    <t>白酒; 利口酒; 果酒（含酒精）; 清酒（日本米酒）; 黄酒; 葡萄酒; 蒸馏饮料; 酒精饮料原汁; 酒精饮料（啤酒除外）; 烈酒（饮料） 查看详细信息</t>
  </si>
  <si>
    <t>粤三壶</t>
  </si>
  <si>
    <t>开胃酒; 蒸馏饮料; 酒精饮料（啤酒除外）; 米酒; 草莓酒; 白干酒（中国白酒）; 老酒（中国蒸馏烈酒）; 由谷物蒸馏的白酒; 高粱酒; 白酒 查看详细信息</t>
  </si>
  <si>
    <t>杭州泥旦旦网络科技有限公司</t>
  </si>
  <si>
    <t>泥旦旦</t>
  </si>
  <si>
    <t>葡萄酒; 烈酒（饮料）; 清酒（日本米酒）; 米酒; 白酒; 高粱酒; 梅酒; 烈酒; 青梅酒; 烧酒 查看详细信息</t>
  </si>
  <si>
    <t>LAEMUD</t>
  </si>
  <si>
    <t>果酒（含酒精）; 白酒; 葡萄酒; 蜂蜜酒; 食用酒精; 威士忌; 酒精饮料原汁; 米酒; 黄酒; 白兰地 查看详细信息</t>
  </si>
  <si>
    <t>庞磊</t>
  </si>
  <si>
    <t>饮客</t>
  </si>
  <si>
    <t>果酒; 葡萄酒; 开胃酒; 白干酒（中国白酒）; 米酒; 白酒; 烧酒; 青梅酒; 白兰地; 由谷物蒸馏的白酒 查看详细信息</t>
  </si>
  <si>
    <t>永靖县永生发展有限公司</t>
  </si>
  <si>
    <t>鳌王峪</t>
  </si>
  <si>
    <t>果酒（含酒精）; 鸡尾酒; 烈酒（饮料）; 米酒; 白酒; 除啤酒外的酒精饮料; 白干酒（中国白酒）; 青稞酒; 黄酒; 烧酒 查看详细信息</t>
  </si>
  <si>
    <t>杭州德明农林科技开发有限公司</t>
  </si>
  <si>
    <t>德明葩</t>
  </si>
  <si>
    <t>果酒（含酒精）; 葡萄酒; 鸡尾酒; 黄酒; 含水果酒精饮料; 米酒; 清酒（日本米酒）; 酒精饮料（啤酒除外）; 烧酒 查看详细信息</t>
  </si>
  <si>
    <t>安辉</t>
  </si>
  <si>
    <t>中康乐仁堂</t>
  </si>
  <si>
    <t>含水果酒精饮料; 利口酒; 果酒（含酒精）; 白酒; 烈酒（饮料）; 酒精饮料（啤酒除外）; 食用酒精; 鸡尾酒; 开胃酒; 葡萄酒 查看详细信息</t>
  </si>
  <si>
    <t>山东蚂蚁数通商务服务有限公司</t>
  </si>
  <si>
    <t>数上云端</t>
  </si>
  <si>
    <t>红葡萄酒; 白酒; 果酒; 米酒; 烧酒; 老酒（中国蒸馏烈酒）; 甜酒; 高粱酒; 黄酒; 露酒 查看详细信息</t>
  </si>
  <si>
    <t>葛晓佩</t>
  </si>
  <si>
    <t>诗仙贵人</t>
  </si>
  <si>
    <t>果酒（含酒精）; 开胃酒; 葡萄酒; 利口酒; 含酒精的饮料（啤酒除外）; 清酒（日本米酒）; 米酒; 烧酒; 白酒; 白兰地 查看详细信息</t>
  </si>
  <si>
    <t>山西紫牛健康科技有限公司</t>
  </si>
  <si>
    <t>四九金成</t>
  </si>
  <si>
    <t>义乌市织义贸易有限公司</t>
  </si>
  <si>
    <t>织迹</t>
  </si>
  <si>
    <t>果酒（含酒精）; 鸡尾酒; 葡萄酒; 利口酒; 烈酒（饮料）; 清酒（日本米酒）; 米酒; 黄酒; 烧酒; 白酒 查看详细信息</t>
  </si>
  <si>
    <t>温州迪莎堡贸易有限公司</t>
  </si>
  <si>
    <t>TETRI TSMINDA</t>
  </si>
  <si>
    <t>以葡萄酒为主的开胃酒; 起泡白葡萄酒; 葡萄酒; 酸酒（低等葡萄酒）; 鸡尾酒; 调制好的葡萄酒鸡尾酒; 含水果酒精饮料; 以葡萄酒为主的饮料; 预先混合的酒精饮料（以啤酒为主的除外）; 红葡萄酒 查看详细信息</t>
  </si>
  <si>
    <t>遵义市黔奕合商贸有限公司</t>
  </si>
  <si>
    <t>醇台琼浆</t>
  </si>
  <si>
    <t>白酒; 果酒; 鸡尾酒; 葡萄酒; 烈酒（饮料）; 清酒（日本米酒）; 酒精饮料（啤酒除外）; 黄酒; 米酒; 烧酒 查看详细信息</t>
  </si>
  <si>
    <t>华享世家</t>
  </si>
  <si>
    <t>友好船员</t>
  </si>
  <si>
    <t>山西东辉现代农业发展集团有限公司</t>
  </si>
  <si>
    <t>象峪谷</t>
  </si>
  <si>
    <t>果酒（含酒精）; 清酒（日本米酒）; 烈酒（饮料）; 烧酒; 黄酒; 米酒; 苹果酒; 蜂蜜酒; 酒精饮料（啤酒除外）; 白酒 查看详细信息</t>
  </si>
  <si>
    <t>漳州市舜海工贸有限公司</t>
  </si>
  <si>
    <t>义辈子</t>
  </si>
  <si>
    <t>果酒; 白酒; 葡萄酒; 薄荷酒; 含水果酒精饮料; 白兰地; 威士忌; 米酒; 黄酒; 鸡尾酒 查看详细信息</t>
  </si>
  <si>
    <t>仁怀市国悠酒业有限公司</t>
  </si>
  <si>
    <t>西悠</t>
  </si>
  <si>
    <t>白酒; 烧酒; 食用酒精; 蒸馏饮料; 黄酒; 葡萄酒; 烈酒（饮料）; 酒精饮料（啤酒除外）; 汽酒; 鸡尾酒 查看详细信息</t>
  </si>
  <si>
    <t>李春胜</t>
  </si>
  <si>
    <t>AOFOLDXL</t>
  </si>
  <si>
    <t>果酒（含酒精）; 开胃酒; 鸡尾酒; 葡萄酒; 威士忌; 朗姆酒; 伏特加酒; 利口酒; 白兰地; 烈酒（饮料） 查看详细信息</t>
  </si>
  <si>
    <t>湖北文峪泉酒业有限公司</t>
  </si>
  <si>
    <t>文峪泉</t>
  </si>
  <si>
    <t>葡萄酒; 酒精饮料（啤酒除外）; 果酒（含酒精）; 白酒; 开胃酒; 白兰地; 黄酒; 烧酒; 米酒; 利口酒 查看详细信息</t>
  </si>
  <si>
    <t>江旗桥</t>
  </si>
  <si>
    <t>白兰地; 果酒（含酒精）; 开胃酒; 葡萄酒; 鸡尾酒; 酒精饮料（啤酒除外）; 烧酒; 食用酒精; 白酒; 清酒（日本米酒） 查看详细信息</t>
  </si>
  <si>
    <t>郝伯正选</t>
  </si>
  <si>
    <t>柳仓家</t>
  </si>
  <si>
    <t>果酒（含酒精）; 鸡尾酒; 葡萄酒; 酒精饮料（啤酒除外）; 白葡萄酒; 以葡萄酒为主的饮料; 黄酒; 白酒; 红葡萄酒; 米酒 查看详细信息</t>
  </si>
  <si>
    <t>海维斯国际酒业（东莞）有限公司</t>
  </si>
  <si>
    <t>CILLAN 茜利安</t>
  </si>
  <si>
    <t>伏特加酒; 威士忌; 果酒（含酒精）; 鸡尾酒; 汽酒; 烧酒; 烈酒（饮料）; 葡萄酒; 白兰地; 苹果酒 查看详细信息</t>
  </si>
  <si>
    <t>山东资治通鉴酒业有限公司</t>
  </si>
  <si>
    <t>双泃天下财庄</t>
  </si>
  <si>
    <t>清酒（日本米酒）; 酒精饮料（啤酒除外）; 烧酒; 食用酒精; 葡萄酒; 鸡尾酒; 白兰地; 果酒（含酒精）; 开胃酒; 白酒 查看详细信息</t>
  </si>
  <si>
    <t>安阳瓦岗寨生态旅游园林绿化有限公司</t>
  </si>
  <si>
    <t>三斧定瓦岗</t>
  </si>
  <si>
    <t>葡萄酒; 白酒; 米酒; 清酒（日本米酒）; 酒精饮料原汁; 已调味的麦芽酿制的酒精饮料（啤酒除外）; 食用酒精; 酒精饮料（啤酒除外）; 青稞酒; 朝鲜族米酒 查看详细信息</t>
  </si>
  <si>
    <t>北京多康茶益科技有限公司</t>
  </si>
  <si>
    <t>天纪念</t>
  </si>
  <si>
    <t>果酒（含酒精）; 葡萄酒; 烈酒（饮料）; 酒精饮料（啤酒除外）; 薄荷酒; 烧酒; 汽酒; 黄酒; 白酒; 米酒 查看详细信息</t>
  </si>
  <si>
    <t>宿迁市洋河镇尊典酒业有限公司</t>
  </si>
  <si>
    <t>东华润股</t>
  </si>
  <si>
    <t>果酒（含酒精）; 白酒; 酒精饮料（啤酒除外）; 开胃酒; 蒸煮提取物（利口酒和烈酒）; 米酒; 葡萄酒; 烧酒; 食用酒精; 黄酒 查看详细信息</t>
  </si>
  <si>
    <t>东悦（深圳）控股集团有限公司</t>
  </si>
  <si>
    <t>东悦连心</t>
  </si>
  <si>
    <t>含酒精水果饮料; 葡萄酒; 果酒; 苹果酒; 酒精饮料（啤酒除外）; 鸡尾酒; 米酒; 酸酒（低等葡萄酒）; 烧酒; 白酒 查看详细信息</t>
  </si>
  <si>
    <t>郑州朝龙电子商务有限公司</t>
  </si>
  <si>
    <t>豫朝龙</t>
  </si>
  <si>
    <t>鸡尾酒; 开胃酒; 果酒; 葡萄酒; 白酒; 烧酒; 含水果酒精饮料; 白干酒（中国白酒）; 苦味酒; 烧酒（烈酒） 查看详细信息</t>
  </si>
  <si>
    <t>贵州淘天香老酒有限公司</t>
  </si>
  <si>
    <t>老坛口</t>
  </si>
  <si>
    <t>酒精饮料（啤酒除外）; 含水果酒精饮料; 米酒; 烧酒; 烈酒（饮料）; 白酒; 果酒（含酒精）; 鸡尾酒; 葡萄酒; 黄酒 查看详细信息</t>
  </si>
  <si>
    <t>乌鲁木齐农田禾投资有限公司</t>
  </si>
  <si>
    <t>力力侠 KUQTUNGGUR</t>
  </si>
  <si>
    <t>含水果酒精饮料; 烧酒; 黄酒; 白酒; 葡萄酒; 桃红葡萄酒; 起泡红葡萄酒; 果酒（含酒精）; 蒸馏饮料; 烈酒 查看详细信息</t>
  </si>
  <si>
    <t>泉州市手中情酒业贸易有限公司</t>
  </si>
  <si>
    <t>麦卡蔚蓝</t>
  </si>
  <si>
    <t>烈酒（饮料）; 清酒（日本米酒）; 白酒; 酒精饮料（啤酒除外）; 米酒; 黄酒; 烧酒; 威士忌; 果酒（含酒精）; 葡萄酒 查看详细信息</t>
  </si>
  <si>
    <t>无锡君品酒业有限公司</t>
  </si>
  <si>
    <t>疆酒开元</t>
  </si>
  <si>
    <t>伏特加酒; 利口酒; 含水果酒精饮料; 开胃酒; 黄酒; 白酒; 米酒; 葡萄酒; 鸡尾酒; 果酒（含酒精） 查看详细信息</t>
  </si>
  <si>
    <t>浙江常山柚源食品有限公司</t>
  </si>
  <si>
    <t>柚一品</t>
  </si>
  <si>
    <t>蒸煮提取物（利口酒和烈酒）; 开胃酒; 白酒; 烧酒; 黄酒; 蒸馏饮料; 果酒; 酒精饮料（啤酒除外）; 酒精饮料原汁; 米酒 查看详细信息</t>
  </si>
  <si>
    <t>郑州田田酒业有限公司</t>
  </si>
  <si>
    <t>匀粉之家</t>
  </si>
  <si>
    <t>威士忌; 烈酒（饮料）; 白兰地; 白酒; 黄酒; 苹果酒; 酒精饮料（啤酒除外）; 酒精饮料原汁; 鸡尾酒; 米酒 查看详细信息</t>
  </si>
  <si>
    <t>浙江久加久科技股份有限公司</t>
  </si>
  <si>
    <t>圣尤诺</t>
  </si>
  <si>
    <t>葡萄酒; 烧酒; 酒精饮料（啤酒除外）; 清酒（日本米酒）; 白酒; 酒精饮料原汁; 蒸馏饮料; 果酒（含酒精）; 黄酒; 米酒 查看详细信息</t>
  </si>
  <si>
    <t>王典</t>
  </si>
  <si>
    <t>吉灶</t>
  </si>
  <si>
    <t>果酒（含酒精）; 葡萄酒; 酒精饮料（啤酒除外）; 烈酒; 黄酒; 烧酒; 米酒; 含水果酒精饮料; 青稞酒; 白酒 查看详细信息</t>
  </si>
  <si>
    <t>深圳市龙苗健康管理有限公司</t>
  </si>
  <si>
    <t>龙苗贵</t>
  </si>
  <si>
    <t>酒精饮料浓缩汁; 酒精饮料（啤酒除外）; 预先混合的酒精饮料（以啤酒为主的除外）; 酒精饮料原汁; 烈酒（饮料）; 白酒; 果酒（含酒精）; 亚力酒; 蒸馏饮料; 黄酒 查看详细信息</t>
  </si>
  <si>
    <t>邢台小拾叁影视文化传媒有限公司</t>
  </si>
  <si>
    <t>张氏会</t>
  </si>
  <si>
    <t>果酒（含酒精）; 烈酒（饮料）; 清酒（日本米酒）; 酒精饮料（啤酒除外）; 白酒; 鸡尾酒; 葡萄酒; 威士忌; 米酒; 蒸煮提取物（利口酒和烈酒） 查看详细信息</t>
  </si>
  <si>
    <t>四川星燚品牌管理有限公司</t>
  </si>
  <si>
    <t>八百寿</t>
  </si>
  <si>
    <t>白酒; 含酒精的饮料（啤酒除外）; 梅酒; 烈酒; 清酒; 鸡尾酒; 含水果酒精饮料; 威士忌; 葡萄酒; 甜酒 查看详细信息</t>
  </si>
  <si>
    <t>吉林省晋诚农业发展有限责任公司</t>
  </si>
  <si>
    <t>甄五壶</t>
  </si>
  <si>
    <t>果酒; 清酒; 白酒; 烈酒; 威士忌; 米酒; 烧酒; 开胃酒; 葡萄酒; 黄酒 查看详细信息</t>
  </si>
  <si>
    <t>容城县超阳餐饮有限公司</t>
  </si>
  <si>
    <t>雄才群酉</t>
  </si>
  <si>
    <t>葡萄酒; 烈酒（饮料）; 酒精饮料（啤酒除外）; 米酒; 鸡尾酒; 黄酒; 白酒; 果酒（含酒精）; 开胃酒; 烧酒 查看详细信息</t>
  </si>
  <si>
    <t>固安县晟客隆商贸有限公司</t>
  </si>
  <si>
    <t>如盏</t>
  </si>
  <si>
    <t>清酒; 烧酒; 果酒（含酒精）; 开胃酒; 酒精饮料（啤酒除外）; 葡萄酒; 梨酒; 米酒; 白酒; 蒸煮提取物（利口酒和烈酒） 查看详细信息</t>
  </si>
  <si>
    <t>肖健</t>
  </si>
  <si>
    <t>蒙富贵</t>
  </si>
  <si>
    <t>白酒; 高粱酒; 果酒; 含酒精水果饮料; 米酒; 烧酒（烈酒）; 青稞酒; 黄酒; 酒精饮料原汁; 白干酒（中国白酒） 查看详细信息</t>
  </si>
  <si>
    <t>万梅花</t>
  </si>
  <si>
    <t>乾湘韵</t>
  </si>
  <si>
    <t>白酒; 葡萄酒; 含水果酒精饮料; 米酒; 开胃酒; 烧酒; 黄酒; 鸡尾酒; 烈酒（饮料）; 酒精饮料（啤酒除外） 查看详细信息</t>
  </si>
  <si>
    <t>山西巨曜电力工程有限公司</t>
  </si>
  <si>
    <t>鹏程巨曜</t>
  </si>
  <si>
    <t>白酒; 由谷物蒸馏的白酒; 酒精饮料（啤酒除外）; 葡萄酒; 露酒; 米酒; 预先混合的酒精饮料（以啤酒为主的除外）; 含水果酒精饮料; 黄酒; 果酒（含酒精） 查看详细信息</t>
  </si>
  <si>
    <t>延边长白山馥鑫雨松茸食品实业有限公司</t>
  </si>
  <si>
    <t>范鹤年</t>
  </si>
  <si>
    <t>开胃酒; 白酒; 葡萄酒; 黄酒; 米酒; 蜂蜜酒; 苦味酒; 含水果酒精饮料; 威士忌; 酒精饮料（啤酒除外） 查看详细信息</t>
  </si>
  <si>
    <t>云南聚润粮谷食品科技有限公司</t>
  </si>
  <si>
    <t>聚润孙老三酒</t>
  </si>
  <si>
    <t>烧酒（烈酒）; 果酒; 白酒; 老酒（中国蒸馏烈酒）; 高粱酒; 白干酒（中国白酒）; 草莓酒; 食用酒精; 蒸馏米酒（泡盛酒）; 以葡萄酒为主的开胃酒 查看详细信息</t>
  </si>
  <si>
    <t>江苏万盈企贸易有限公司</t>
  </si>
  <si>
    <t>粮滇桥</t>
  </si>
  <si>
    <t>白酒; 烧酒; 葡萄酒; 烈酒; 米酒; 黄酒; 果酒; 含酒精的饮料（啤酒除外）; 鸡尾酒; 含水果酒精饮料 查看详细信息</t>
  </si>
  <si>
    <t>古滇桥</t>
  </si>
  <si>
    <t>池州市九华山风景区莲悦堂健康管理有限责任公司</t>
  </si>
  <si>
    <t>九华莲悦堂</t>
  </si>
  <si>
    <t>白酒; 米酒; 黄酒; 烧酒; 威士忌; 食用酒精; 酒精饮料原汁; 葡萄酒; 开胃酒; 酒精饮料（啤酒除外） 查看详细信息</t>
  </si>
  <si>
    <t>湖南酒道馆贸易有限公司</t>
  </si>
  <si>
    <t>上享 敬上宾·饮上享</t>
  </si>
  <si>
    <t>蒸馏饮料; 鸡尾酒; 酒精饮料（啤酒除外）; 米酒; 果酒（含酒精）; 黄酒; 白酒; 高粱酒; 露酒; 汽酒 查看详细信息</t>
  </si>
  <si>
    <t>王绪芬</t>
  </si>
  <si>
    <t>醉确幸</t>
  </si>
  <si>
    <t>威士忌; 果酒（含酒精）; 汽酒; 清酒（日本米酒）; 酒精饮料原汁; 白兰地; 白酒; 葡萄酒; 酒精饮料（啤酒除外）; 烧酒 查看详细信息</t>
  </si>
  <si>
    <t>海南秦墨科技有限公司</t>
  </si>
  <si>
    <t>IRON RHINO</t>
  </si>
  <si>
    <t>黄酒; 果酒; 烧酒; 葡萄酒; 酒精饮料（啤酒除外）; 蒸馏饮料; 白兰地; 米酒; 威士忌; 蜂蜜酒 查看详细信息</t>
  </si>
  <si>
    <t>四川省天府盛涛酒类销售有限公司</t>
  </si>
  <si>
    <t>邛小福</t>
  </si>
  <si>
    <t>开胃酒; 蒸馏饮料; 葡萄酒; 烈酒（饮料）; 白酒; 米酒; 烧酒; 黄酒; 食用酒精; 酒精饮料（啤酒除外） 查看详细信息</t>
  </si>
  <si>
    <t>广东番粤企业管理服务有限公司</t>
  </si>
  <si>
    <t>诸葛古树</t>
  </si>
  <si>
    <t>果酒（含酒精）; 开胃酒; 蒸馏饮料; 餐后酒（利口酒和烈酒）; 白酒; 威士忌; 酒精饮料原汁; 酒精饮料（啤酒除外）; 烧酒; 烈酒（饮料） 查看详细信息</t>
  </si>
  <si>
    <t>四川绵竹双剑酒业有限责任公司</t>
  </si>
  <si>
    <t>绵坊醉美</t>
  </si>
  <si>
    <t>白酒; 鸡尾酒; 伏特加酒; 尼瓦（以甘蔗为主的酒精饮料）; 青稞酒; 酒精饮料（啤酒除外）; 葡萄酒; 果酒（含酒精）; 烧酒; 白兰地 查看详细信息</t>
  </si>
  <si>
    <t>甘肃酒泉汉武酒业有限责任公司</t>
  </si>
  <si>
    <t>汉武御御风</t>
  </si>
  <si>
    <t>汽酒; 米酒; 果酒（含酒精）; 葡萄酒; 酒精饮料（啤酒除外）; 威士忌; 清酒; 黄酒; 白酒; 白兰地 查看详细信息</t>
  </si>
  <si>
    <t>汪建</t>
  </si>
  <si>
    <t>昌运谷</t>
  </si>
  <si>
    <t>果酒（含酒精）; 酒精饮料（啤酒除外）; 葡萄酒; 烈酒（饮料）; 黄酒; 白酒; 米酒; 鸡尾酒; 食用酒精; 白兰地 查看详细信息</t>
  </si>
  <si>
    <t>曾家宝</t>
  </si>
  <si>
    <t>谷溪酩</t>
  </si>
  <si>
    <t>白酒; 老酒（中国蒸馏烈酒）; 高粱酒; 果酒; 由谷物蒸馏的白酒; 烧酒（烈酒）; 酒精饮料（啤酒除外）; 黄酒; 米酒; 白干酒（中国白酒） 查看详细信息</t>
  </si>
  <si>
    <t>刘鑫</t>
  </si>
  <si>
    <t>高邃</t>
  </si>
  <si>
    <t>白干酒（中国白酒）; 果酒（含酒精）; 白酒; 烧酒; 苹果酒; 白兰地; 威士忌; 青稞酒; 烈性干酒; 鸡尾酒 查看详细信息</t>
  </si>
  <si>
    <t>李振兴</t>
  </si>
  <si>
    <t>忘忧遥</t>
  </si>
  <si>
    <t>葡萄酒; 烈酒（饮料）; 威士忌; 米酒; 老酒（中国蒸馏烈酒）; 伏特加酒; 黄酒; 白酒; 烧酒; 果酒（含酒精） 查看详细信息</t>
  </si>
  <si>
    <t>东阿县怡美电子商务有限公司</t>
  </si>
  <si>
    <t>聊东</t>
  </si>
  <si>
    <t>葡萄酒; 酒精饮料（啤酒除外）; 果酒（含酒精）; 开胃酒; 白酒; 黄酒; 蜂蜜酒; 烈酒（饮料）; 米酒; 鸡尾酒 查看详细信息</t>
  </si>
  <si>
    <t>恒硕（唐山）科技有限公司</t>
  </si>
  <si>
    <t>古海岸</t>
  </si>
  <si>
    <t>含水果酒精饮料; 果酒（含酒精）; 葡萄酒; 烈酒（饮料）; 鸡尾酒; 烧酒; 黄酒; 食用酒精; 白酒; 米酒 查看详细信息</t>
  </si>
  <si>
    <t>李朝俊</t>
  </si>
  <si>
    <t>大德君悦</t>
  </si>
  <si>
    <t>米酒; 黄酒; 白酒; 老酒（中国蒸馏烈酒）; 葡萄酒; 果酒; 白干酒（中国白酒）; 清酒; 果酒（含酒精）; 高粱酒 查看详细信息</t>
  </si>
  <si>
    <t>朱成东</t>
  </si>
  <si>
    <t>香约唐宋</t>
  </si>
  <si>
    <t>苦味酒; 预先混合的酒精饮料（以啤酒为主的除外）; 葡萄酒; 樱桃酒; 米酒; 黄酒; 白酒; 烧酒; 果酒（含酒精）; 烈酒（饮料） 查看详细信息</t>
  </si>
  <si>
    <t>贵州国宾酒业有限公司</t>
  </si>
  <si>
    <t>万能福地利</t>
  </si>
  <si>
    <t>白干酒（中国白酒）; 烧酒（烈酒）; 食用酒精; 葡萄酒; 露酒; 蒸煮提取物（利口酒和烈酒）; 由谷物蒸馏的白酒; 白酒; 高粱酒; 酒精饮料（啤酒除外） 查看详细信息</t>
  </si>
  <si>
    <t>株式会社三轮酒造</t>
  </si>
  <si>
    <t>SHIRAKAWAGO</t>
  </si>
  <si>
    <t>清酒（日本米酒）; 白酒; 烧酒; 葡萄酒; 鸡尾酒; 汽酒; 预调甜酒; 酒精饮料（啤酒除外）; 米酒; 果酒 查看详细信息</t>
  </si>
  <si>
    <t>重庆江小白品牌管理有限公司</t>
  </si>
  <si>
    <t>梅五</t>
  </si>
  <si>
    <t>果酒（含酒精）; 鸡尾酒; 葡萄酒; 烈酒（饮料）; 高粱酒; 酒精饮料（啤酒除外）; 米酒; 烧酒; 白酒; 威士忌 查看详细信息</t>
  </si>
  <si>
    <t>雷波</t>
  </si>
  <si>
    <t>奔流斋</t>
  </si>
  <si>
    <t>白酒; 黄酒; 烧酒; 酒精饮料（啤酒除外）; 米酒; 果酒（含酒精）; 鸡尾酒; 清酒（日本米酒）; 威士忌; 葡萄酒 查看详细信息</t>
  </si>
  <si>
    <t>高锐海(532932********1718)</t>
  </si>
  <si>
    <t>泊云洞</t>
  </si>
  <si>
    <t>白酒; 葡萄酒; 米酒; 烧酒; 烈酒; 甘蔗制酒精饮料; 谷物制蒸馏酒精饮料; 苦荞酒; 高粱酒; 酒精饮料（啤酒除外） 查看详细信息</t>
  </si>
  <si>
    <t>尊贵酒业（深圳）集团有限公司</t>
  </si>
  <si>
    <t>飞马世家</t>
  </si>
  <si>
    <t>含水果酒精饮料; 果酒（含酒精）; 葡萄酒; 烈酒（饮料）; 白酒; 威士忌; 酒精饮料（啤酒除外）; 伏特加酒; 黄酒; 白兰地 查看详细信息</t>
  </si>
  <si>
    <t>欧瑞科斯科技产业（集团）有限公司</t>
  </si>
  <si>
    <t>欧瑞科斯</t>
  </si>
  <si>
    <t>烧酒; 薄荷酒; 果酒（含酒精）; 茴芹酒（利口酒）; 樱桃酒; 蒸馏饮料; 苹果酒; 葡萄酒; 蜂蜜酒; 开胃酒 查看详细信息</t>
  </si>
  <si>
    <t>万能福福临门</t>
  </si>
  <si>
    <t>白酒; 高粱酒; 露酒; 白干酒（中国白酒）; 由谷物蒸馏的白酒; 食用酒精; 葡萄酒; 酒精饮料（啤酒除外）; 蒸煮提取物（利口酒和烈酒）; 烧酒（烈酒） 查看详细信息</t>
  </si>
  <si>
    <t>万能福天时</t>
  </si>
  <si>
    <t>白干酒（中国白酒）; 白酒; 高粱酒; 露酒; 由谷物蒸馏的白酒; 食用酒精; 葡萄酒; 酒精饮料（啤酒除外）; 蒸煮提取物（利口酒和烈酒）; 烧酒（烈酒） 查看详细信息</t>
  </si>
  <si>
    <t>万能福人和</t>
  </si>
  <si>
    <t>西藏新华都臻选科技有限公司</t>
  </si>
  <si>
    <t>商镌龙匠</t>
  </si>
  <si>
    <t>葡萄酒; 鸡尾酒; 黄酒; 威士忌; 含水果酒精饮料; 白酒; 清酒（日本米酒）; 伏特加酒; 果酒（含酒精）; 烧酒 查看详细信息</t>
  </si>
  <si>
    <t>小壶春</t>
  </si>
  <si>
    <t>上享 伴手礼</t>
  </si>
  <si>
    <t>高粱酒; 露酒; 果酒（含酒精）; 蒸馏饮料; 白酒; 酒精饮料（啤酒除外）; 米酒; 汽酒; 黄酒; 鸡尾酒 查看详细信息</t>
  </si>
  <si>
    <t>君顶葡萄酒控股有限公司</t>
  </si>
  <si>
    <t>君顶风</t>
  </si>
  <si>
    <t>利口酒; 含水果酒精饮料; 果酒（含酒精）; 烧酒; 酒精饮料（啤酒除外）; 苹果酒; 葡萄酒; 蒸馏饮料; 酒精饮料原汁; 白兰地 查看详细信息</t>
  </si>
  <si>
    <t>王凤娟</t>
  </si>
  <si>
    <t>丽纱</t>
  </si>
  <si>
    <t>果酒（含酒精）; 米酒; 烧酒; 汽酒; 杨梅酒; 白酒; 梅酒; 红葡萄酒; 烈酒; 黄酒 查看详细信息</t>
  </si>
  <si>
    <t>天津鸿阳贸易有限公司</t>
  </si>
  <si>
    <t>酒纷库</t>
  </si>
  <si>
    <t>葡萄酒; 鸡尾酒; 威士忌; 烧酒; 酒精饮料（啤酒除外）; 以葡萄酒为主的饮料; 白酒; 白兰地; 果酒（含酒精）; 含水果酒精饮料 查看详细信息</t>
  </si>
  <si>
    <t>北京万水泉酒文化有限公司</t>
  </si>
  <si>
    <t>风如沐</t>
  </si>
  <si>
    <t>蒸馏饮料; 鸡尾酒; 酒精饮料（啤酒除外）; 白酒; 清酒（日本米酒）; 米酒; 汽酒; 清酒; 葡萄酒; 黄酒; 酸酒（低等葡萄酒）; 麦芽威士忌; 混合威士忌酒; 威士忌; 蒸煮提取物（利口酒和烈酒）; 除啤酒外的酒精饮料 查看详细信息</t>
  </si>
  <si>
    <t>山份</t>
  </si>
  <si>
    <t>顾文彬</t>
  </si>
  <si>
    <t>赛湖纪元</t>
  </si>
  <si>
    <t>帝征天</t>
  </si>
  <si>
    <t>威士忌; 鸡尾酒; 酒精饮料（啤酒除外）; 烧酒; 白兰地; 米酒; 葡萄酒; 果酒（含酒精）; 烈酒（饮料）; 白酒 查看详细信息</t>
  </si>
  <si>
    <t>范鹏辉</t>
  </si>
  <si>
    <t>徽满贯</t>
  </si>
  <si>
    <t>威士忌; 开胃酒; 果酒（含酒精）; 清酒（日本米酒）; 黄酒; 白酒; 葡萄酒; 酒精饮料（啤酒除外）; 鸡尾酒; 烈酒（饮料） 查看详细信息</t>
  </si>
  <si>
    <t>张冬生</t>
  </si>
  <si>
    <t>鸿武阳</t>
  </si>
  <si>
    <t>君顶颂</t>
  </si>
  <si>
    <t>东悦连禧</t>
  </si>
  <si>
    <t>酒精饮料（啤酒除外）; 果酒; 苹果酒; 白酒; 葡萄酒; 米酒; 酸酒（低等葡萄酒）; 烧酒; 含酒精水果饮料; 鸡尾酒 查看详细信息</t>
  </si>
  <si>
    <t>淄博汇泉酒业有限公司</t>
  </si>
  <si>
    <t>汇泉吟</t>
  </si>
  <si>
    <t>甜酒; 鸡尾酒; 酒精饮料（啤酒除外）; 白酒; 露酒; 威士忌; 混合威士忌酒; 樱桃酒; 黄酒; 果酒 查看详细信息</t>
  </si>
  <si>
    <t>厦门壹亿马石化有限公司</t>
  </si>
  <si>
    <t>南北双雄</t>
  </si>
  <si>
    <t>鸡尾酒; 葡萄酒; 烈酒（饮料）; 威士忌; 清酒; 黄酒; 白酒; 含水果酒精饮料; 白兰地; 米酒 查看详细信息</t>
  </si>
  <si>
    <t>宁波市王雨商贸有限公司</t>
  </si>
  <si>
    <t>基耶帝尼</t>
  </si>
  <si>
    <t>蜂蜜酒; 米酒; 开胃酒; 白酒; 蒸馏饮料; 烧酒; 葡萄酒; 烈酒（饮料）; 黄酒; 果酒 查看详细信息</t>
  </si>
  <si>
    <t>黄酒; 白酒; 烧酒; 米酒; 蒸煮提取物（利口酒和烈酒）; 果酒; 酒精饮料（啤酒除外）; 酒精饮料原汁; 开胃酒; 蒸馏饮料 查看详细信息</t>
  </si>
  <si>
    <t>佰酿云酒（重庆）科技有限公司</t>
  </si>
  <si>
    <t>姜桑</t>
  </si>
  <si>
    <t>清酒（日本米酒）; 威士忌; 以葡萄酒为主的饮料; 米酒; 白酒; 果酒（含酒精）; 葡萄酒; 烈酒（饮料）; 酒精饮料（啤酒除外）; 白兰地 查看详细信息</t>
  </si>
  <si>
    <t>贵州欢客人酒业有限公司</t>
  </si>
  <si>
    <t>吉云台</t>
  </si>
  <si>
    <t>开胃酒; 甜果酒; 果酒（含酒精）; 白兰地; 米酒; 黄酒; 老酒（中国蒸馏烈酒）; 露酒; 白酒; 葡萄酒 查看详细信息</t>
  </si>
  <si>
    <t>云南樾宸餐饮管理有限公司</t>
  </si>
  <si>
    <t>滇南秀士 SOUTH DIAN SCHOLAR</t>
  </si>
  <si>
    <t>果酒（含酒精）; 鸡尾酒; 烈酒（饮料）; 清酒（日本米酒）; 白酒; 含水果酒精饮料; 米酒; 烧酒; 食用酒精; 酒精饮料（啤酒除外） 查看详细信息</t>
  </si>
  <si>
    <t>宁夏埃金工贸有限责任公司</t>
  </si>
  <si>
    <t>贺上皇</t>
  </si>
  <si>
    <t>果酒（含酒精）; 葡萄酒; 白兰地; 威士忌; 含水果酒精饮料; 鸡尾酒; 米酒; 白酒; 黄酒; 酒精饮料（啤酒除外） 查看详细信息</t>
  </si>
  <si>
    <t>梅七</t>
  </si>
  <si>
    <t>姜桑拉姆</t>
  </si>
  <si>
    <t>果酒（含酒精）; 葡萄酒; 烈酒（饮料）; 白兰地; 白酒; 威士忌; 以葡萄酒为主的饮料; 米酒; 酒精饮料（啤酒除外）; 清酒（日本米酒） 查看详细信息</t>
  </si>
  <si>
    <t>贵明月</t>
  </si>
  <si>
    <t>果酒（含酒精）; 烧酒; 白酒; 米酒; 黄酒; 蜂蜜酒; 酒精饮料（啤酒除外）; 青稞酒; 鸡尾酒; 葡萄酒 查看详细信息</t>
  </si>
  <si>
    <t>疆酒纪元</t>
  </si>
  <si>
    <t>伏特加酒; 利口酒; 含水果酒精饮料; 开胃酒; 黄酒; 米酒; 果酒（含酒精）; 葡萄酒; 鸡尾酒; 白酒 查看详细信息</t>
  </si>
  <si>
    <t>卢华周</t>
  </si>
  <si>
    <t>曹州华</t>
  </si>
  <si>
    <t>烈酒; 烧酒; 白酒; 果酒（含酒精）; 葡萄酒; 食用酒精; 威士忌; 酒精饮料（啤酒除外）; 米酒; 黄酒 查看详细信息</t>
  </si>
  <si>
    <t>厦门朋莉供应链有限公司</t>
  </si>
  <si>
    <t>KINDNESS SEA</t>
  </si>
  <si>
    <t>鸡尾酒; 葡萄酒; 利口酒; 白兰地; 混合威士忌酒; 威士忌; 朗姆酒; 伏特加酒; 麦芽威士忌; 清酒（日本米酒） 查看详细信息</t>
  </si>
  <si>
    <t>南京伟邦数字科技有限公司</t>
  </si>
  <si>
    <t>张拱异</t>
  </si>
  <si>
    <t>果酒（含酒精）; 鸡尾酒; 葡萄酒; 清酒（日本米酒）; 蒸煮提取物（利口酒和烈酒）; 米酒; 烧酒; 青稞酒; 白酒; 含水果酒精饮料 查看详细信息</t>
  </si>
  <si>
    <t>贵州名府酒业有限公司</t>
  </si>
  <si>
    <t>名府悦</t>
  </si>
  <si>
    <t>果酒（含酒精）; 鸡尾酒; 葡萄酒; 烈酒（饮料）; 白酒; 酒精饮料（啤酒除外）; 米酒; 伏特加酒; 烧酒; 威士忌 查看详细信息</t>
  </si>
  <si>
    <t>深圳市成塔服饰有限公司</t>
  </si>
  <si>
    <t>TAN FEI</t>
  </si>
  <si>
    <t>葡萄酒; 白酒; 威士忌; 米酒; 蒸馏饮料; 鸡尾酒; 果酒; 烈酒（饮料）; 酒精饮料（啤酒除外）; 食用酒精 查看详细信息</t>
  </si>
  <si>
    <t>张乃宾</t>
  </si>
  <si>
    <t>槐枝林花</t>
  </si>
  <si>
    <t>烧酒; 汽酒; 清酒（日本米酒）; 米酒; 葡萄酒; 黄酒; 果酒（含酒精）; 白酒; 含水果酒精饮料; 烈酒（饮料） 查看详细信息</t>
  </si>
  <si>
    <t>福鼎市味爵爷食品有限公司</t>
  </si>
  <si>
    <t>山河脉</t>
  </si>
  <si>
    <t>白酒; 葡萄酒; 米酒; 黄酒; 混合威士忌酒; 烧酒; 露酒; 开胃酒; 鸡尾酒; 果酒 查看详细信息</t>
  </si>
  <si>
    <t>李依繁</t>
  </si>
  <si>
    <t>依阿妹</t>
  </si>
  <si>
    <t>白酒; 葡萄酒; 威士忌; 鸡尾酒; 米酒; 蒸煮提取物（利口酒和烈酒）; 烈酒（饮料）; 果酒（含酒精）; 清酒（日本米酒）; 酒精饮料（啤酒除外） 查看详细信息</t>
  </si>
  <si>
    <t>涌泉胡同</t>
  </si>
  <si>
    <t>鸡尾酒; 露酒; 酒精饮料（啤酒除外）; 咖啡利口酒; 白干酒（中国白酒）; 白酒; 甜酒; 果酒; 预先混合的酒精饮料（以啤酒为主的除外）; 由谷物蒸馏的白酒 查看详细信息</t>
  </si>
  <si>
    <t>四川加大号文化科技有限公司</t>
  </si>
  <si>
    <t>高初九</t>
  </si>
  <si>
    <t>酒精饮料原汁; 酒精饮料（啤酒除外）; 含水果酒精饮料; 米酒; 开胃酒; 黄酒; 鸡尾酒; 葡萄酒; 烈酒（饮料）; 白酒 查看详细信息</t>
  </si>
  <si>
    <t>北京怡诺食品有限公司</t>
  </si>
  <si>
    <t>一夜雪</t>
  </si>
  <si>
    <t>黄酒; 果酒（含酒精）; 鸡尾酒; 白酒; 葡萄酒; 酒精饮料（啤酒除外）; 清酒（日本米酒）; 烧酒; 威士忌; 米酒 查看详细信息</t>
  </si>
  <si>
    <t>深圳市乔佰顺贸易有限公司</t>
  </si>
  <si>
    <t>露狄鹅</t>
  </si>
  <si>
    <t>开胃酒; 鸡尾酒; 葡萄酒; 樱桃酒; 白酒; 梨酒; 米酒; 烧酒; 黄酒; 白兰地 查看详细信息</t>
  </si>
  <si>
    <t>米悦汤喜</t>
  </si>
  <si>
    <t>清酒（日本米酒）; 果酒（含酒精）; 鸡尾酒; 烈酒（饮料）; 白酒; 含水果酒精饮料; 米酒; 烧酒; 食用酒精; 酒精饮料（啤酒除外） 查看详细信息</t>
  </si>
  <si>
    <t>海南幸福集团有限公司</t>
  </si>
  <si>
    <t>幸福松柏</t>
  </si>
  <si>
    <t>米酒; 酒精饮料（啤酒除外）; 烧酒; 黄酒; 果酒（含酒精）; 烈酒（饮料）; 高粱酒; 白酒; 葡萄酒; 鸡尾酒 查看详细信息</t>
  </si>
  <si>
    <t>栖云洞</t>
  </si>
  <si>
    <t>谷物制蒸馏酒精饮料; 苦荞酒; 高粱酒; 烈酒; 甘蔗制酒精饮料; 葡萄酒; 米酒; 烧酒; 酒精饮料（啤酒除外）; 白酒 查看详细信息</t>
  </si>
  <si>
    <t>小米科技有限责任公司</t>
  </si>
  <si>
    <t>米兔</t>
  </si>
  <si>
    <t>以葡萄酒为主的饮料; 含水果酒精饮料; 含酒精的气泡水; 酒精饮料浓缩汁; 白酒; 烈酒（饮料）; 鸡尾酒; 果酒（含酒精）; 米酒; 烧酒 查看详细信息</t>
  </si>
  <si>
    <t>汤全福</t>
  </si>
  <si>
    <t>憨龙</t>
  </si>
  <si>
    <t>高粱酒; 清酒; 老酒（中国蒸馏烈酒）; 果酒（含酒精）; 苦荞酒; 米酒; 黄酒; 白酒; 烧酒（烈酒）; 葡萄酒 查看详细信息</t>
  </si>
  <si>
    <t>赣州集福酒业有限公司</t>
  </si>
  <si>
    <t>百福仰品</t>
  </si>
  <si>
    <t>果酒（含酒精）; 蒸馏饮料; 葡萄酒; 白兰地; 鸡尾酒; 米酒; 烧酒; 黄酒; 白酒; 威士忌 查看详细信息</t>
  </si>
  <si>
    <t>敖洪玉</t>
  </si>
  <si>
    <t>港渝邻</t>
  </si>
  <si>
    <t>果酒（含酒精）; 白酒; 烧酒; 黄酒; 酒精饮料（啤酒除外）; 威士忌; 葡萄酒; 利口酒; 含水果酒精饮料; 苹果酒 查看详细信息</t>
  </si>
  <si>
    <t>上享 敬上宾·斟上享</t>
  </si>
  <si>
    <t>酒精饮料（啤酒除外）; 果酒（含酒精）; 蒸馏饮料; 鸡尾酒; 露酒; 汽酒; 黄酒; 白酒; 高粱酒; 米酒 查看详细信息</t>
  </si>
  <si>
    <t>真九</t>
  </si>
  <si>
    <t>果酒（含酒精）; 鸡尾酒; 含水果酒精饮料; 葡萄酒; 白酒; 酒精饮料（啤酒除外）; 米酒; 烧酒; 黄酒; 烈酒（饮料） 查看详细信息</t>
  </si>
  <si>
    <t>韩学记</t>
  </si>
  <si>
    <t>李白佳</t>
  </si>
  <si>
    <t>烧酒; 白酒; 果酒（含酒精）; 青稞酒; 葡萄酒; 蒸馏饮料; 鸡尾酒; 酒精饮料（啤酒除外）; 米酒; 食用酒精 查看详细信息</t>
  </si>
  <si>
    <t>和氏璧连禧</t>
  </si>
  <si>
    <t>白酒; 酒精饮料（啤酒除外）; 果酒; 苹果酒; 葡萄酒; 米酒; 酸酒（低等葡萄酒）; 烧酒; 含酒精水果饮料; 鸡尾酒 查看详细信息</t>
  </si>
  <si>
    <t>杭州醉年年酒业有限公司</t>
  </si>
  <si>
    <t>呈心呈意</t>
  </si>
  <si>
    <t>老酒（中国蒸馏烈酒）; 青稞酒; 高粱酒; 葡萄酒; 黄酒; 烧酒; 酒精饮料（啤酒除外）; 清酒; 米酒; 白酒 查看详细信息</t>
  </si>
  <si>
    <t>邹伟</t>
  </si>
  <si>
    <t>莹花</t>
  </si>
  <si>
    <t>白酒; 果酒; 鸡尾酒; 葡萄酒; 利口酒; 伏特加酒; 白兰地; 威士忌; 酒精饮料（啤酒除外）; 朗姆酒 查看详细信息</t>
  </si>
  <si>
    <t>云南粮博汇农业科技有限公司</t>
  </si>
  <si>
    <t>云茗樽</t>
  </si>
  <si>
    <t>白酒; 葡萄酒; 烈酒（饮料）; 米酒; 汽酒; 黄酒; 酒精饮料浓缩汁; 开胃酒; 含水果酒精饮料; 青稞酒 查看详细信息</t>
  </si>
  <si>
    <t>古京王朝</t>
  </si>
  <si>
    <t>白酒; 烧酒; 果酒; 葡萄酒; 米酒; 烈酒（饮料）; 白兰地; 清酒（日本米酒）; 威士忌; 黄酒 查看详细信息</t>
  </si>
  <si>
    <t>甜言</t>
  </si>
  <si>
    <t>鸡尾酒; 葡萄酒; 烈酒（饮料）; 威士忌; 果酒（含酒精）; 米酒; 烧酒; 白酒; 高粱酒; 酒精饮料（啤酒除外） 查看详细信息</t>
  </si>
  <si>
    <t>安徽国酿酒业有限公司</t>
  </si>
  <si>
    <t>印象家申</t>
  </si>
  <si>
    <t>白酒; 果酒（含酒精）; 葡萄酒; 烧酒; 烈酒（饮料）; 鸡尾酒; 黄酒; 威士忌; 酒精饮料（啤酒除外）; 米酒 查看详细信息</t>
  </si>
  <si>
    <t>陈心银</t>
  </si>
  <si>
    <t>君知客</t>
  </si>
  <si>
    <t>白酒; 果酒（含酒精）; 鸡尾酒; 葡萄酒; 蜂蜜酒; 梨酒; 酒精饮料原汁; 苦味酒; 开胃酒; 白兰地 查看详细信息</t>
  </si>
  <si>
    <t>温州荣景园林园艺建设有限公司</t>
  </si>
  <si>
    <t>花源稼</t>
  </si>
  <si>
    <t>果酒（含酒精）; 葡萄酒; 烈酒（饮料）; 米酒; 含水果酒精饮料; 含酒精的气泡水; 黄酒; 白酒; 清酒; 烧酒 查看详细信息</t>
  </si>
  <si>
    <t>如意玲珑</t>
  </si>
  <si>
    <t>烧酒; 白酒; 果酒（含酒精）; 黄酒; 葡萄酒; 烈酒; 威士忌; 酒精饮料（啤酒除外）; 米酒; 食用酒精 查看详细信息</t>
  </si>
  <si>
    <t>虚本妙智医学研究（广东）有限公司</t>
  </si>
  <si>
    <t>晏欧苏黄</t>
  </si>
  <si>
    <t>果酒（含酒精）; 苹果酒; 葡萄酒; 杜松子酒; 蜂蜜酒; 含水果酒精饮料; 青稞酒; 黄酒; 白酒; 清酒（日本米酒） 查看详细信息</t>
  </si>
  <si>
    <t>西和县新德种养殖专业合作社</t>
  </si>
  <si>
    <t>LAOGANNONG</t>
  </si>
  <si>
    <t>葡萄酒; 烈酒（饮料）; 威士忌; 伏特加酒; 朗姆酒; 果酒（含酒精）; 黄酒; 白酒; 食用酒精; 白兰地 查看详细信息</t>
  </si>
  <si>
    <t>异能（青岛）酒水有限公司</t>
  </si>
  <si>
    <t>阿礼果果</t>
  </si>
  <si>
    <t>利口酒; 威士忌; 梨酒; 汽酒; 果酒（含酒精）; 白兰地; 白酒; 谷物制蒸馏酒精饮料; 鸡尾酒; 烧酒 查看详细信息</t>
  </si>
  <si>
    <t>贵州稳道品牌管理有限公司</t>
  </si>
  <si>
    <t>仕商之家</t>
  </si>
  <si>
    <t>葡萄酒; 酒精饮料（啤酒除外）; 米酒; 白酒; 高粱酒; 黄酒; 食用酒精; 烧酒; 烈酒; 汽酒 查看详细信息</t>
  </si>
  <si>
    <t>晋羊王(山西)餐饮管理有限公司</t>
  </si>
  <si>
    <t>唐槐</t>
  </si>
  <si>
    <t>烈酒（饮料）; 酒精饮料（啤酒除外）; 白酒; 老酒（中国蒸馏烈酒）; 葡萄酒; 食用酒精; 黄酒; 果酒（含酒精）; 酒精饮料原汁; 五加皮酒（中国混合烈酒） 查看详细信息</t>
  </si>
  <si>
    <t>山西安家天下营销策划有限公司</t>
  </si>
  <si>
    <t>麦元汇</t>
  </si>
  <si>
    <t>果酒（含酒精）; 蒸馏饮料; 鸡尾酒; 白兰地; 葡萄酒; 米酒; 烧酒; 黄酒; 白酒; 威士忌 查看详细信息</t>
  </si>
  <si>
    <t>王永红</t>
  </si>
  <si>
    <t>黔福莱</t>
  </si>
  <si>
    <t>黄酒; 白兰地; 威士忌; 米酒; 白酒; 烈酒（饮料）; 果酒（含酒精）; 开胃酒; 鸡尾酒; 葡萄酒 查看详细信息</t>
  </si>
  <si>
    <t>四川汇济康科技有限公司</t>
  </si>
  <si>
    <t>仁禾草</t>
  </si>
  <si>
    <t>开胃酒; 烈酒（饮料）; 果酒（含酒精）; 酒精饮料（啤酒除外）; 蒸馏饮料; 黄酒; 白酒; 葡萄酒; 青稞酒; 烧酒 查看详细信息</t>
  </si>
  <si>
    <t>松柏茂</t>
  </si>
  <si>
    <t>白酒; 酒精饮料（啤酒除外）; 米酒; 黄酒; 汽酒; 清酒; 葡萄酒; 酸酒（低等葡萄酒）; 鸡尾酒; 麦芽威士忌; 混合威士忌酒; 威士忌; 蒸煮提取物（利口酒和烈酒）; 蒸馏饮料; 除啤酒外的酒精饮料; 清酒（日本米酒） 查看详细信息</t>
  </si>
  <si>
    <t>上海昭日化工有限公司</t>
  </si>
  <si>
    <t>JULIA GARDEN</t>
  </si>
  <si>
    <t>葡萄酒; 白兰地; 威士忌; 白酒; 酒精饮料（啤酒除外）; 高粱酒; 果酒; 烧酒; 谷物制蒸馏酒精饮料; 米酒 查看详细信息</t>
  </si>
  <si>
    <t>清泉流</t>
  </si>
  <si>
    <t>葡萄酒; 清酒; 鸡尾酒; 麦芽威士忌; 混合威士忌酒; 威士忌; 蒸煮提取物（利口酒和烈酒）; 蒸馏饮料; 除啤酒外的酒精饮料; 酒精饮料（啤酒除外）; 黄酒; 白酒; 清酒（日本米酒）; 米酒; 汽酒; 酸酒（低等葡萄酒） 查看详细信息</t>
  </si>
  <si>
    <t>泓娇神韵</t>
  </si>
  <si>
    <t>冯清剑</t>
  </si>
  <si>
    <t>鸳鸯潭</t>
  </si>
  <si>
    <t>山西盛苗商贸有限公司</t>
  </si>
  <si>
    <t>晋乡世嘉</t>
  </si>
  <si>
    <t>果酒（含酒精）; 烈酒（饮料）; 酒精饮料（啤酒除外）; 烧酒; 白酒; 葡萄酒; 蒸馏饮料; 威士忌; 米酒; 鸡尾酒 查看详细信息</t>
  </si>
  <si>
    <t>袁佩明420325********1951</t>
  </si>
  <si>
    <t>房陵颂</t>
  </si>
  <si>
    <t>开胃酒; 果酒（含酒精）; 黄酒; 烧酒; 白酒; 米酒; 青稞酒; 烈酒（饮料）; 葡萄酒; 蒸馏饮料 查看详细信息</t>
  </si>
  <si>
    <t>东悦大益</t>
  </si>
  <si>
    <t>上海煜家贸易有限公司</t>
  </si>
  <si>
    <t>煜夏墨</t>
  </si>
  <si>
    <t>烧酒; 酒精饮料（啤酒除外）; 果酒（含酒精）; 烈酒（饮料）; 米酒; 白酒; 黄酒; 鸡尾酒; 甘蔗制烈酒; 葡萄酒 查看详细信息</t>
  </si>
  <si>
    <t>名府台</t>
  </si>
  <si>
    <t>葡萄酒; 烈酒（饮料）; 白酒; 酒精饮料（啤酒除外）; 米酒; 伏特加酒; 烧酒; 威士忌; 果酒（含酒精）; 鸡尾酒 查看详细信息</t>
  </si>
  <si>
    <t>林州市佰仟农民专业合作社</t>
  </si>
  <si>
    <t>米粮山</t>
  </si>
  <si>
    <t>白兰地; 威士忌; 米酒; 烧酒; 蒸馏饮料; 白酒; 鸡尾酒; 葡萄酒; 黄酒; 果酒 查看详细信息</t>
  </si>
  <si>
    <t>罗放平</t>
  </si>
  <si>
    <t>湘程似锦</t>
  </si>
  <si>
    <t>米酒; 黄酒; 烈酒（饮料）; 鸡尾酒; 白酒; 含水果酒精饮料; 开胃酒; 葡萄酒; 烧酒; 利口酒 查看详细信息</t>
  </si>
  <si>
    <t>赵太芬</t>
  </si>
  <si>
    <t>关东郝记</t>
  </si>
  <si>
    <t>果酒（含酒精）; 白酒; 餐后酒（利口酒和烈酒）; 酒精饮料（啤酒除外）; 露酒; 黄酒; 烧酒; 鸡尾酒; 开胃酒; 米酒 查看详细信息</t>
  </si>
  <si>
    <t>表哥甄选（青岛）商贸有限公司</t>
  </si>
  <si>
    <t>勒隆堡</t>
  </si>
  <si>
    <t>果酒（含酒精）; 苹果酒; 鸡尾酒; 餐后酒（利口酒和烈酒）; 以葡萄酒为主的饮料; 烈酒（饮料）; 白兰地; 酒精饮料（啤酒除外）; 朗姆酒; 葡萄酒 查看详细信息</t>
  </si>
  <si>
    <t>望君行</t>
  </si>
  <si>
    <t>汇芝泉</t>
  </si>
  <si>
    <t>鸡尾酒; 酒精饮料（啤酒除外）; 白酒; 甜酒; 露酒; 威士忌; 混合威士忌酒; 樱桃酒; 黄酒; 果酒 查看详细信息</t>
  </si>
  <si>
    <t>合肥娶约文化交流中心</t>
  </si>
  <si>
    <t>祜约</t>
  </si>
  <si>
    <t>蜂蜜酒; 白兰地; 果酒; 米酒; 黄酒; 鸡尾酒; 葡萄酒; 酒精饮料（啤酒除外）; 汽酒; 白酒 查看详细信息</t>
  </si>
  <si>
    <t>四川大千魂酒文化传播有限公司</t>
  </si>
  <si>
    <t>可休</t>
  </si>
  <si>
    <t>白干酒（中国白酒）; 葡萄酒; 米酒; 烈酒（饮料）; 果酒（含酒精）; 青稞酒; 高粱酒; 白酒; 蒸煮提取物（利口酒和烈酒）; 谷物制蒸馏酒精饮料 查看详细信息</t>
  </si>
  <si>
    <t>清蕴 彩蕴坊</t>
  </si>
  <si>
    <t>果酒（含酒精）; 鸡尾酒; 葡萄酒; 威士忌; 食用酒精; 烧酒; 白酒; 白兰地; 伏特加酒; 酒精饮料（啤酒除外） 查看详细信息</t>
  </si>
  <si>
    <t>湖北兴陆生物科技集团有限公司</t>
  </si>
  <si>
    <t>鹿丽源</t>
  </si>
  <si>
    <t>烈酒（饮料）; 烧酒; 酒精饮料（啤酒除外）; 五加皮酒（中国混合烈酒）; 老酒（中国蒸馏烈酒）; 酒精饮料原汁; 蒸煮提取物（利口酒和烈酒）; 黄酒; 果酒（含酒精）; 白酒 查看详细信息</t>
  </si>
  <si>
    <t>沁荟园</t>
  </si>
  <si>
    <t>黄酒; 青稞酒; 果酒（含酒精）; 开胃酒; 烧酒; 葡萄酒; 米酒; 鸡尾酒; 白酒; 烈酒 查看详细信息</t>
  </si>
  <si>
    <t>吴小平</t>
  </si>
  <si>
    <t>迎岳</t>
  </si>
  <si>
    <t>烧酒; 果酒（含酒精）; 苹果酒; 葡萄酒; 白干酒（中国白酒）; 梨酒; 含水果酒精饮料; 米酒; 白酒; 烈酒（饮料） 查看详细信息</t>
  </si>
  <si>
    <t>亳州文融传媒科技有限公司</t>
  </si>
  <si>
    <t>文融购</t>
  </si>
  <si>
    <t>开胃酒; 葡萄酒; 米酒; 烧酒; 白干酒（中国白酒）; 食用酒精; 白酒; 甜酒; 清酒; 黄酒 查看详细信息</t>
  </si>
  <si>
    <t>竹溪县黄花沟旅游开发有限公司</t>
  </si>
  <si>
    <t>黄花沟爱情谷</t>
  </si>
  <si>
    <t>黄酒; 白酒; 果酒（含酒精）; 米酒; 鸡尾酒; 烈酒（饮料）; 蜂蜜酒; 烧酒; 餐后酒（利口酒和烈酒）; 葡萄酒 查看详细信息</t>
  </si>
  <si>
    <t>贵州博弈台酒业有限公司</t>
  </si>
  <si>
    <t>果酒（含酒精）; 葡萄酒; 利口酒; 米酒; 白酒; 朝鲜族米酒; 汽酒; 青稞酒; 黄酒; 烧酒 查看详细信息</t>
  </si>
  <si>
    <t>湖北拾岩洲酒业有限公司</t>
  </si>
  <si>
    <t>拾岩洲</t>
  </si>
  <si>
    <t>黄酒; 白酒; 白兰地; 葡萄酒; 青稞酒; 威士忌; 酒精饮料（啤酒除外）; 烧酒; 鸡尾酒; 清酒 查看详细信息</t>
  </si>
  <si>
    <t>SUPERRANGER</t>
  </si>
  <si>
    <t>威士忌; 蒸馏饮料; 葡萄酒; 鸡尾酒; 白酒; 黄酒; 烈酒（饮料）; 米酒; 清酒; 酒精饮料（啤酒除外） 查看详细信息</t>
  </si>
  <si>
    <t>湖北谭家村酒业有限公司</t>
  </si>
  <si>
    <t>谭家村天门山</t>
  </si>
  <si>
    <t>白酒; 葡萄酒; 烧酒; 米酒; 黄酒; 开胃酒; 果酒（含酒精）; 酒精饮料（啤酒除外）; 青稞酒; 伏特加酒 查看详细信息</t>
  </si>
  <si>
    <t>河北燕之巢酒店管理有限公司</t>
  </si>
  <si>
    <t>铜雀壹号</t>
  </si>
  <si>
    <t>预先混合的酒精饮料（以啤酒为主的除外）; 蒸煮提取物（利口酒和烈酒）; 黄酒; 含水果酒精饮料; 白酒; 鸡尾酒; 葡萄酒; 酒精饮料浓缩汁; 伏特加酒; 米酒 查看详细信息</t>
  </si>
  <si>
    <t>清蕴坊</t>
  </si>
  <si>
    <t>垠浆</t>
  </si>
  <si>
    <t>开胃酒; 鸡尾酒; 葡萄酒; 威士忌; 高粱酒; 米酒; 烧酒; 黄酒; 白酒; 酒精饮料原汁 查看详细信息</t>
  </si>
  <si>
    <t>盐城正大超市有限责任公司</t>
  </si>
  <si>
    <t>射州</t>
  </si>
  <si>
    <t>白酒; 酒精饮料（啤酒除外）; 果酒; 葡萄酒; 蒸馏米酒（泡盛酒）; 黄酒; 汽酒; 清酒; 露酒; 烧酒 查看详细信息</t>
  </si>
  <si>
    <t>莆田市凯尔特贸易有限公司</t>
  </si>
  <si>
    <t>DAMMOSI</t>
  </si>
  <si>
    <t>果酒（含酒精）; 开胃酒; 葡萄酒; 烈酒（饮料）; 米酒; 黄酒; 食用酒精; 烧酒; 含水果酒精饮料; 白酒 查看详细信息</t>
  </si>
  <si>
    <t>潍坊春牧生物科技有限公司</t>
  </si>
  <si>
    <t>维乐拜特</t>
  </si>
  <si>
    <t>果酒（含酒精）; 烈酒（饮料）; 酒精饮料原汁; 米酒; 白酒; 谷物制蒸馏酒精饮料; 烧酒; 已调味的麦芽酿制的酒精饮料（啤酒除外）; 食用酒精; 预先混合的酒精饮料（以啤酒为主的除外） 查看详细信息</t>
  </si>
  <si>
    <t>什邡市新绿邡酒业有限责任公司</t>
  </si>
  <si>
    <t>汁邡红</t>
  </si>
  <si>
    <t>酒精饮料（啤酒除外）; 含酒精的饮料（啤酒除外）; 汽酒; 白酒; 酒精饮料浓缩汁; 茴芹酒（利口酒）; 开胃酒; 蒸馏饮料; 酒精饮料原汁; 果酒（含酒精） 查看详细信息</t>
  </si>
  <si>
    <t>安徽鹊佗堂中药科技有限公司</t>
  </si>
  <si>
    <t>斛大夫</t>
  </si>
  <si>
    <t>果酒（含酒精）; 蒸馏饮料; 葡萄酒; 酒精饮料（啤酒除外）; 白酒; 开胃酒; 威士忌; 含水果酒精饮料; 薄荷酒; 黄酒 查看详细信息</t>
  </si>
  <si>
    <t>徐州盈然医药生物科技有限公司</t>
  </si>
  <si>
    <t>苏马荡</t>
  </si>
  <si>
    <t>烈酒（饮料）; 清酒（日本米酒）; 酒精饮料（啤酒除外）; 黄酒; 葡萄酒; 烧酒; 米酒; 果酒（含酒精）; 鸡尾酒; 白酒 查看详细信息</t>
  </si>
  <si>
    <t>杭州芊熹天成文化发展有限责任公司</t>
  </si>
  <si>
    <t>芊熹天成</t>
  </si>
  <si>
    <t>烈酒; 白干酒（中国白酒）; 白酒; 黄酒; 含酒精的饮料（啤酒除外）; 谷物制蒸馏酒精饮料; 青稞酒; 老酒（中国蒸馏烈酒）; 五加皮酒（中国混合烈酒）; 以葡萄酒为主的饮料 查看详细信息</t>
  </si>
  <si>
    <t>内蒙古世纪呼白酒业有限责任公司</t>
  </si>
  <si>
    <t>燕赵云中郡</t>
  </si>
  <si>
    <t>酒精饮料（啤酒除外）; 米酒; 青稞酒; 白酒; 黄酒; 开胃酒; 烧酒; 烈酒（饮料）; 蒸馏饮料; 果酒（含酒精） 查看详细信息</t>
  </si>
  <si>
    <t>安徽皖味稻大米销售有限公司</t>
  </si>
  <si>
    <t>黑璜</t>
  </si>
  <si>
    <t>果酒（含酒精）; 葡萄酒; 威士忌; 含水果酒精饮料; 白干酒（中国白酒）; 黄酒; 白酒; 青梅酒; 高粱酒; 米酒 查看详细信息</t>
  </si>
  <si>
    <t>陈浩彪</t>
  </si>
  <si>
    <t>维添然</t>
  </si>
  <si>
    <t>乐尔悠馨维奥米恰诺伊有限公司</t>
  </si>
  <si>
    <t>魔尔菲思</t>
  </si>
  <si>
    <t>葡萄酒; 酒精饮料（啤酒除外）; 加烈葡萄酒; 红葡萄酒; 桃红葡萄酒; 果酒; 白葡萄酒; 佐餐酒; 不起泡葡萄酒; 含水果酒精饮料 查看详细信息</t>
  </si>
  <si>
    <t>北京银河通用机器人有限公司</t>
  </si>
  <si>
    <t>GALBOT</t>
  </si>
  <si>
    <t>果酒（含酒精）; 开胃酒; 蒸馏饮料; 鸡尾酒; 食用酒精; 烈酒（饮料）; 米酒; 朗姆酒; 黄酒; 葡萄酒 查看详细信息</t>
  </si>
  <si>
    <t>张名玲</t>
  </si>
  <si>
    <t>洺梁打酒</t>
  </si>
  <si>
    <t>白酒; 烈酒（饮料）; 米酒; 烧酒; 果酒（含酒精）; 鸡尾酒; 酒精饮料原汁; 葡萄酒; 谷物制蒸馏酒精饮料; 酒精饮料（啤酒除外） 查看详细信息</t>
  </si>
  <si>
    <t>王小飞</t>
  </si>
  <si>
    <t>万正敬</t>
  </si>
  <si>
    <t>白酒; 烧酒; 米酒; 果酒（含酒精）; 黄酒; 葡萄酒; 烈酒（饮料）; 清酒（日本米酒）; 酒精饮料（啤酒除外）; 鸡尾酒 查看详细信息</t>
  </si>
  <si>
    <t>湖南省世品汇品牌管理有限公司</t>
  </si>
  <si>
    <t>京将宴</t>
  </si>
  <si>
    <t>开胃酒; 苹果酒; 鸡尾酒; 葡萄酒; 蒸煮提取物（利口酒和烈酒）; 米酒; 烧酒; 黄酒; 白酒; 利口酒 查看详细信息</t>
  </si>
  <si>
    <t>长沙五月花百货贸易有限公司</t>
  </si>
  <si>
    <t>酒精饮料（啤酒除外）; 红葡萄酒; 清酒; 黄酒; 蒸馏饮料; 白兰地; 薄荷酒; 果酒（含酒精）; 含水果酒精饮料; 葡萄酒 查看详细信息</t>
  </si>
  <si>
    <t>河南我就明星网络科技有限公司</t>
  </si>
  <si>
    <t>汴包包</t>
  </si>
  <si>
    <t>麦芽汁（发酵后成啤酒）; 啤酒; 矿泉水（饮料）; 带果肉果汁饮料; 能量饮料; 纯净水（饮料）; 可乐; 果汁; 制饮料用糖浆; 制作饮料用无酒精配料 查看详细信息</t>
  </si>
  <si>
    <t>代雪丽</t>
  </si>
  <si>
    <t>洞芳鸣</t>
  </si>
  <si>
    <t>袁宏禄</t>
  </si>
  <si>
    <t>陇塬河畔</t>
  </si>
  <si>
    <t>果酒（含酒精）; 烈酒（饮料）; 酒精饮料（啤酒除外）; 烧酒; 威士忌; 葡萄酒; 蒸馏饮料; 黄酒; 白酒; 鸡尾酒 查看详细信息</t>
  </si>
  <si>
    <t>清蕴大 彩陶大</t>
  </si>
  <si>
    <t>白兰地; 伏特加酒; 食用酒精; 果酒（含酒精）; 酒精饮料（啤酒除外）; 葡萄酒; 威士忌; 烧酒; 白酒; 鸡尾酒 查看详细信息</t>
  </si>
  <si>
    <t>安徽省淮酒酒业有限公司</t>
  </si>
  <si>
    <t>淮酒水晶老寿星</t>
  </si>
  <si>
    <t>谷物制蒸馏酒精饮料; 白酒; 烈酒; 老酒（中国蒸馏烈酒）; 清酒（日本米酒）; 食用酒精; 烧酒; 果酒（含酒精）; 烈酒（饮料）; 高粱酒 查看详细信息</t>
  </si>
  <si>
    <t>湖北省旺源耕种植专业合作社</t>
  </si>
  <si>
    <t>楚镶阳</t>
  </si>
  <si>
    <t>黄酒; 葡萄酒; 蜂蜜酒; 含水果酒精饮料; 含酒精的饮料（啤酒除外）; 酒精饮料原汁; 酒精饮料浓缩汁; 酒精饮料（啤酒除外）; 果酒（含酒精）; 米酒 查看详细信息</t>
  </si>
  <si>
    <t>深圳鼎闰商贸有限公司</t>
  </si>
  <si>
    <t>渝月</t>
  </si>
  <si>
    <t>苹果酒; 茴香酒(利口酒); 蜂蜜酒; 酸酒(低等葡萄酒); 米酒; 青稞酒; 果酒(含酒精); 樱桃酒; 白酒; 黄酒 查看详细信息</t>
  </si>
  <si>
    <t>虞朝旺</t>
  </si>
  <si>
    <t>RENHUAICIAGA</t>
  </si>
  <si>
    <t>白酒; 烈酒（饮料）; 烧酒（烈酒）; 白干酒（中国白酒）; 果酒; 清酒; 米酒; 葡萄酒; 高粱酒; 老酒（中国蒸馏烈酒） 查看详细信息</t>
  </si>
  <si>
    <t>山东鲁兴酒业酿造有限公司</t>
  </si>
  <si>
    <t>汶兴匠</t>
  </si>
  <si>
    <t>含酒精的充气饮料（啤酒除外）; 含酒精的饮料（啤酒除外）; 果酒; 烈酒; 鸡尾酒; 白酒; 米酒; 老酒（中国蒸馏烈酒）; 葡萄酒; 烧酒 查看详细信息</t>
  </si>
  <si>
    <t>上海元拓境科技发展有限公司</t>
  </si>
  <si>
    <t>QIN：AWAKENING</t>
  </si>
  <si>
    <t>白酒; 黄酒; 烈酒（饮料）; 果酒（含酒精）; 鸡尾酒; 葡萄酒; 含水果酒精饮料; 酒精饮料（啤酒除外）; 米酒; 预先混合的酒精饮料（以啤酒为主的除外） 查看详细信息</t>
  </si>
  <si>
    <t>李秀燕</t>
  </si>
  <si>
    <t>岭畔观松林</t>
  </si>
  <si>
    <t>黄酒; 烧酒; 果酒; 开胃酒; 白酒; 葡萄酒; 烈酒; 含水果酒精饮料; 米酒; 鸡尾酒 查看详细信息</t>
  </si>
  <si>
    <t>蓝月琴</t>
  </si>
  <si>
    <t>通仪第</t>
  </si>
  <si>
    <t>果酒（含酒精）; 苹果酒; 葡萄酒; 烈酒（饮料）; 白酒; 含水果酒精饮料; 米酒; 烧酒; 黄酒; 酒精饮料（啤酒除外） 查看详细信息</t>
  </si>
  <si>
    <t>黔仙缘</t>
  </si>
  <si>
    <t>开胃酒; 葡萄酒; 梨酒; 清酒（日本米酒）; 烧酒; 利口酒; 米酒; 白酒; 青稞酒; 黄酒 查看详细信息</t>
  </si>
  <si>
    <t>廖睿勇</t>
  </si>
  <si>
    <t>LUCYSTORY</t>
  </si>
  <si>
    <t>酒精饮料（啤酒除外）; 含水果酒精饮料; 果酒（含酒精）; 葡萄酒; 鸡尾酒; 蒸馏饮料; 白酒; 食用酒精; 餐后酒（利口酒和烈酒）; 白兰地 查看详细信息</t>
  </si>
  <si>
    <t>山东帝豪酒业有限公司</t>
  </si>
  <si>
    <t>帝豪</t>
  </si>
  <si>
    <t>米酒; 黄酒; 威士忌; 白酒; 葡萄酒; 老酒（中国蒸馏烈酒）; 烈酒（饮料）; 酒精饮料（啤酒除外）; 果酒（含酒精）; 白干酒（中国白酒） 查看详细信息</t>
  </si>
  <si>
    <t>玉林市九水文化传播有限公司</t>
  </si>
  <si>
    <t>篆城</t>
  </si>
  <si>
    <t>伏特加酒; 利口酒; 威士忌; 朗姆酒; 青稞酒; 白兰地; 白酒; 米酒; 葡萄酒; 杜松子酒 查看详细信息</t>
  </si>
  <si>
    <t>苏州太湖雪丝绸股份有限公司</t>
  </si>
  <si>
    <t>太湖雪 TAIHU SNOW</t>
  </si>
  <si>
    <t>白酒; 杨梅酒; 红葡萄酒; 含酒精水果饮料; 葡萄酒; 黄酒; 米酒; 果酒（含酒精）; 鸡尾酒; 酒精饮料（啤酒除外） 查看详细信息</t>
  </si>
  <si>
    <t>清蕴 清之蕴</t>
  </si>
  <si>
    <t>四川广汉金雁酒业有限公司</t>
  </si>
  <si>
    <t>剑雁星</t>
  </si>
  <si>
    <t>烧酒; 开胃酒; 白酒; 食用酒精; 蒸煮提取物（利口酒和烈酒）; 果酒（含酒精）; 酒精饮料原汁; 利口酒; 烈酒（饮料）; 蒸馏饮料 查看详细信息</t>
  </si>
  <si>
    <t>赖松涛</t>
  </si>
  <si>
    <t>恒致烧坊</t>
  </si>
  <si>
    <t>利口酒; 威士忌; 果酒（含酒精）; 烈酒（饮料）; 黄酒; 白酒; 米酒; 葡萄酒; 预先混合的酒精饮料（以啤酒为主的除外）; 烧酒 查看详细信息</t>
  </si>
  <si>
    <t>沁君竹</t>
  </si>
  <si>
    <t>白酒; 烧酒; 青稞酒; 黄酒; 米酒; 开胃酒; 鸡尾酒; 烈酒; 葡萄酒; 果酒（含酒精） 查看详细信息</t>
  </si>
  <si>
    <t>西宁市湟中区上新庄福源酒坊</t>
  </si>
  <si>
    <t>峚山林田</t>
  </si>
  <si>
    <t>果酒（含酒精）; 葡萄酒; 烈酒（饮料）; 酒精饮料原汁; 白酒; 烧酒; 汽酒; 青稞酒; 黄酒; 含水果酒精饮料 查看详细信息</t>
  </si>
  <si>
    <t>阿莱嘉乐</t>
  </si>
  <si>
    <t>葡萄酒; 加烈葡萄酒; 红葡萄酒; 甜果酒; 酒精饮料（啤酒除外）; 果酒; 佐餐酒; 不起泡葡萄酒; 含水果酒精饮料 查看详细信息</t>
  </si>
  <si>
    <t>江苏泓正印刷包装科技有限公司</t>
  </si>
  <si>
    <t>KVUI</t>
  </si>
  <si>
    <t>果酒（含酒精）; 蒸馏饮料; 苹果酒; 葡萄酒; 清酒（日本米酒）; 烧酒; 汽酒; 黄酒; 米酒; 烈酒（饮料） 查看详细信息</t>
  </si>
  <si>
    <t>河南臻天下实业有限公司</t>
  </si>
  <si>
    <t>臻洧</t>
  </si>
  <si>
    <t>白酒; 葡萄酒; 含水果酒精饮料; 米酒; 高粱酒; 烧酒; 黄酒; 甜酒; 果酒; 预先混合的酒精饮料（以啤酒为主的除外） 查看详细信息</t>
  </si>
  <si>
    <t>波吕斐摩斯</t>
  </si>
  <si>
    <t>葡萄酒; 酒精饮料（啤酒除外）; 不起泡葡萄酒; 佐餐酒; 白葡萄酒; 红葡萄酒; 桃红葡萄酒; 含水果酒精饮料; 果酒; 加烈葡萄酒 查看详细信息</t>
  </si>
  <si>
    <t>福建省欧米投资有限公司</t>
  </si>
  <si>
    <t>OMI</t>
  </si>
  <si>
    <t>葡萄酒; 烧酒; 伏特加酒; 鸡尾酒; 威士忌; 黄酒; 果酒; 米酒; 含水果酒精饮料; 白兰地 查看详细信息</t>
  </si>
  <si>
    <t>安徽本森堂生物科技有限公司</t>
  </si>
  <si>
    <t>森活加</t>
  </si>
  <si>
    <t>果酒（含酒精）; 酒精饮料原汁; 酒精饮料浓缩汁; 含水果酒精饮料; 薄荷酒; 朗姆酒; 除啤酒外的酒精饮料; 含酒精的气泡水; 白酒; 米酒 查看详细信息</t>
  </si>
  <si>
    <t>范玮</t>
  </si>
  <si>
    <t>玫忘</t>
  </si>
  <si>
    <t>青稞酒; 酒精饮料（啤酒除外）; 谷物制蒸馏酒精饮料; 蜂蜜酒; 朝鲜烧酒; 米酒; 白酒; 烧酒; 烈酒（饮料）; 苦味酒 查看详细信息</t>
  </si>
  <si>
    <t>伊堡西龙</t>
  </si>
  <si>
    <t>重庆高老九餐饮文化有限公司</t>
  </si>
  <si>
    <t>雄帝和</t>
  </si>
  <si>
    <t>葡萄酒; 烈酒（饮料）; 白兰地; 含水果酒精饮料; 白酒; 谷物制蒸馏酒精饮料; 烧酒; 黄酒; 食用酒精; 米酒 查看详细信息</t>
  </si>
  <si>
    <t>广州立辰纸品包装有限公司</t>
  </si>
  <si>
    <t>岸见</t>
  </si>
  <si>
    <t>白酒; 含酒精的气泡水; 老酒（中国蒸馏烈酒）; 果酒; 黄酒; 葡萄酒; 酒精饮料（啤酒除外）; 鸡尾酒; 米酒; 烧酒（烈酒） 查看详细信息</t>
  </si>
  <si>
    <t>浙江方格药业有限公司</t>
  </si>
  <si>
    <t>庆余芝府</t>
  </si>
  <si>
    <t>浙江台升酒业销售有限公司</t>
  </si>
  <si>
    <t>湘船</t>
  </si>
  <si>
    <t>葡萄酒; 利口酒; 烈酒（饮料）; 清酒（日本米酒）; 白酒; 烧酒; 蒸煮提取物（利口酒和烈酒）; 黄酒; 食用酒精; 酒精饮料浓缩汁 查看详细信息</t>
  </si>
  <si>
    <t>保定市玖泽商贸有限公司</t>
  </si>
  <si>
    <t>年份保府</t>
  </si>
  <si>
    <t>鸡尾酒; 开胃酒; 黄酒; 白酒; 酒精饮料（啤酒除外）; 烧酒; 食用酒精; 酒精饮料浓缩汁; 酒精饮料原汁; 葡萄酒 查看详细信息</t>
  </si>
  <si>
    <t>淮酒老寿星</t>
  </si>
  <si>
    <t>白酒; 烈酒; 高粱酒; 老酒（中国蒸馏烈酒）; 谷物制蒸馏酒精饮料; 烧酒; 果酒（含酒精）; 烈酒（饮料）; 清酒（日本米酒）; 食用酒精 查看详细信息</t>
  </si>
  <si>
    <t>广东十三行科技产业有限公司</t>
  </si>
  <si>
    <t>日东十三行</t>
  </si>
  <si>
    <t>白兰地; 烈酒（饮料）; 威士忌; 米酒; 葡萄酒; 佐餐酒; 甜酒; 白酒; 果酒（含酒精）; 汽酒 查看详细信息</t>
  </si>
  <si>
    <t>四川运来登贸易有限责任公司</t>
  </si>
  <si>
    <t>维克兰</t>
  </si>
  <si>
    <t>果酒（含酒精）; 葡萄酒; 白兰地; 清酒（日本米酒）; 以葡萄酒为主的饮料; 米酒; 朗姆酒; 黄酒; 白酒; 酒精饮料（啤酒除外） 查看详细信息</t>
  </si>
  <si>
    <t>白酒; 红葡萄酒; 鸡尾酒; 朗姆酒; 白兰地; 威士忌; 葡萄酒; 果酒（含酒精）; 起泡红葡萄酒; 伏特加酒 查看详细信息</t>
  </si>
  <si>
    <t>贵州国昀酒业有限公司</t>
  </si>
  <si>
    <t>贵为成</t>
  </si>
  <si>
    <t>果酒（含酒精）; 利口酒; 酒精饮料原汁; 米酒; 鸡尾酒; 汽酒; 黄酒; 白酒; 烧酒（烈酒）; 烧酒 查看详细信息</t>
  </si>
  <si>
    <t>黔家美</t>
  </si>
  <si>
    <t>宁夏蓝赛葡萄酒业有限公司</t>
  </si>
  <si>
    <t>蓝赛佳音</t>
  </si>
  <si>
    <t>酒精饮料浓缩汁; 葡萄酒; 威士忌; 梨酒; 樱桃酒; 蜂蜜酒; 白兰地; 酒精饮料原汁; 含水果酒精饮料; 预先混合的酒精饮料（以啤酒为主的除外） 查看详细信息</t>
  </si>
  <si>
    <t>赣州蓉江新区潭东镇大公鸡酒庄营业部</t>
  </si>
  <si>
    <t>玉贵沙</t>
  </si>
  <si>
    <t>薄荷酒; 米酒; 朗姆酒; 果酒（含酒精）; 白酒; 葡萄酒; 威士忌; 伏特加酒; 鸡尾酒; 白兰地 查看详细信息</t>
  </si>
  <si>
    <t>丝娱纳</t>
  </si>
  <si>
    <t>不起泡葡萄酒; 果酒（含酒精）; 葡萄酒; 烈酒（饮料）; 白葡萄酒; 以葡萄酒为主的饮料; 加烈葡萄酒; 含水果酒精饮料; 蒸馏饮料; 酒精饮料（啤酒除外） 查看详细信息</t>
  </si>
  <si>
    <t>冯明明</t>
  </si>
  <si>
    <t>斟德</t>
  </si>
  <si>
    <t>白酒; 老酒（中国蒸馏烈酒）; 白干酒（中国白酒）; 蒸馏米酒（泡盛酒）; 酒精饮料原汁; 伏特加酒; 谷物制蒸馏酒精饮料; 青稞酒; 黄酒; 开胃酒 查看详细信息</t>
  </si>
  <si>
    <t>贵州山河酒业有限公司</t>
  </si>
  <si>
    <t>山河日月光华</t>
  </si>
  <si>
    <t>白酒; 由谷物蒸馏的白酒; 白干酒（中国白酒）; 含酒精水果饮料; 烧酒（烈酒）; 甜酒; 果酒; 已调味的蒸馏酒; 高粱酒; 烈酒 查看详细信息</t>
  </si>
  <si>
    <t>郑德兵</t>
  </si>
  <si>
    <t>佬兄长</t>
  </si>
  <si>
    <t>黄酒; 白酒; 开胃酒; 清酒（日本米酒）; 果酒（含酒精）; 烈酒; 酒精饮料（啤酒除外）; 鸡尾酒; 葡萄酒; 威士忌 查看详细信息</t>
  </si>
  <si>
    <t>田思宇</t>
  </si>
  <si>
    <t>金宴天下</t>
  </si>
  <si>
    <t>老酒（中国蒸馏烈酒）; 白酒; 高粱酒; 果酒; 由谷物蒸馏的白酒; 白干酒（中国白酒）; 已调味的蒸馏酒; 烧酒（烈酒）; 酒精饮料（啤酒除外）; 含酒精的饮料（啤酒除外） 查看详细信息</t>
  </si>
  <si>
    <t>圆通资本有限公司</t>
  </si>
  <si>
    <t>贶世</t>
  </si>
  <si>
    <t>葡萄酒; 果酒（含酒精）; 白酒; 酒精饮料（啤酒除外）; 白兰地; 米酒; 鸡尾酒; 伏特加酒; 威士忌; 黄酒 查看详细信息</t>
  </si>
  <si>
    <t>深圳市麦迪姆斯酒业有限公司</t>
  </si>
  <si>
    <t>狄瓦伮</t>
  </si>
  <si>
    <t>果酒（含酒精）; 鸡尾酒; 葡萄酒; 利口酒; 白酒; 威士忌; 酒精饮料（啤酒除外）; 烈酒（饮料）; 汽酒; 白兰地 查看详细信息</t>
  </si>
  <si>
    <t>河南君药药业有限公司</t>
  </si>
  <si>
    <t>纽君寿</t>
  </si>
  <si>
    <t>白酒; 葡萄酒; 烧酒; 黄酒; 果酒; 清酒; 酒精饮料（啤酒除外）; 米酒; 食用酒精; 蒸馏饮料 查看详细信息</t>
  </si>
  <si>
    <t>王毅</t>
  </si>
  <si>
    <t>星锵</t>
  </si>
  <si>
    <t>白酒; 米酒; 威士忌; 鸡尾酒; 酒精饮料（啤酒除外）; 清酒（日本米酒）; 葡萄酒; 白兰地; 利口酒; 果酒（含酒精） 查看详细信息</t>
  </si>
  <si>
    <t>向继焜422802********6836</t>
  </si>
  <si>
    <t>半边钦</t>
  </si>
  <si>
    <t>果酒（含酒精）; 鸡尾酒; 葡萄酒; 烈酒（饮料）; 白兰地; 酒精饮料（啤酒除外）; 伏特加酒; 白酒; 黄酒; 烧酒 查看详细信息</t>
  </si>
  <si>
    <t>临沂市兰陵坤元酒业有限公司</t>
  </si>
  <si>
    <t>薯来乐</t>
  </si>
  <si>
    <t>葡萄酒; 米酒; 白酒; 黄酒; 甜酒; 果酒; 酒精饮料（啤酒除外）; 汽酒; 烈酒; 烧酒 查看详细信息</t>
  </si>
  <si>
    <t>辽宁小春天酒业有限公司</t>
  </si>
  <si>
    <t>XIAO CHUN TIAN</t>
  </si>
  <si>
    <t>烧酒; 果酒（含酒精）; 鸡尾酒; 葡萄酒; 谷物制蒸馏酒精饮料; 白兰地; 威士忌; 含水果酒精饮料; 米酒; 蜂蜜酒 查看详细信息</t>
  </si>
  <si>
    <t>拓跋北魏</t>
  </si>
  <si>
    <t>果酒（含酒精）; 开胃酒; 烧酒; 烈酒（饮料）; 白酒; 黄酒; 酒精饮料（啤酒除外）; 米酒; 青稞酒; 蒸馏饮料 查看详细信息</t>
  </si>
  <si>
    <t>浙江大风车教育装备有限公司</t>
  </si>
  <si>
    <t>姚乡梅红</t>
  </si>
  <si>
    <t>酒精饮料（啤酒除外）; 烈酒（饮料）; 杨梅酒; 梨酒; 白兰地; 黄酒; 葡萄酒; 食用酒精; 伏特加酒; 烧酒 查看详细信息</t>
  </si>
  <si>
    <t>高程林</t>
  </si>
  <si>
    <t>龙须虎</t>
  </si>
  <si>
    <t>果酒（含酒精）; 葡萄酒; 酒精饮料（啤酒除外）; 米酒; 食用酒精; 白酒; 甜酒; 露酒; 黄酒; 烧酒 查看详细信息</t>
  </si>
  <si>
    <t>山东祥康酒业有限公司</t>
  </si>
  <si>
    <t>宽惑</t>
  </si>
  <si>
    <t>白酒; 黄酒; 果酒; 烈酒; 甜酒; 米酒; 烧酒; 葡萄酒; 威士忌; 白兰地; 含酒精的饮料（啤酒除外） 查看详细信息</t>
  </si>
  <si>
    <t>厦门惠和成国际贸易有限公司</t>
  </si>
  <si>
    <t>天尊天玺·青龙</t>
  </si>
  <si>
    <t>除啤酒外的酒精饮料; 白酒; 开胃酒; 鸡尾酒; 米酒; 烧酒; 果酒（含酒精）; 白兰地; 葡萄酒; 威士忌 查看详细信息</t>
  </si>
  <si>
    <t>陈李笑璇370102********2526</t>
  </si>
  <si>
    <t>ANSANPANG</t>
  </si>
  <si>
    <t>果酒（含酒精）; 开胃酒; 烈酒（饮料）; 含水果酒精饮料; 葡萄酒; 鸡尾酒; 酒精饮料（啤酒除外）; 米酒; 谷物制蒸馏酒精饮料; 白酒 查看详细信息</t>
  </si>
  <si>
    <t>康宝宝</t>
  </si>
  <si>
    <t>杏满红</t>
  </si>
  <si>
    <t>白酒; 酒精饮料（啤酒除外）; 葡萄酒; 烧酒; 含水果酒精饮料; 米酒; 清酒（日本米酒）; 果酒（含酒精）; 蜂蜜酒; 鸡尾酒 查看详细信息</t>
  </si>
  <si>
    <t>邯郸市峰峰矿区熙雅香醋有限公司</t>
  </si>
  <si>
    <t>帝邯</t>
  </si>
  <si>
    <t>红葡萄酒; 果酒（含酒精）; 米酒; 黄酒; 白酒; 白葡萄酒; 食用酒精; 谷物制蒸馏酒精饮料; 含酒精水果饮料; 烧酒 查看详细信息</t>
  </si>
  <si>
    <t>鲁茸此里</t>
  </si>
  <si>
    <t>阁如岁萨</t>
  </si>
  <si>
    <t>白葡萄酒; 红葡萄酒; 青稞酒; 朗姆酒; 烈酒; 葡萄酒; 果酒; 酒精饮料（啤酒除外）; 威士忌; 白酒 查看详细信息</t>
  </si>
  <si>
    <t>陈汝增</t>
  </si>
  <si>
    <t>瑰养堂</t>
  </si>
  <si>
    <t>宁波开蓝文化发展有限公司</t>
  </si>
  <si>
    <t>剡溪尚</t>
  </si>
  <si>
    <t>果酒（含酒精）; 黄酒; 白兰地; 清酒（日本米酒）; 米酒; 预先混合的酒精饮料（以啤酒为主的除外）; 烧酒; 果酒; 高粱酒; 以葡萄酒为主的开胃酒; 烈酒; 老酒（中国蒸馏烈酒）; 五加皮酒（中国混合烈酒）; 由谷物蒸馏的白酒; 烈酒（饮料） 查看详细信息</t>
  </si>
  <si>
    <t>成都市新津绿世界食品有限公司</t>
  </si>
  <si>
    <t>果酒（含酒精）; 开胃酒; 米酒; 谷物制蒸馏酒精饮料; 佐餐酒; 烧酒（烈酒）; 由谷物蒸馏的白酒; 除啤酒外的酒精饮料; 含酒精的饮料（啤酒除外）; 白酒 查看详细信息</t>
  </si>
  <si>
    <t>儒家美</t>
  </si>
  <si>
    <t>葡萄酒; 梨酒; 清酒（日本米酒）; 黄酒; 烧酒; 米酒; 白酒; 开胃酒; 青稞酒; 利口酒 查看详细信息</t>
  </si>
  <si>
    <t>海南金砖天下酒庄有限公司</t>
  </si>
  <si>
    <t>邢明月</t>
  </si>
  <si>
    <t>白酒; 葡萄酒; 果酒（含酒精）; 米酒; 蒸馏饮料; 烧酒; 黄酒; 鸡尾酒; 烈酒（饮料）; 酒精饮料（啤酒除外） 查看详细信息</t>
  </si>
  <si>
    <t>贵州省应樽酒厂有限责任公司</t>
  </si>
  <si>
    <t>君和应樽</t>
  </si>
  <si>
    <t>老酒（中国蒸馏烈酒）; 白干酒（中国白酒）; 谷物制蒸馏酒精饮料; 由谷物蒸馏的白酒; 白酒; 烈酒; 烧酒; 利口酒; 白兰地; 高粱酒 查看详细信息</t>
  </si>
  <si>
    <t>湖南旅游发展有限责任公司</t>
  </si>
  <si>
    <t>橘洲阳光</t>
  </si>
  <si>
    <t>白酒; 果酒（含酒精）; 鸡尾酒; 蒸煮提取物（利口酒和烈酒）; 利口酒; 威士忌; 酒精饮料（啤酒除外）; 米酒; 烈酒（饮料）; 葡萄酒 查看详细信息</t>
  </si>
  <si>
    <t>恩倍罗吉</t>
  </si>
  <si>
    <t>葡萄酒; 酒精饮料（啤酒除外）; 加烈葡萄酒; 红葡萄酒; 不起泡葡萄酒; 含水果酒精饮料; 果酒; 白葡萄酒; 佐餐酒; 桃红葡萄酒 查看详细信息</t>
  </si>
  <si>
    <t>威海市松源葡萄酒有限公司</t>
  </si>
  <si>
    <t>龙潆</t>
  </si>
  <si>
    <t>葡萄酒; 白兰地; 威士忌; 蒸馏饮料; 酒精饮料原汁; 酒精饮料（啤酒除外）; 清酒（日本米酒）; 白酒; 烈酒（饮料）; 果酒（含酒精） 查看详细信息</t>
  </si>
  <si>
    <t>鸿流科技（深圳）有限公司</t>
  </si>
  <si>
    <t>鸿衍通宝</t>
  </si>
  <si>
    <t>白酒; 蜂蜜酒; 酒精饮料（啤酒除外）; 米酒; 葡萄酒; 黄酒; 果酒（含酒精）; 蒸馏饮料; 鸡尾酒; 烧酒 查看详细信息</t>
  </si>
  <si>
    <t>帝亚缇诺</t>
  </si>
  <si>
    <t>利口酒; 白兰地; 威士忌; 酒精饮料（啤酒除外）; 葡萄酒; 汽酒; 白酒; 果酒（含酒精）; 鸡尾酒; 烈酒（饮料） 查看详细信息</t>
  </si>
  <si>
    <t>迪雷诺</t>
  </si>
  <si>
    <t>酒精饮料（啤酒除外）; 烈酒（饮料）; 汽酒; 白酒; 威士忌; 鸡尾酒; 葡萄酒; 利口酒; 白兰地; 果酒（含酒精） 查看详细信息</t>
  </si>
  <si>
    <t>四川拾意酒业有限公司</t>
  </si>
  <si>
    <t>拾意</t>
  </si>
  <si>
    <t>青稞酒; 烧酒; 酒精饮料原汁; 含水果酒精饮料; 白酒; 果酒（含酒精）; 烈酒（饮料）; 酒精饮料（啤酒除外）; 黄酒; 米酒 查看详细信息</t>
  </si>
  <si>
    <t>湖北药王生物科技有限公司</t>
  </si>
  <si>
    <t>保康灵</t>
  </si>
  <si>
    <t>酒精饮料（啤酒除外）; 果酒（含酒精）; 葡萄酒; 米酒; 鸡尾酒; 黄酒; 威士忌; 酒精饮料浓缩汁; 朗姆酒; 含酒精的气泡水 查看详细信息</t>
  </si>
  <si>
    <t>乐尔悠馨</t>
  </si>
  <si>
    <t>酒精饮料（啤酒除外）; 以葡萄酒为主的饮料; 果酒（含酒精）; 红葡萄酒; 含水果酒精饮料; 桃红葡萄酒; 白葡萄酒; 加烈葡萄酒; 葡萄酒; 烈酒（饮料） 查看详细信息</t>
  </si>
  <si>
    <t>青岛瀚生地坪装饰工程有限公司</t>
  </si>
  <si>
    <t>父爱荣</t>
  </si>
  <si>
    <t>威士忌; 果酒（含酒精）; 烧酒; 白酒; 清酒; 葡萄酒; 酒精饮料（啤酒除外）; 鸡尾酒; 黄酒; 米酒 查看详细信息</t>
  </si>
  <si>
    <t>重庆贵耕农副产品有限公司</t>
  </si>
  <si>
    <t>耕耘稼</t>
  </si>
  <si>
    <t>果酒（含酒精）; 烈酒（饮料）; 米酒; 白酒; 谷物制蒸馏酒精饮料; 烧酒; 预先混合的酒精饮料（以啤酒为主的除外）; 开胃酒; 葡萄酒; 黄酒 查看详细信息</t>
  </si>
  <si>
    <t>微然企业管理(海南)有限公司</t>
  </si>
  <si>
    <t>溦然</t>
  </si>
  <si>
    <t>烧酒; 果酒（含酒精）; 鸡尾酒; 葡萄酒; 白酒; 烈酒; 威士忌; 米酒; 酒精饮料（啤酒除外）; 蒸馏饮料 查看详细信息</t>
  </si>
  <si>
    <t>神农架生态酒业有限公司</t>
  </si>
  <si>
    <t>神农架幽谷</t>
  </si>
  <si>
    <t>蒸煮提取物（利口酒和烈酒）; 葡萄酒; 烈酒（饮料）; 威士忌; 黄酒; 酒精饮料（啤酒除外）; 米酒; 白酒; 汽酒; 酒精饮料原汁 查看详细信息</t>
  </si>
  <si>
    <t>冯俊杰</t>
  </si>
  <si>
    <t>AYW</t>
  </si>
  <si>
    <t>朗姆酒; 汽酒; 利口酒; 白兰地; 鸡尾酒; 含水果酒精饮料; 米酒; 果酒（含酒精）; 苹果酒; 威士忌 查看详细信息</t>
  </si>
  <si>
    <t>四川仙聚府酒业有限公司</t>
  </si>
  <si>
    <t>仙令</t>
  </si>
  <si>
    <t>果酒（含酒精）; 烈酒（饮料）; 黄酒; 威士忌; 白酒; 烧酒; 果酒; 葡萄酒; 伏特加酒; 米酒 查看详细信息</t>
  </si>
  <si>
    <t>周春林</t>
  </si>
  <si>
    <t>醉东极</t>
  </si>
  <si>
    <t>茴芹酒（利口酒）; 开胃酒; 清酒（日本米酒）; 烈酒; 黄酒; 白酒; 米酒; 蒸馏饮料; 酒精饮料浓缩汁; 烧酒 查看详细信息</t>
  </si>
  <si>
    <t>景宁若水茗心农旅开发有限公司</t>
  </si>
  <si>
    <t>阿佳姥</t>
  </si>
  <si>
    <t>果酒（含酒精）; 烧酒; 米酒; 黄酒; 清酒; 葡萄酒; 食用酒精; 烈酒（饮料）; 酒精饮料（啤酒除外）; 白酒 查看详细信息</t>
  </si>
  <si>
    <t>滕王阁建工集团股份有限公司</t>
  </si>
  <si>
    <t>鼎坊</t>
  </si>
  <si>
    <t>白酒; 米酒; 黄酒; 烧酒; 伏特加酒; 鸡尾酒; 葡萄酒; 白兰地; 威士忌; 汽酒 查看详细信息</t>
  </si>
  <si>
    <t>上海怡心小驻实业有限公司</t>
  </si>
  <si>
    <t>小驻摊头</t>
  </si>
  <si>
    <t>葡萄酒; 威士忌; 含酒精的充气饮料（啤酒除外）; 白酒; 鸡尾酒; 米酒; 酒精饮料（啤酒除外）; 果酒（含酒精）; 含水果酒精饮料; 朗姆酒 查看详细信息</t>
  </si>
  <si>
    <t>安徽山里见餐饮管理有限公司</t>
  </si>
  <si>
    <t>礼荷</t>
  </si>
  <si>
    <t>烧酒; 葡萄酒; 白酒; 果酒（含酒精）; 酒精饮料（啤酒除外）; 亚力酒; 利口酒; 苹果酒; 清酒（日本米酒）; 开胃酒 查看详细信息</t>
  </si>
  <si>
    <t>濮阳县乐佳商贸有限公司</t>
  </si>
  <si>
    <t>无者迎清花</t>
  </si>
  <si>
    <t>果酒（含酒精）; 葡萄酒; 利口酒; 米酒; 果酒; 清酒; 烧酒; 白酒; 高粱酒; 白干酒（中国白酒） 查看详细信息</t>
  </si>
  <si>
    <t>黎伟</t>
  </si>
  <si>
    <t>求往</t>
  </si>
  <si>
    <t>葡萄酒; 白酒; 蒸馏饮料; 米酒; 含水果酒精饮料; 果酒（含酒精）; 烈酒（饮料）; 蒸煮提取物（利口酒和烈酒）; 黄酒; 酒精饮料原汁 查看详细信息</t>
  </si>
  <si>
    <t>厚道鲁商（天津）科技有限公司</t>
  </si>
  <si>
    <t>蚂蚁云集</t>
  </si>
  <si>
    <t>烧酒; 黄酒; 葡萄酒; 果酒; 威士忌; 鸡尾酒; 开胃酒; 清酒; 米酒; 含酒精的饮料（啤酒除外） 查看详细信息</t>
  </si>
  <si>
    <t>里永酒庄有限责任公司</t>
  </si>
  <si>
    <t>DUC DE VIGNY</t>
  </si>
  <si>
    <t>开胃酒; 果酒; 烈酒（饮料）; 鸡尾酒; 苹果酒; 葡萄酒; 酒精饮料（啤酒除外）; 酸酒（低等葡萄酒）; 白兰地; 利口酒 查看详细信息</t>
  </si>
  <si>
    <t>南京产学研技术创新促进有限公司</t>
  </si>
  <si>
    <t>斯蓝特</t>
  </si>
  <si>
    <t>果酒（含酒精）; 开胃酒; 葡萄酒; 白兰地; 蒸煮提取物（利口酒和烈酒）; 威士忌; 酒精饮料（啤酒除外）; 预先混合的酒精饮料（以啤酒为主的除外）; 汽酒; 酸酒（低等葡萄酒） 查看详细信息</t>
  </si>
  <si>
    <t>黄强</t>
  </si>
  <si>
    <t>嗨喽蛙</t>
  </si>
  <si>
    <t>葡萄酒; 米酒; 清酒（日本米酒）; 威士忌; 白酒; 鸡尾酒; 酒精饮料（啤酒除外）; 烈酒（饮料）; 酒精饮料原汁; 伏特加酒 查看详细信息</t>
  </si>
  <si>
    <t>神府芳生物科技（沧州）有限公司</t>
  </si>
  <si>
    <t>聃品</t>
  </si>
  <si>
    <t>酒精饮料（啤酒除外）; 白酒; 黄酒; 果酒; 蒸馏饮料; 米酒; 清酒; 葡萄酒; 开胃酒; 烧酒 查看详细信息</t>
  </si>
  <si>
    <t>石家庄杏润商贸有限公司</t>
  </si>
  <si>
    <t>杏悦福</t>
  </si>
  <si>
    <t>白酒; 果酒（含酒精）; 开胃酒; 鸡尾酒; 烈酒（饮料）; 酒精饮料（啤酒除外）; 米酒; 黄酒; 烧酒; 葡萄酒 查看详细信息</t>
  </si>
  <si>
    <t>深圳市一方酒阁贸易有限公司</t>
  </si>
  <si>
    <t>威士忌; 含水果酒精饮料; 白酒; 烈酒（饮料）; 葡萄酒; 以葡萄酒为主的饮料; 果酒（含酒精）; 清酒（日本米酒）; 酸酒（低等葡萄酒）; 白兰地 查看详细信息</t>
  </si>
  <si>
    <t>高天奇</t>
  </si>
  <si>
    <t>威士忌; 开胃酒; 果酒（含酒精）; 烧酒; 黄酒; 葡萄酒; 蒸煮提取物（利口酒和烈酒）; 酒精饮料原汁; 食用酒精; 白酒 查看详细信息</t>
  </si>
  <si>
    <t>求银</t>
  </si>
  <si>
    <t>蒸煮提取物（利口酒和烈酒）; 葡萄酒; 白酒; 蒸馏饮料; 黄酒; 酒精饮料原汁; 果酒（含酒精）; 烈酒（饮料）; 含水果酒精饮料; 米酒 查看详细信息</t>
  </si>
  <si>
    <t>叶美林</t>
  </si>
  <si>
    <t>苗多彩</t>
  </si>
  <si>
    <t>烧酒; 含酒精的气泡水; 果酒; 含水果酒精饮料; 果酒（含酒精）; 白酒; 鸡尾酒; 葡萄酒; 甜酒; 米酒 查看详细信息</t>
  </si>
  <si>
    <t>贵州南汉酒业（集团）有限公司</t>
  </si>
  <si>
    <t>南汉</t>
  </si>
  <si>
    <t>老酒（中国蒸馏烈酒）; 烈酒（饮料）; 烈酒; 高粱酒; 葡萄酒; 白干酒（中国白酒）; 白酒; 果酒; 酒精饮料（啤酒除外）; 鸡尾酒 查看详细信息</t>
  </si>
  <si>
    <t>邮快乐</t>
  </si>
  <si>
    <t>酸奶; 奶饮料（以奶为主）; 奶制品; 酸牛奶; 豆浆; 奶; 奶酪; 乳酸饮料; 奶茶（以奶为主）; 米浆 查看详细信息</t>
  </si>
  <si>
    <t>广西凭祥金龟酒制造厂（普通合伙）</t>
  </si>
  <si>
    <t>祥丰金龟</t>
  </si>
  <si>
    <t>果酒（含酒精）; 蒸馏饮料; 鸡尾酒; 蒸煮提取物（利口酒和烈酒）; 酒精饮料（啤酒除外）; 由谷物蒸馏的白酒; 黄酒; 酒精饮料原汁; 酒精饮料浓缩汁; 葡萄酒 查看详细信息</t>
  </si>
  <si>
    <t>江苏汉橙环境工程有限公司</t>
  </si>
  <si>
    <t>皇琲老</t>
  </si>
  <si>
    <t>葡萄酒; 白酒; 米酒; 清酒（日本米酒）; 由谷物蒸馏的白酒; 鸡尾酒; 酒精饮料（啤酒除外）; 含水果酒精饮料; 烧酒; 果酒（含酒精） 查看详细信息</t>
  </si>
  <si>
    <t>雷允上药业集团有限公司</t>
  </si>
  <si>
    <t>蝮蛇酒; 草莓酒; 酒精饮料（啤酒除外）; 黄酒; 米酒; 含水果酒精饮料; 葡萄酒; 烧酒; 白兰地; 蜂蜜酒 查看详细信息</t>
  </si>
  <si>
    <t>贵阳康养职业大学</t>
  </si>
  <si>
    <t>贵康大特食研</t>
  </si>
  <si>
    <t>果酒（含酒精）; 烈酒（饮料）; 酒精饮料（啤酒除外）; 含水果酒精饮料; 含酒精的水果鸡尾酒饮料; 果酒; 甜果酒; 除啤酒外的酒精饮料; 含酒精水果饮料; 白酒 查看详细信息</t>
  </si>
  <si>
    <t>贵州珍沙窖酿酒有限公司</t>
  </si>
  <si>
    <t>紫陶氿 紫陶氿坊</t>
  </si>
  <si>
    <t>果酒（含酒精）; 鸡尾酒; 葡萄酒; 白兰地; 白酒; 酒精饮料（啤酒除外）; 伏特加酒; 烧酒; 食用酒精; 清酒（日本米酒） 查看详细信息</t>
  </si>
  <si>
    <t>贵州大昌农酒业（集团）有限公司</t>
  </si>
  <si>
    <t>黔三坛</t>
  </si>
  <si>
    <t>开胃酒; 葡萄酒; 清酒（日本米酒）; 酒精饮料（啤酒除外）; 蒸煮提取物（利口酒和烈酒）; 烧酒; 黄酒; 白酒; 果酒; 米酒 查看详细信息</t>
  </si>
  <si>
    <t>安徽裕泽邦医药科技有限公司</t>
  </si>
  <si>
    <t>新元济生</t>
  </si>
  <si>
    <t>开胃酒; 烧酒; 黄酒; 甜酒; 葡萄酒; 鸡尾酒; 白酒; 果酒（含酒精）; 酒精饮料（啤酒除外）; 米酒 查看详细信息</t>
  </si>
  <si>
    <t>神府芳</t>
  </si>
  <si>
    <t>蒸馏饮料; 开胃酒; 酒精饮料（啤酒除外）; 白酒; 葡萄酒; 果酒; 烧酒; 米酒; 清酒; 黄酒 查看详细信息</t>
  </si>
  <si>
    <t>罗忠国</t>
  </si>
  <si>
    <t>归乡情</t>
  </si>
  <si>
    <t>葡萄酒; 米酒; 清酒（日本米酒）; 黄酒; 白酒; 鸡尾酒; 酒精饮料（啤酒除外）; 烈酒（饮料）; 酒精饮料原汁; 伏特加酒 查看详细信息</t>
  </si>
  <si>
    <t>刘为军</t>
  </si>
  <si>
    <t>晋井亭</t>
  </si>
  <si>
    <t>威士忌; 开胃酒; 果酒（含酒精）; 清酒; 黄酒; 白酒; 葡萄酒; 酒精饮料（啤酒除外）; 鸡尾酒; 烈酒 查看详细信息</t>
  </si>
  <si>
    <t>青岛洋湾实业有限公司</t>
  </si>
  <si>
    <t>BLESSING MOOSE</t>
  </si>
  <si>
    <t>白酒; 烧酒; 米酒; 葡萄酒; 利口酒; 开胃酒; 烈酒（饮料）; 黄酒; 鸡尾酒; 蜂蜜酒 查看详细信息</t>
  </si>
  <si>
    <t>张洪明</t>
  </si>
  <si>
    <t>澜明之</t>
  </si>
  <si>
    <t>白酒; 白干酒（中国白酒）; 老酒（中国蒸馏烈酒）; 烧酒; 果酒（含酒精）; 葡萄酒; 五加皮酒（中国混合烈酒）; 清酒（日本米酒）; 米酒; 烈酒（饮料） 查看详细信息</t>
  </si>
  <si>
    <t>宋凌云</t>
  </si>
  <si>
    <t>晋权年份</t>
  </si>
  <si>
    <t>果酒（含酒精）; 开胃酒; 葡萄酒; 烈酒（饮料）; 伏特加酒; 酒精饮料（啤酒除外）; 含水果酒精饮料; 米酒; 白酒; 清酒（日本米酒） 查看详细信息</t>
  </si>
  <si>
    <t>谢安帮</t>
  </si>
  <si>
    <t>玉水龙腾</t>
  </si>
  <si>
    <t>汽酒; 黄酒; 酒精饮料（啤酒除外）; 果酒（含酒精）; 开胃酒; 葡萄酒; 烈酒（饮料）; 烧酒; 米酒; 白酒 查看详细信息</t>
  </si>
  <si>
    <t>聊城市登高物流有限公司</t>
  </si>
  <si>
    <t>聊邑一品鲜</t>
  </si>
  <si>
    <t>HAUT VIGNY</t>
  </si>
  <si>
    <t>利口酒; 开胃酒; 烈酒（饮料）; 白兰地; 鸡尾酒; 苹果酒; 葡萄酒; 酒精饮料（啤酒除外）; 酸酒（低等葡萄酒）; 果酒 查看详细信息</t>
  </si>
  <si>
    <t>长沙貘麟阁企业管理合伙企业（有限合伙）</t>
  </si>
  <si>
    <t>貘麟阁</t>
  </si>
  <si>
    <t>果酒（含酒精）; 开胃酒; 苹果酒; 利口酒; 鸡尾酒; 米酒; 朗姆酒; 含酒精的气泡水; 含酒精的鸡尾酒混合饮品; 酒精饮料（啤酒除外） 查看详细信息</t>
  </si>
  <si>
    <t>王晓军</t>
  </si>
  <si>
    <t>果酒; 含酒精的水果鸡尾酒饮料; 佐餐酒; 白酒; 食用酒精; 酒精饮料（啤酒除外）; 米酒; 预先混合的酒精饮料（以啤酒为主的除外）; 黄酒; 葡萄酒 查看详细信息</t>
  </si>
  <si>
    <t>琥琲</t>
  </si>
  <si>
    <t>米酒; 清酒（日本米酒）; 果酒（含酒精）; 鸡尾酒; 白酒; 含水果酒精饮料; 烧酒; 由谷物蒸馏的白酒; 葡萄酒; 酒精饮料（啤酒除外） 查看详细信息</t>
  </si>
  <si>
    <t>济宁牛莲长投资有限公司</t>
  </si>
  <si>
    <t>NLC</t>
  </si>
  <si>
    <t>果酒（含酒精）; 利口酒; 烈酒（饮料）; 酒精饮料原汁; 白酒; 米酒; 预先混合的酒精饮料（以啤酒为主的除外）; 谷物制蒸馏酒精饮料; 汽酒; 酒精饮料（啤酒除外） 查看详细信息</t>
  </si>
  <si>
    <t>CROIX DE MARSAN</t>
  </si>
  <si>
    <t>酒精饮料（啤酒除外）; 酸酒（低等葡萄酒）; 鸡尾酒; 利口酒; 葡萄酒; 果酒; 烈酒（饮料）; 白兰地; 苹果酒; 开胃酒 查看详细信息</t>
  </si>
  <si>
    <t>杨君敏</t>
  </si>
  <si>
    <t>CHOBYNER</t>
  </si>
  <si>
    <t>酒精饮料（啤酒除外）; 果酒（含酒精）; 开胃酒; 威士忌; 烧酒; 白酒; 食用酒精; 葡萄酒; 黄酒; 米酒 查看详细信息</t>
  </si>
  <si>
    <t>南宁叶海电子商贸有限公司</t>
  </si>
  <si>
    <t>水鱼哥公文包</t>
  </si>
  <si>
    <t>果酒（含酒精）; 汽酒; 烈酒（饮料）; 烧酒; 黄酒; 米酒; 葡萄酒; 酒精饮料原汁; 青稞酒; 白酒 查看详细信息</t>
  </si>
  <si>
    <t>贵州黔王匠王台酿酒有限公司</t>
  </si>
  <si>
    <t>黔王李先生</t>
  </si>
  <si>
    <t>蜂蜜酒; 清酒（日本米酒）; 黄酒; 白酒; 葡萄酒; 烧酒; 烈酒; 老酒（中国蒸馏烈酒）; 含水果酒精饮料; 酒精饮料（啤酒除外） 查看详细信息</t>
  </si>
  <si>
    <t>黄山市篁墩徽文化传播有限公司</t>
  </si>
  <si>
    <t>篁墩游子</t>
  </si>
  <si>
    <t>果酒（含酒精）; 鸡尾酒; 葡萄酒; 烈酒（饮料）; 白酒; 酒精饮料（啤酒除外）; 黄酒; 米酒; 烧酒; 清酒（日本米酒） 查看详细信息</t>
  </si>
  <si>
    <t>华山论剑品牌管理有限公司</t>
  </si>
  <si>
    <t>龙凤章</t>
  </si>
  <si>
    <t>黄酒; 果酒（含酒精）; 食用酒精; 开胃酒; 白酒; 烧酒（烈酒）; 酒精饮料原汁; 葡萄酒; 米酒; 烧酒 查看详细信息</t>
  </si>
  <si>
    <t>贵州上品御酿酒业有限公司</t>
  </si>
  <si>
    <t>诚信凤</t>
  </si>
  <si>
    <t>果酒（含酒精）; 蒸馏饮料; 葡萄酒; 米酒; 白酒; 开胃酒; 鸡尾酒; 威士忌; 烧酒（烈酒）; 青稞酒 查看详细信息</t>
  </si>
  <si>
    <t>重庆聆销网络科技有限公司</t>
  </si>
  <si>
    <t>李庄锦李</t>
  </si>
  <si>
    <t>白酒; 开胃酒; 葡萄酒; 谷物制蒸馏酒精饮料; 黄酒; 烈酒（饮料）; 米酒; 预先混合的酒精饮料（以啤酒为主的除外）; 烧酒; 果酒（含酒精） 查看详细信息</t>
  </si>
  <si>
    <t>贵州绎酱品牌管理有限公司</t>
  </si>
  <si>
    <t>粉色豹</t>
  </si>
  <si>
    <t>果酒（含酒精）; 烈酒（饮料）; 白酒; 米酒; 餐后酒（利口酒和烈酒）; 葡萄酒; 蒸馏饮料; 谷物制蒸馏酒精饮料; 露酒; 苹果酒 查看详细信息</t>
  </si>
  <si>
    <t>江苏尊荣文化传媒有限公司</t>
  </si>
  <si>
    <t>益卡思</t>
  </si>
  <si>
    <t>白兰地; 蒸煮提取物（利口酒和烈酒）; 烈酒（饮料）; 葡萄酒; 白酒; 青稞酒; 威士忌; 果酒（含酒精）; 酒精饮料原汁; 酒精饮料（啤酒除外） 查看详细信息</t>
  </si>
  <si>
    <t>内蒙古润跃酒业有限公司</t>
  </si>
  <si>
    <t>酉融</t>
  </si>
  <si>
    <t>白兰地; 利口酒; 白酒; 水果汽酒; 开胃酒; 米酒; 烧酒; 黄酒; 果酒（含酒精）; 朗姆酒 查看详细信息</t>
  </si>
  <si>
    <t>托索尼</t>
  </si>
  <si>
    <t>胡小莲</t>
  </si>
  <si>
    <t>河南宗盛酒业有限公司</t>
  </si>
  <si>
    <t>豫鸿顺</t>
  </si>
  <si>
    <t>烧酒; 汽酒; 烈酒（饮料）; 白酒; 果酒（含酒精）; 鸡尾酒; 葡萄酒; 黄酒; 酒精饮料（啤酒除外）; 预先混合的酒精饮料（以啤酒为主的除外） 查看详细信息</t>
  </si>
  <si>
    <t>四川省懂草堂保健食品集团股份公司</t>
  </si>
  <si>
    <t>懂草堂</t>
  </si>
  <si>
    <t>黄酒; 食用酒精; 酒精饮料（啤酒除外）; 葡萄酒; 苹果酒; 白酒; 烧酒; 果酒（含酒精）; 开胃酒; 米酒 查看详细信息</t>
  </si>
  <si>
    <t>吴奕波</t>
  </si>
  <si>
    <t>HZCP</t>
  </si>
  <si>
    <t>鸡尾酒; 葡萄酒; 酒精饮料（啤酒除外）; 朗姆酒; 果酒（含酒精）; 烈酒; 白兰地; 威士忌; 米酒; 白酒 查看详细信息</t>
  </si>
  <si>
    <t>高国慧</t>
  </si>
  <si>
    <t>康爱旺</t>
  </si>
  <si>
    <t>黄酒; 白酒; 果酒; 苦味酒; 酒精饮料（啤酒除外）; 米酒; 汽酒; 薄荷酒; 含酒精水果饮料; 清酒 查看详细信息</t>
  </si>
  <si>
    <t>谢秀珍</t>
  </si>
  <si>
    <t>寅龙图</t>
  </si>
  <si>
    <t>鸡尾酒; 烈酒; 清酒（日本米酒）; 酒精饮料（啤酒除外）; 葡萄酒; 黄酒; 果酒（含酒精）; 威士忌; 开胃酒; 白酒 查看详细信息</t>
  </si>
  <si>
    <t>古法御康（江苏）健康科技有限公司</t>
  </si>
  <si>
    <t>古御法康</t>
  </si>
  <si>
    <t>薄荷酒; 果酒（含酒精）; 鸡尾酒; 葡萄酒; 烧酒; 米酒; 汽酒; 青稞酒; 黄酒; 白酒 查看详细信息</t>
  </si>
  <si>
    <t>吴国富</t>
  </si>
  <si>
    <t>果酒（含酒精）; 果酒; 汽酒; 威士忌; 伏特加酒; 白酒; 葡萄酒; 酒精饮料（啤酒除外）; 鸡尾酒; 烧酒 查看详细信息</t>
  </si>
  <si>
    <t>卢邦洲</t>
  </si>
  <si>
    <t>潮之金</t>
  </si>
  <si>
    <t>果酒（含酒精）; 鸡尾酒; 利口酒; 酒精饮料原汁; 白酒; 含水果酒精饮料; 米酒; 烧酒; 食用酒精; 酒精饮料（啤酒除外） 查看详细信息</t>
  </si>
  <si>
    <t>广东黄飞鸿健康药业有限公司</t>
  </si>
  <si>
    <t>黄飞鸿&amp;黄源德</t>
  </si>
  <si>
    <t>酒精饮料（啤酒除外）; 开胃酒; 果酒（含酒精）; 烈酒（饮料）; 酒精饮料原汁; 白酒; 葡萄酒; 蒸馏饮料; 黄酒; 烧酒 查看详细信息</t>
  </si>
  <si>
    <t>杨远斌</t>
  </si>
  <si>
    <t>醉客佬玖</t>
  </si>
  <si>
    <t>苹果酒; 葡萄酒; 蒸馏饮料; 谷物制蒸馏酒精饮料; 米酒; 餐后酒（利口酒和烈酒）; 果酒（含酒精）; 烈酒（饮料）; 白酒; 露酒 查看详细信息</t>
  </si>
  <si>
    <t>王建海522528********0416</t>
  </si>
  <si>
    <t>花江峪谷情</t>
  </si>
  <si>
    <t>山西隩州酒业有限公司</t>
  </si>
  <si>
    <t>晋世宏</t>
  </si>
  <si>
    <t>露酒; 苦荞酒; 果酒; 开胃酒; 黄酒; 含酒精的充气饮料（啤酒除外）; 含水果酒精饮料; 利口酒; 白酒; 汽酒 查看详细信息</t>
  </si>
  <si>
    <t>哈玛投资（上海）有限公司</t>
  </si>
  <si>
    <t>碧酒归藏</t>
  </si>
  <si>
    <t>白酒; 烧酒; 米酒; 果酒（含酒精）; 酒精饮料（啤酒除外）; 汽酒; 烈酒（饮料）; 黄酒; 蒸馏饮料; 葡萄酒 查看详细信息</t>
  </si>
  <si>
    <t>四川金仁医药集团有限公司</t>
  </si>
  <si>
    <t>言伦道</t>
  </si>
  <si>
    <t>蒸馏饮料; 米酒; 果酒（含酒精）; 鸡尾酒; 开胃酒; 酒精饮料（啤酒除外）; 黄酒; 食用酒精; 白酒; 烈酒（饮料） 查看详细信息</t>
  </si>
  <si>
    <t>求印</t>
  </si>
  <si>
    <t>连平</t>
  </si>
  <si>
    <t>郷王台</t>
  </si>
  <si>
    <t>威士忌; 果酒（含酒精）; 烈酒（饮料）; 烧酒; 黄酒; 米酒; 葡萄酒; 蜂蜜酒; 酒精饮料（啤酒除外）; 白酒 查看详细信息</t>
  </si>
  <si>
    <t>内蒙古哈达建设集团农牧业有限公司</t>
  </si>
  <si>
    <t>清酒（日本米酒）; 酸酒（低等葡萄酒）; 酒精饮料浓缩汁; 白酒; 酒精饮料（啤酒除外）; 除啤酒外的酒精饮料; 食用酒精; 葡萄酒; 果酒（含酒精）; 烧酒 查看详细信息</t>
  </si>
  <si>
    <t>西安钰阳商贸有限公司</t>
  </si>
  <si>
    <t>贞钰佩</t>
  </si>
  <si>
    <t>黄酒; 米酒; 葡萄酒; 汽酒; 烈酒; 含酒精的水果鸡尾酒饮料; 甜果酒; 梅酒; 佐餐酒; 食用酒精 查看详细信息</t>
  </si>
  <si>
    <t>吕剑杰110105********3517</t>
  </si>
  <si>
    <t>悟品源坊</t>
  </si>
  <si>
    <t>黄酒; 果酒（含酒精）; 米酒; 葡萄酒; 谷物制蒸馏酒精饮料; 蒸馏饮料; 开胃酒; 酒精饮料（啤酒除外）; 青稞酒; 白酒 查看详细信息</t>
  </si>
  <si>
    <t>葡瑞思（苏州）商贸有限公司</t>
  </si>
  <si>
    <t>葡瑞思</t>
  </si>
  <si>
    <t>利口酒; 白兰地; 威士忌; 汽酒; 红葡萄酒; 葡萄酒; 酒精饮料（啤酒除外）; 白葡萄酒; 白酒; 果酒（含酒精） 查看详细信息</t>
  </si>
  <si>
    <t>史春吓</t>
  </si>
  <si>
    <t>遵际</t>
  </si>
  <si>
    <t>果酒（含酒精）; 酒精饮料（啤酒除外）; 黄酒; 白干酒（中国白酒）; 高粱酒; 谷物制蒸馏酒精饮料; 由谷物蒸馏的白酒; 烧酒; 白酒; 老酒（中国蒸馏烈酒） 查看详细信息</t>
  </si>
  <si>
    <t>杨公平</t>
  </si>
  <si>
    <t>徽谷西河</t>
  </si>
  <si>
    <t>开胃酒; 葡萄酒; 酒精饮料原汁; 米酒; 果酒; 黄酒; 白酒; 清酒; 高粱酒; 烧酒 查看详细信息</t>
  </si>
  <si>
    <t>锁温（永康）商贸有限公司</t>
  </si>
  <si>
    <t>维力弹</t>
  </si>
  <si>
    <t>果酒（含酒精）; 蒸馏饮料; 鸡尾酒; 烈酒（饮料）; 酒精饮料（啤酒除外）; 酒精饮料原汁; 酒精饮料浓缩汁; 白酒; 含酒精的气泡水; 威士忌 查看详细信息</t>
  </si>
  <si>
    <t>周书荣</t>
  </si>
  <si>
    <t>金波流粹</t>
  </si>
  <si>
    <t>烧酒; 黄酒; 白酒; 果酒（含酒精）; 米酒; 葡萄酒; 蜂蜜酒; 烈酒（饮料）; 酒精饮料（啤酒除外）; 蒸馏饮料 查看详细信息</t>
  </si>
  <si>
    <t>大连市品海真贸易有限公司</t>
  </si>
  <si>
    <t>伏特加酒; 白兰地; 白干酒（中国白酒）; 白酒; 食用酒精; 烈酒（饮料）; 威士忌; 果酒（含酒精）; 黄酒; 葡萄酒 查看详细信息</t>
  </si>
  <si>
    <t>泸州小蔺哥酒类销售有限公司</t>
  </si>
  <si>
    <t>朕吕</t>
  </si>
  <si>
    <t>葡萄酒; 烈酒（饮料）; 酒精饮料浓缩汁; 酒精饮料（啤酒除外）; 果酒（含酒精）; 米酒; 白酒; 黄酒; 老酒（中国蒸馏烈酒）; 含水果酒精饮料 查看详细信息</t>
  </si>
  <si>
    <t>贵州省碾房湾老酒坊有限公司</t>
  </si>
  <si>
    <t>猫洞春幸福老</t>
  </si>
  <si>
    <t>果酒（含酒精）; 开胃酒; 鸡尾酒; 餐后酒（利口酒和烈酒）; 白酒; 酒精饮料（啤酒除外）; 米酒; 黄酒; 烧酒; 葡萄酒 查看详细信息</t>
  </si>
  <si>
    <t>白酒; 烧酒（烈酒）; 酒精饮料原汁; 葡萄酒; 烧酒; 黄酒; 果酒（含酒精）; 食用酒精; 开胃酒; 米酒 查看详细信息</t>
  </si>
  <si>
    <t>河南鸣益杉物业管理有限公司</t>
  </si>
  <si>
    <t>燚坛子</t>
  </si>
  <si>
    <t>张贴广告; 货物展出; 广告宣传; 广告; 电视广告; 广告代理; 计算机网络上的在线广告; 户外广告; 广告咨询; 市场营销 查看详细信息</t>
  </si>
  <si>
    <t>内蒙古联创食品有限公司</t>
  </si>
  <si>
    <t>呼</t>
  </si>
  <si>
    <t>果酒（含酒精）; 葡萄酒; 烈酒（饮料）; 酒精饮料（啤酒除外）; 白酒; 烧酒; 青稞酒; 黄酒; 食用酒精; 米酒 查看详细信息</t>
  </si>
  <si>
    <t>山东省汶上县古中都酒业有限公司</t>
  </si>
  <si>
    <t>古中都尚礼</t>
  </si>
  <si>
    <t>烈酒; 果酒; 高粱酒; 露酒; 白酒; 由谷物蒸馏的白酒; 老酒（中国蒸馏烈酒）; 白干酒（中国白酒）; 烧酒; 蒸馏米酒（泡盛酒） 查看详细信息</t>
  </si>
  <si>
    <t>北京市华夏国奥国际艺术美术馆</t>
  </si>
  <si>
    <t>白酒; 黄酒; 威士忌; 蒸馏饮料; 白兰地; 米酒; 葡萄酒; 烈酒（饮料）; 果酒（含酒精）; 酒精饮料（啤酒除外） 查看详细信息</t>
  </si>
  <si>
    <t>武汉凌溪餐饮管理有限公司</t>
  </si>
  <si>
    <t>三镇记忆</t>
  </si>
  <si>
    <t>果酒（含酒精）; 鸡尾酒; 葡萄酒; 烈酒（饮料）; 黄酒; 酒精饮料（啤酒除外）; 食用酒精; 白酒; 米酒; 酒精饮料原汁 查看详细信息</t>
  </si>
  <si>
    <t>四川吴晓萍酒业有限公司</t>
  </si>
  <si>
    <t>吴家潭</t>
  </si>
  <si>
    <t>烈酒（饮料）; 酒精饮料（啤酒除外）; 汽酒; 黄酒; 葡萄酒; 米酒; 以葡萄酒为主的饮料; 烧酒; 白酒; 白兰地 查看详细信息</t>
  </si>
  <si>
    <t>BROAD LEAF</t>
  </si>
  <si>
    <t>烈酒（饮料）; 黄酒; 鸡尾酒; 利口酒; 开胃酒; 烧酒; 米酒; 葡萄酒; 蜂蜜酒; 白酒 查看详细信息</t>
  </si>
  <si>
    <t>罗心伟</t>
  </si>
  <si>
    <t>鹞子泉</t>
  </si>
  <si>
    <t>开胃酒; 葡萄酒; 烈酒（饮料）; 苦味酒; 果酒（含酒精）; 米酒; 预先混合的酒精饮料（以啤酒为主的除外）; 烧酒; 白酒; 威士忌 查看详细信息</t>
  </si>
  <si>
    <t>伏特加酒; 白酒; 葡萄酒; 酒精饮料（啤酒除外）; 烧酒; 果酒（含酒精）; 果酒; 汽酒; 威士忌; 鸡尾酒 查看详细信息</t>
  </si>
  <si>
    <t>河南麦凡餐饮管理有限公司</t>
  </si>
  <si>
    <t>岩哥土</t>
  </si>
  <si>
    <t>鸡尾酒; 葡萄酒; 酒精饮料（啤酒除外）; 汽酒; 果酒; 由谷物蒸馏的白酒; 清酒; 食用酒精; 白酒; 黄酒 查看详细信息</t>
  </si>
  <si>
    <t>高天宝</t>
  </si>
  <si>
    <t>茂迎</t>
  </si>
  <si>
    <t>白酒; 威士忌; 开胃酒; 果酒（含酒精）; 烧酒; 黄酒; 葡萄酒; 蒸煮提取物（利口酒和烈酒）; 酒精饮料原汁; 食用酒精 查看详细信息</t>
  </si>
  <si>
    <t>重庆天昊健康管理有限公司</t>
  </si>
  <si>
    <t>玺烨</t>
  </si>
  <si>
    <t>白酒; 果酒（含酒精）; 米酒; 黄酒; 鸡尾酒; 伏特加酒; 预先混合的酒精饮料（以啤酒为主的除外）; 清酒（日本米酒）; 葡萄酒; 朗姆酒 查看详细信息</t>
  </si>
  <si>
    <t>吴庄福</t>
  </si>
  <si>
    <t>白兰地; 米酒; 以葡萄酒为主的饮料; 烧酒; 黄酒; 葡萄酒; 烈酒（饮料）; 酒精饮料（啤酒除外）; 汽酒; 白酒 查看详细信息</t>
  </si>
  <si>
    <t>琼酥春雪</t>
  </si>
  <si>
    <t>果酒（含酒精）; 蒸馏饮料; 葡萄酒; 蜂蜜酒; 白酒; 酒精饮料（啤酒除外）; 米酒; 烧酒; 黄酒; 烈酒（饮料） 查看详细信息</t>
  </si>
  <si>
    <t>将章</t>
  </si>
  <si>
    <t>白酒; 老酒（中国蒸馏烈酒）; 葡萄酒; 汽酒; 露酒; 苦味酒; 青稞酒; 果酒; 苦荞酒; 黄酒 查看详细信息</t>
  </si>
  <si>
    <t>云南焱炯商贸有限公司</t>
  </si>
  <si>
    <t>焱炯晟</t>
  </si>
  <si>
    <t>茴香酒（利口酒）; 葡萄酒; 蒸煮提取物（利口酒和烈酒）; 除啤酒外的酒精饮料; 白酒; 清酒（日本米酒）; 烈酒; 米酒; 烧酒; 利口酒 查看详细信息</t>
  </si>
  <si>
    <t>求因</t>
  </si>
  <si>
    <t>蒸煮提取物（利口酒和烈酒）; 葡萄酒; 白酒; 蒸馏饮料; 含水果酒精饮料; 酒精饮料原汁; 果酒（含酒精）; 烈酒（饮料）; 黄酒; 米酒 查看详细信息</t>
  </si>
  <si>
    <t>高上茸</t>
  </si>
  <si>
    <t>物野知味</t>
  </si>
  <si>
    <t>果酒; 梅酒; 白酒; 米酒; 含酒精水果饮料; 含酒精的鸡尾酒混合饮品; 含酒精的饮料（啤酒除外）; 含酒精蛋奶酒; 咖啡利口酒; 葡萄酒 查看详细信息</t>
  </si>
  <si>
    <t>张银</t>
  </si>
  <si>
    <t>秘兰朵</t>
  </si>
  <si>
    <t>果酒（含酒精）; 葡萄酒; 酒精饮料（啤酒除外）; 米酒; 果酒; 黄酒; 烧酒; 白酒; 烈酒; 青稞酒 查看详细信息</t>
  </si>
  <si>
    <t>铍刻（上海）贸易有限公司</t>
  </si>
  <si>
    <t>爱轮</t>
  </si>
  <si>
    <t>杜松子酒; 利口酒; 烈酒（饮料）; 白兰地; 朗姆酒; 威士忌; 伏特加酒; 谷物制蒸馏酒精饮料; 以葡萄酒为主的饮料; 鸡尾酒 查看详细信息</t>
  </si>
  <si>
    <t>公安县宇光网络科技有限公司</t>
  </si>
  <si>
    <t>法娜黎</t>
  </si>
  <si>
    <t>吴家禧</t>
  </si>
  <si>
    <t>葡萄酒; 烈酒（饮料）; 酒精饮料（啤酒除外）; 汽酒; 白酒; 白兰地; 米酒; 以葡萄酒为主的饮料; 烧酒; 黄酒 查看详细信息</t>
  </si>
  <si>
    <t>吴门鸿运</t>
  </si>
  <si>
    <t>烈酒（饮料）; 酒精饮料（啤酒除外）; 汽酒; 黄酒; 白酒; 葡萄酒; 米酒; 以葡萄酒为主的饮料; 烧酒; 白兰地 查看详细信息</t>
  </si>
  <si>
    <t>尚金泰</t>
  </si>
  <si>
    <t>泰山长寿桥</t>
  </si>
  <si>
    <t>果酒（含酒精）; 鸡尾酒; 葡萄酒; 清酒（日本米酒）; 黄酒; 伏特加酒; 烧酒; 食用酒精; 白酒; 酒精饮料（啤酒除外） 查看详细信息</t>
  </si>
  <si>
    <t>成都连山易酒业有限公司</t>
  </si>
  <si>
    <t>顺安即福</t>
  </si>
  <si>
    <t>烈酒（饮料）; 米酒; 谷物制蒸馏酒精饮料; 青稞酒; 由谷物蒸馏的白酒; 白酒; 已调味的蒸馏酒; 以蒸馏酒为主的开胃酒; 老酒（中国蒸馏烈酒）; 烧酒 查看详细信息</t>
  </si>
  <si>
    <t>刘舒宇</t>
  </si>
  <si>
    <t>谷小星</t>
  </si>
  <si>
    <t>白酒; 黄酒; 清酒（日本米酒）; 威士忌; 果酒（含酒精）; 酒精饮料（啤酒除外）; 鸡尾酒; 米酒; 葡萄酒; 白干酒（中国白酒） 查看详细信息</t>
  </si>
  <si>
    <t>南京世纪缘酒业有限公司</t>
  </si>
  <si>
    <t>金陵世纪缘</t>
  </si>
  <si>
    <t>果酒（含酒精）; 开胃酒; 葡萄酒; 清酒; 青梅酒; 烧酒; 白酒; 黄酒; 米酒; 酒精饮料（啤酒除外） 查看详细信息</t>
  </si>
  <si>
    <t>济南海诗潇潇商贸有限公司</t>
  </si>
  <si>
    <t>诗酒乐</t>
  </si>
  <si>
    <t>白酒; 果酒（含酒精）; 餐后酒（利口酒和烈酒）; 葡萄酒; 烧酒; 白兰地; 酒精饮料（啤酒除外）; 含水果酒精饮料; 谷物制蒸馏酒精饮料; 烈酒（饮料） 查看详细信息</t>
  </si>
  <si>
    <t>酒精饮料浓缩汁; 白酒; 烧酒; 食用酒精; 除啤酒外的酒精饮料; 果酒（含酒精）; 酒精饮料（啤酒除外）; 清酒（日本米酒）; 酸酒（低等葡萄酒）; 葡萄酒 查看详细信息</t>
  </si>
  <si>
    <t>徐玉洁</t>
  </si>
  <si>
    <t>狮嘉酒庄</t>
  </si>
  <si>
    <t>酒精饮料（啤酒除外）; 红葡萄酒; 食用酒精; 桃红葡萄酒; 烧酒; 白酒; 不起泡葡萄酒; 含水果酒精饮料; 含酒精水果饮料; 黄酒 查看详细信息</t>
  </si>
  <si>
    <t>贵州义龙旅游集团开发有限公司</t>
  </si>
  <si>
    <t>布衣黔首</t>
  </si>
  <si>
    <t>果酒（含酒精）; 米酒; 白酒; 含水果酒精饮料; 谷物制蒸馏酒精饮料; 酒精饮料（啤酒除外）; 薄荷酒; 葡萄酒 查看详细信息</t>
  </si>
  <si>
    <t>湖北境珍堂酒业有限公司</t>
  </si>
  <si>
    <t>境珍堂</t>
  </si>
  <si>
    <t>酒精饮料（啤酒除外）; 白酒; 高粱酒; 苦荞酒; 清酒; 果酒（含酒精）; 蒸馏饮料; 鸡尾酒; 葡萄酒; 米酒 查看详细信息</t>
  </si>
  <si>
    <t>DEEP FORTUNE</t>
  </si>
  <si>
    <t>烧酒; 白酒; 米酒; 葡萄酒; 利口酒; 开胃酒; 烈酒（饮料）; 黄酒; 鸡尾酒; 蜂蜜酒 查看详细信息</t>
  </si>
  <si>
    <t>香花福</t>
  </si>
  <si>
    <t>清酒（日本米酒）; 开胃酒; 米酒; 果酒（含酒精）; 黄酒; 白酒; 烈酒（饮料）; 鸡尾酒; 威士忌; 葡萄酒 查看详细信息</t>
  </si>
  <si>
    <t>酒精饮料浓缩汁; 白酒; 烧酒; 除啤酒外的酒精饮料; 酸酒（低等葡萄酒）; 葡萄酒; 果酒（含酒精）; 酒精饮料（啤酒除外）; 清酒（日本米酒）; 食用酒精 查看详细信息</t>
  </si>
  <si>
    <t>四川酩创酒科技有限公司</t>
  </si>
  <si>
    <t>蜀腔</t>
  </si>
  <si>
    <t>烧酒; 果酒; 开胃酒; 鸡尾酒; 青稞酒; 蜂蜜酒; 白兰地; 威士忌; 白酒; 葡萄酒 查看详细信息</t>
  </si>
  <si>
    <t>周正</t>
  </si>
  <si>
    <t>苏堇斋</t>
  </si>
  <si>
    <t>蒸馏饮料; 果酒（含酒精）; 烈酒（饮料）; 米酒; 黄酒; 食用酒精; 白酒; 含酒精水果饮料; 葡萄酒; 谷物制蒸馏酒精饮料 查看详细信息</t>
  </si>
  <si>
    <t>内蒙古沐壬酒业有限公司</t>
  </si>
  <si>
    <t>沐壬</t>
  </si>
  <si>
    <t>米酒; 烧酒; 酒精饮料（啤酒除外）; 清酒; 烈酒（饮料）; 果酒（含酒精）; 葡萄酒; 黄酒; 鸡尾酒; 白酒 查看详细信息</t>
  </si>
  <si>
    <t>深圳象之汇商贸有限公司</t>
  </si>
  <si>
    <t>象之汇</t>
  </si>
  <si>
    <t>含酒精的饮料（啤酒除外）; 葡萄酒; 烈酒（饮料）; 酒精饮料（啤酒除外）; 日式甜米酒; 威士忌; 白酒; 米酒; 清酒; 谷物制蒸馏酒精饮料 查看详细信息</t>
  </si>
  <si>
    <t>邓芳萍</t>
  </si>
  <si>
    <t>青福乐</t>
  </si>
  <si>
    <t>果酒（含酒精）; 葡萄酒; 白酒; 烈酒（饮料）; 米酒; 威士忌; 黄酒; 清酒（日本米酒）; 开胃酒; 鸡尾酒 查看详细信息</t>
  </si>
  <si>
    <t>李力峰</t>
  </si>
  <si>
    <t>蓝板和</t>
  </si>
  <si>
    <t>李朝海</t>
  </si>
  <si>
    <t>雁京汇</t>
  </si>
  <si>
    <t>含水果酒精饮料; 酒精饮料（啤酒除外）; 清酒（日本米酒）; 蜂蜜酒; 米酒; 苹果酒; 果酒（含酒精）; 白酒; 青稞酒; 葡萄酒 查看详细信息</t>
  </si>
  <si>
    <t>张卫斌</t>
  </si>
  <si>
    <t>等歌</t>
  </si>
  <si>
    <t>果酒（含酒精）; 烧酒; 蒸馏饮料; 黄酒; 食用酒精; 烈酒（饮料）; 白酒; 含水果酒精饮料; 米酒; 葡萄酒 查看详细信息</t>
  </si>
  <si>
    <t>刘国荣</t>
  </si>
  <si>
    <t>劦哥</t>
  </si>
  <si>
    <t>果酒（含酒精）; 蒸馏饮料; 烈酒（饮料）; 清酒（日本米酒）; 白酒; 米酒; 烧酒（烈酒）; 黄酒; 食用酒精; 酒精饮料（啤酒除外） 查看详细信息</t>
  </si>
  <si>
    <t>袁静静</t>
  </si>
  <si>
    <t>卡莫淳</t>
  </si>
  <si>
    <t>果酒（含酒精）; 鸡尾酒; 葡萄酒; 酒精饮料（啤酒除外）; 黄酒; 烧酒; 烈酒（饮料）; 白兰地; 米酒; 白酒 查看详细信息</t>
  </si>
  <si>
    <t>卡诗鹿</t>
  </si>
  <si>
    <t>杜成</t>
  </si>
  <si>
    <t>恒杏运</t>
  </si>
  <si>
    <t>西施佳雅（潍坊）经贸有限公司</t>
  </si>
  <si>
    <t>木怀特</t>
  </si>
  <si>
    <t>威士忌; 果酒（含酒精）; 老酒（中国蒸馏烈酒）; 烈酒（饮料）; 鸡尾酒; 葡萄酒; 白酒; 白兰地; 预调甜酒; 谷物制蒸馏酒精饮料 查看详细信息</t>
  </si>
  <si>
    <t>荷花荷</t>
  </si>
  <si>
    <t>广州市太晶国际贸易有限公司</t>
  </si>
  <si>
    <t>果酒（含酒精）; 开胃酒; 蒸馏饮料; 苹果酒; 米酒; 葡萄酒; 烈酒（饮料）; 酒精饮料（啤酒除外）; 白酒; 鸡尾酒 查看详细信息</t>
  </si>
  <si>
    <t>徐州成浩文化传媒有限公司</t>
  </si>
  <si>
    <t>斟挺</t>
  </si>
  <si>
    <t>黄酒; 开胃酒; 果酒; 酒精饮料（啤酒除外）; 蜂蜜酒; 白兰地; 白酒; 米酒; 鸡尾酒; 烧酒 查看详细信息</t>
  </si>
  <si>
    <t>洪先亮</t>
  </si>
  <si>
    <t>晃十里</t>
  </si>
  <si>
    <t>果酒（含酒精）; 白干酒（中国白酒）; 烧酒（烈酒）; 鸡尾酒; 白酒; 米酒; 高粱酒; 梅酒; 甜果酒; 葡萄酒 查看详细信息</t>
  </si>
  <si>
    <t>黎志仁</t>
  </si>
  <si>
    <t>凌鉴</t>
  </si>
  <si>
    <t>米酒; 烧酒; 黄酒; 清酒（日本米酒）; 烈酒（饮料）; 蜂蜜酒; 威士忌; 白酒; 葡萄酒; 果酒（含酒精） 查看详细信息</t>
  </si>
  <si>
    <t>邓森</t>
  </si>
  <si>
    <t>轻库</t>
  </si>
  <si>
    <t>清酒; 甜酒; 白酒; 米酒; 汽酒; 食用酒精; 黄酒; 开胃酒; 果酒; 葡萄酒 查看详细信息</t>
  </si>
  <si>
    <t>刘爱华</t>
  </si>
  <si>
    <t>六盘情缘</t>
  </si>
  <si>
    <t>白酒; 果酒（含酒精）; 葡萄酒; 含水果酒精饮料; 烧酒; 威士忌; 酒精饮料原汁; 青稞酒; 蒸馏饮料; 米酒 查看详细信息</t>
  </si>
  <si>
    <t>北京淡雅京酒业有限公司</t>
  </si>
  <si>
    <t>六福坤</t>
  </si>
  <si>
    <t>果酒（含酒精）; 鸡尾酒; 葡萄酒; 烈酒（饮料）; 白酒; 威士忌; 酒精饮料（啤酒除外）; 米酒; 黄酒; 白兰地 查看详细信息</t>
  </si>
  <si>
    <t>张坤</t>
  </si>
  <si>
    <t>小黄咪</t>
  </si>
  <si>
    <t>白酒; 清酒; 烧酒; 伏特加酒; 米酒; 含水果酒精饮料; 黄酒; 葡萄酒; 烈酒（饮料）; 酒精饮料（啤酒除外） 查看详细信息</t>
  </si>
  <si>
    <t>明传龙</t>
  </si>
  <si>
    <t>山林百草</t>
  </si>
  <si>
    <t>果酒（含酒精）; 蜂蜜酒; 樱桃酒; 酒精饮料（啤酒除外）; 烧酒; 汽酒; 青稞酒; 黄酒; 食用酒精; 白酒 查看详细信息</t>
  </si>
  <si>
    <t>德州壹郑品牌管理有限公司</t>
  </si>
  <si>
    <t>汀白屿</t>
  </si>
  <si>
    <t>酒精饮料（啤酒除外）; 果酒（含酒精）; 清酒; 黄酒; 烧酒; 白酒; 烈酒; 米酒; 开胃酒; 葡萄酒 查看详细信息</t>
  </si>
  <si>
    <t>MIANZIJIU</t>
  </si>
  <si>
    <t>开胃酒; 鸡尾酒; 葡萄酒; 烈酒（饮料）; 青稞酒; 高粱酒; 老酒（中国蒸馏烈酒）; 黄酒; 白酒; 烧酒 查看详细信息</t>
  </si>
  <si>
    <t>李玉君</t>
  </si>
  <si>
    <t>理红</t>
  </si>
  <si>
    <t>开胃酒; 葡萄酒; 烈酒（饮料）; 米酒; 白干酒（中国白酒）; 黄酒; 白酒; 高粱酒; 果酒; 谷物制蒸馏酒精饮料 查看详细信息</t>
  </si>
  <si>
    <t>伊犁仟葡源酒业有限责任公司</t>
  </si>
  <si>
    <t>仟葡源</t>
  </si>
  <si>
    <t>白酒; 葡萄酒; 果酒（含酒精）; 米酒; 以葡萄酒为主的开胃酒; 烧酒; 黄酒; 鸡尾酒; 烈酒（饮料）; 酒精饮料（啤酒除外） 查看详细信息</t>
  </si>
  <si>
    <t>北京龙一淼商贸有限公司</t>
  </si>
  <si>
    <t>田蜜万家</t>
  </si>
  <si>
    <t>以葡萄酒为主的饮料; 谷物制蒸馏酒精饮料; 含水果酒精饮料; 烈酒（饮料）; 白兰地; 果酒（含酒精）; 利口酒; 威士忌; 葡萄酒; 酒精饮料（啤酒除外） 查看详细信息</t>
  </si>
  <si>
    <t>陈小琴</t>
  </si>
  <si>
    <t>怀诺</t>
  </si>
  <si>
    <t>鸡尾酒; 蒸煮提取物（利口酒和烈酒）; 葡萄酒; 酒精饮料浓缩汁; 果酒; 米酒; 食用酒精; 白酒; 蒸馏饮料; 含水果酒精饮料 查看详细信息</t>
  </si>
  <si>
    <t>云南蜀乐美农业科技开发有限公司</t>
  </si>
  <si>
    <t>兜阳犇牛</t>
  </si>
  <si>
    <t>果酒（含酒精）; 开胃酒; 蒸馏饮料; 葡萄酒; 烈酒（饮料）; 米酒; 预先混合的酒精饮料（以啤酒为主的除外）; 烧酒; 白酒; 利口酒 查看详细信息</t>
  </si>
  <si>
    <t>阜新十鼎经贸有限公司</t>
  </si>
  <si>
    <t>期君</t>
  </si>
  <si>
    <t>北京进钧投资有限公司</t>
  </si>
  <si>
    <t>进钧体育</t>
  </si>
  <si>
    <t>云南勐辉林木种植开发有限公司</t>
  </si>
  <si>
    <t>勐辉</t>
  </si>
  <si>
    <t>果酒（含酒精）; 米酒; 葡萄酒; 含酒精的饮料（啤酒除外）; 威士忌; 白酒; 水果汽酒; 烧酒; 白兰地; 鸡尾酒 查看详细信息</t>
  </si>
  <si>
    <t>贵州大福实业有限公司</t>
  </si>
  <si>
    <t>欧巡</t>
  </si>
  <si>
    <t>薄荷酒; 果酒（含酒精）; 苦味酒; 开胃酒; 茴香酒（利口酒）; 亚力酒; 茴芹酒（利口酒） 查看详细信息</t>
  </si>
  <si>
    <t>上海茅董酱酒文化发展有限公司</t>
  </si>
  <si>
    <t>书香中原</t>
  </si>
  <si>
    <t>果酒（含酒精）; 鸡尾酒; 葡萄酒; 烈酒（饮料）; 清酒（日本米酒）; 酒精饮料（啤酒除外）; 米酒; 白酒; 烧酒; 黄酒 查看详细信息</t>
  </si>
  <si>
    <t>黎良云</t>
  </si>
  <si>
    <t>华河黎记小调烧</t>
  </si>
  <si>
    <t>苦味酒; 开胃酒; 黄酒; 烧酒; 老酒（中国蒸馏烈酒）; 米酒; 白干酒（中国白酒）; 高粱酒; 由谷物蒸馏的白酒; 清酒（日本米酒） 查看详细信息</t>
  </si>
  <si>
    <t>徐德成</t>
  </si>
  <si>
    <t>璞至</t>
  </si>
  <si>
    <t>烈酒（饮料）; 白兰地; 白酒; 米酒; 酒精饮料（啤酒除外）; 葡萄酒; 食用酒精; 鸡尾酒; 黄酒; 威士忌 查看详细信息</t>
  </si>
  <si>
    <t>杜安卫</t>
  </si>
  <si>
    <t>今济堂</t>
  </si>
  <si>
    <t>果酒; 汽酒; 清酒; 甜酒; 黄酒; 米酒; 葡萄酒; 开胃酒; 食用酒精; 白酒 查看详细信息</t>
  </si>
  <si>
    <t>上海泽毓实业发展有限公司</t>
  </si>
  <si>
    <t>伴余年</t>
  </si>
  <si>
    <t>开胃酒; 鸡尾酒; 葡萄酒; 樱桃酒; 烧酒; 白兰地; 米酒; 白酒; 黄酒; 梨酒 查看详细信息</t>
  </si>
  <si>
    <t>福建戴斯酒业股份有限公司</t>
  </si>
  <si>
    <t>LARTOUR LIFE</t>
  </si>
  <si>
    <t>黄酒; 果酒（含酒精）; 白酒; 酒精饮料（啤酒除外）; 米酒; 食用酒精; 威士忌; 蒸馏饮料; 烈酒（饮料）; 葡萄酒 查看详细信息</t>
  </si>
  <si>
    <t>母小雨</t>
  </si>
  <si>
    <t>追匠</t>
  </si>
  <si>
    <t>白葡萄酒; 烈酒; 白酒; 高粱酒; 葡萄酒; 白干酒（中国白酒）; 五加皮酒（中国混合烈酒）; 威末酒; 鸡尾酒; 果酒 查看详细信息</t>
  </si>
  <si>
    <t>托雷乐酒庄（广州）贸易有限公司</t>
  </si>
  <si>
    <t>托雷乐醒狮</t>
  </si>
  <si>
    <t>鸡尾酒; 葡萄酒; 烈酒（饮料）; 朗姆酒; 白兰地; 伏特加酒; 白酒; 威士忌; 酒精饮料（啤酒除外）; 预先混合的酒精饮料（以啤酒为主的除外） 查看详细信息</t>
  </si>
  <si>
    <t>上海无隐堂健康管理有限公司</t>
  </si>
  <si>
    <t>憨壮</t>
  </si>
  <si>
    <t>红葡萄酒; 含酒精水果饮料; 杨梅酒; 青梅酒; 白干酒（中国白酒）; 松叶酒; 果酒; 黄酒; 高粱酒; 甜酒 查看详细信息</t>
  </si>
  <si>
    <t>赣州市人皇贸易有限公司</t>
  </si>
  <si>
    <t>惜穸</t>
  </si>
  <si>
    <t>葡萄酒; 米酒; 烧酒; 黄酒; 老酒（中国蒸馏烈酒）; 烈酒; 甜酒; 高粱酒; 白干酒（中国白酒）; 白酒 查看详细信息</t>
  </si>
  <si>
    <t>陈贵棠</t>
  </si>
  <si>
    <t>蒙茜施</t>
  </si>
  <si>
    <t>黄酒; 烈酒（饮料）; 米酒; 威士忌; 葡萄酒; 清酒（日本米酒）; 蜂蜜酒; 白酒; 果酒（含酒精）; 鸡尾酒 查看详细信息</t>
  </si>
  <si>
    <t>第E潮</t>
  </si>
  <si>
    <t>深圳市锦和乐快消品物资供应链有限公司</t>
  </si>
  <si>
    <t>蔚然锦和</t>
  </si>
  <si>
    <t>果酒（含酒精）; 清酒（日本米酒）; 蒸煮提取物（利口酒和烈酒）; 酒精饮料（啤酒除外）; 黄酒; 烧酒; 葡萄酒; 食用酒精; 鸡尾酒; 朗姆酒 查看详细信息</t>
  </si>
  <si>
    <t>比姆三得利（英国）有限公司</t>
  </si>
  <si>
    <t>AUCHEN TOSHAN</t>
  </si>
  <si>
    <t>威士忌; 酒精饮料（啤酒除外） 查看详细信息</t>
  </si>
  <si>
    <t>孟凡鹏</t>
  </si>
  <si>
    <t>里鹏威士忌</t>
  </si>
  <si>
    <t>混合威士忌酒; 威士忌 查看详细信息</t>
  </si>
  <si>
    <t>陈浩杰</t>
  </si>
  <si>
    <t>好奇熊</t>
  </si>
  <si>
    <t>米酒; 葡萄酒; 食用酒精; 黄酒; 白酒; 果酒; 汽酒; 清酒; 甜酒; 开胃酒 查看详细信息</t>
  </si>
  <si>
    <t>林晓雯</t>
  </si>
  <si>
    <t>臣都</t>
  </si>
  <si>
    <t>白酒; 果酒（含酒精）; 烈酒（饮料）; 酒精饮料（啤酒除外）; 食用酒精; 白兰地; 威士忌; 米酒; 预先混合的酒精饮料（以啤酒为主的除外）; 黄酒 查看详细信息</t>
  </si>
  <si>
    <t>南风序</t>
  </si>
  <si>
    <t>白酒; 烈酒; 清酒; 果酒（含酒精）; 烧酒; 葡萄酒; 酒精饮料（啤酒除外）; 米酒; 黄酒; 开胃酒 查看详细信息</t>
  </si>
  <si>
    <t>贵州华效先酒业有限公司</t>
  </si>
  <si>
    <t>效先盛世</t>
  </si>
  <si>
    <t>白兰地; 威士忌; 果酒; 梅酒; 鸡尾酒; 葡萄酒; 红葡萄酒; 白干酒（中国白酒）; 白酒; 烈酒 查看详细信息</t>
  </si>
  <si>
    <t>效先礼宾</t>
  </si>
  <si>
    <t>鸡尾酒; 葡萄酒; 白兰地; 威士忌; 白干酒（中国白酒）; 梅酒; 烈酒; 红葡萄酒; 白酒; 果酒 查看详细信息</t>
  </si>
  <si>
    <t>赵子英</t>
  </si>
  <si>
    <t>赵丹村</t>
  </si>
  <si>
    <t>白酒; 米酒; 果酒（含酒精）; 鸡尾酒; 黄酒; 葡萄酒; 樱桃酒; 开胃酒; 青稞酒; 蜂蜜酒 查看详细信息</t>
  </si>
  <si>
    <t>XINNONGFU</t>
  </si>
  <si>
    <t>开胃酒; 鸡尾酒; 葡萄酒; 烈酒（饮料）; 白酒; 高粱酒; 老酒（中国蒸馏烈酒）; 青稞酒; 黄酒; 烧酒 查看详细信息</t>
  </si>
  <si>
    <t>谷黎锋</t>
  </si>
  <si>
    <t>十全街</t>
  </si>
  <si>
    <t>米酒; 黄酒; 酒精饮料（啤酒除外）; 果酒（含酒精）; 白酒; 汽酒; 威士忌; 烧酒; 已调味的蒸馏酒; 葡萄酒 查看详细信息</t>
  </si>
  <si>
    <t>乐安县子祥农业开发有限公司</t>
  </si>
  <si>
    <t>忆湖坪</t>
  </si>
  <si>
    <t>白酒; 果酒（含酒精）; 葡萄酒; 酒精饮料（啤酒除外）; 食用酒精; 米酒; 烧酒; 汽酒; 黄酒; 含水果酒精饮料 查看详细信息</t>
  </si>
  <si>
    <t>郑焕楷</t>
  </si>
  <si>
    <t>庐香迎</t>
  </si>
  <si>
    <t>白酒; 葡萄酒; 果酒（含酒精）; 黄酒; 烈酒（饮料）; 酒精饮料（啤酒除外）; 米酒; 青稞酒; 威士忌; 烧酒 查看详细信息</t>
  </si>
  <si>
    <t>周洛霄</t>
  </si>
  <si>
    <t>晟惠</t>
  </si>
  <si>
    <t>预先混合的酒精饮料（以啤酒为主的除外）; 白酒; 开胃酒; 葡萄酒; 谷物制蒸馏酒精饮料; 黄酒; 果酒（含酒精）; 烈酒（饮料）; 米酒; 烧酒 查看详细信息</t>
  </si>
  <si>
    <t>济南燕喜堂酒业有限公司</t>
  </si>
  <si>
    <t>龘观龘龘</t>
  </si>
  <si>
    <t>白酒; 黄酒; 米酒; 烈酒; 青梅酒; 除啤酒外的酒精饮料; 老酒（中国蒸馏烈酒）; 果酒; 高粱酒; 葡萄酒 查看详细信息</t>
  </si>
  <si>
    <t>贵阳黔陶羽田酒店管理中心</t>
  </si>
  <si>
    <t>经典名顺</t>
  </si>
  <si>
    <t>开胃酒; 葡萄酒; 米酒; 谷物制蒸馏酒精饮料; 高粱酒; 白酒; 烈酒; 果酒; 老酒（中国蒸馏烈酒）; 烧酒 查看详细信息</t>
  </si>
  <si>
    <t>效先君品</t>
  </si>
  <si>
    <t>鸡尾酒; 葡萄酒; 白兰地; 威士忌; 白酒; 梅酒; 烈酒; 红葡萄酒; 白干酒（中国白酒）; 果酒 查看详细信息</t>
  </si>
  <si>
    <t>黄建成</t>
  </si>
  <si>
    <t>凤竹君</t>
  </si>
  <si>
    <t>烈酒（饮料）; 酒精饮料原汁; 酒精饮料（啤酒除外）; 米酒; 葡萄酒; 烧酒; 白酒; 果酒（含酒精）; 餐后酒（利口酒和烈酒）; 黄酒 查看详细信息</t>
  </si>
  <si>
    <t>杜巧云</t>
  </si>
  <si>
    <t>昙山人家</t>
  </si>
  <si>
    <t>葡萄酒; 白酒; 米酒; 汽酒; 果酒（含酒精）; 黄酒; 烧酒; 鸡尾酒; 薄荷酒; 青稞酒 查看详细信息</t>
  </si>
  <si>
    <t>贵州省仁怀市雅酿酒业销售有限公司</t>
  </si>
  <si>
    <t>阚家美</t>
  </si>
  <si>
    <t>白酒; 老酒（中国蒸馏烈酒）; 高粱酒; 黄酒; 烧酒; 果酒; 葡萄酒; 米酒; 烈酒; 酒精饮料（啤酒除外） 查看详细信息</t>
  </si>
  <si>
    <t>天津祺翼农业发展有限公司</t>
  </si>
  <si>
    <t>祺翼花青</t>
  </si>
  <si>
    <t>果酒（含酒精）; 预先混合的酒精饮料（以啤酒为主的除外）; 葡萄酒; 含酒精水果饮料; 果酒; 草莓酒; 白酒; 水果汽酒; 含酒精的水果鸡尾酒饮料; 梅酒 查看详细信息</t>
  </si>
  <si>
    <t>广东福到照明有限公司</t>
  </si>
  <si>
    <t>韶州梦</t>
  </si>
  <si>
    <t>酒精饮料（啤酒除外）; 果酒（含酒精）; 葡萄酒; 高粱酒; 白酒; 老酒（中国蒸馏烈酒）; 米酒; 烧酒; 蒸馏饮料; 威士忌 查看详细信息</t>
  </si>
  <si>
    <t>严绍太</t>
  </si>
  <si>
    <t>百窖凰</t>
  </si>
  <si>
    <t>鸡尾酒; 烈酒; 清酒（日本米酒）; 酒精饮料（啤酒除外）; 葡萄酒; 黄酒; 威士忌; 开胃酒; 果酒（含酒精）; 白酒 查看详细信息</t>
  </si>
  <si>
    <t>和新叶</t>
  </si>
  <si>
    <t>仟佰祥</t>
  </si>
  <si>
    <t>老酒（中国蒸馏烈酒）; 利口酒; 甜酒; 烈酒; 白酒; 威士忌; 黄酒; 果酒; 开胃酒; 鸡尾酒 查看详细信息</t>
  </si>
  <si>
    <t>榆树市老李太太酒业有限公司</t>
  </si>
  <si>
    <t>北寒春</t>
  </si>
  <si>
    <t>烧酒; 葡萄酒; 威士忌; 鸡尾酒; 酒精饮料（啤酒除外）; 黄酒; 蒸馏饮料; 白酒; 含水果酒精饮料; 青稞酒 查看详细信息</t>
  </si>
  <si>
    <t>洛阳市勉农生化有限公司</t>
  </si>
  <si>
    <t>小勉哥</t>
  </si>
  <si>
    <t>果酒; 黄酒; 白酒; 葡萄酒; 含水果酒精饮料; 威士忌; 米酒; 伏特加酒; 烧酒; 开胃酒 查看详细信息</t>
  </si>
  <si>
    <t>温州舒马赫商贸有限公司</t>
  </si>
  <si>
    <t>遨马</t>
  </si>
  <si>
    <t>鸡尾酒; 葡萄酒; 白兰地; 威士忌; 米酒; 以葡萄酒为主的开胃酒; 白酒; 白葡萄酒; 红葡萄酒; 加香料的热葡萄酒; 青梅酒; 黄酒 查看详细信息</t>
  </si>
  <si>
    <t>泸州酒夫问道酒类销售有限公司</t>
  </si>
  <si>
    <t>竹望山</t>
  </si>
  <si>
    <t>食用酒精; 葡萄酒; 含水果酒精饮料; 酒精饮料（啤酒除外）; 米酒; 烧酒; 黄酒; 果酒（含酒精）; 鸡尾酒; 白酒 查看详细信息</t>
  </si>
  <si>
    <t>上海芊选贸易有限公司</t>
  </si>
  <si>
    <t>叁彩树</t>
  </si>
  <si>
    <t>白酒; 食用酒精; 烧酒; 黄酒; 葡萄酒; 伏特加酒; 烈酒; 米酒; 果酒; 青稞酒 查看详细信息</t>
  </si>
  <si>
    <t>XIONGHUAXIANG</t>
  </si>
  <si>
    <t>文成县严垟农业专业合作社</t>
  </si>
  <si>
    <t>严垟</t>
  </si>
  <si>
    <t>蜂蜜酒; 米酒; 烧酒; 汽酒; 老酒（中国蒸馏烈酒）; 白酒; 杨梅酒; 甜酒; 果酒; 黄酒 查看详细信息</t>
  </si>
  <si>
    <t>长垣市三合美食餐饮管理有限公司</t>
  </si>
  <si>
    <t>三合卣叙</t>
  </si>
  <si>
    <t>葡萄酒; 烈酒（饮料）; 酒精饮料（啤酒除外）; 含水果酒精饮料; 果酒; 预先混合的酒精饮料（以啤酒为主的除外）; 黄酒; 食用酒精; 白酒; 米酒 查看详细信息</t>
  </si>
  <si>
    <t>李学平</t>
  </si>
  <si>
    <t>哀牢山</t>
  </si>
  <si>
    <t>白酒; 果酒; 米酒; 葡萄酒; 五加皮酒（中国混合烈酒）; 高粱酒; 老酒（中国蒸馏烈酒）; 清酒; 由谷物蒸馏的白酒; 蒸馏饮料 查看详细信息</t>
  </si>
  <si>
    <t>恭州烧坊（重庆）酒业有限公司</t>
  </si>
  <si>
    <t>澹白</t>
  </si>
  <si>
    <t>利口酒; 威士忌; 烈酒（饮料）; 清酒（日本米酒）; 米酒; 蒸馏饮料; 食用酒精; 果酒（含酒精）; 葡萄酒; 白酒 查看详细信息</t>
  </si>
  <si>
    <t>大连喜仓文化传媒有限公司</t>
  </si>
  <si>
    <t>小喜宅</t>
  </si>
  <si>
    <t>果酒（含酒精）; 葡萄酒; 清酒（日本米酒）; 米酒; 含水果酒精饮料; 蒸馏饮料; 烈酒; 酒精饮料（啤酒除外）; 烧酒; 白酒 查看详细信息</t>
  </si>
  <si>
    <t>海口多宝儿企业管理合伙企业(有限合伙)</t>
  </si>
  <si>
    <t>朗姆酒（酒精饮料）; 白酒; 露酒; 甜酒; 含酒精水果饮料; 以葡萄酒为主的饮料; 白葡萄酒; 红葡萄酒; 果酒; 清酒 查看详细信息</t>
  </si>
  <si>
    <t>曾天有</t>
  </si>
  <si>
    <t>别迭里</t>
  </si>
  <si>
    <t>果酒（含酒精）; 苦味酒; 威士忌; 米酒; 尼瓦（以甘蔗为主的酒精饮料）; 青稞酒; 食用酒精; 白酒; 以葡萄酒为主的开胃酒; 烧酒 查看详细信息</t>
  </si>
  <si>
    <t>惠相遇</t>
  </si>
  <si>
    <t>果酒（含酒精）; 烈酒（饮料）; 米酒; 预先混合的酒精饮料（以啤酒为主的除外）; 谷物制蒸馏酒精饮料; 黄酒; 白酒; 开胃酒; 葡萄酒; 烧酒 查看详细信息</t>
  </si>
  <si>
    <t>多彩齐鲁（山东）酒庄有限公司</t>
  </si>
  <si>
    <t>齐鲁风采</t>
  </si>
  <si>
    <t>青稞酒; 烧酒; 米酒; 烈酒（饮料）; 黄酒; 鸡尾酒; 清酒; 老酒（中国蒸馏烈酒）; 白酒; 葡萄酒 查看详细信息</t>
  </si>
  <si>
    <t>樊水全</t>
  </si>
  <si>
    <t>泉和兴</t>
  </si>
  <si>
    <t>米酒; 黄酒; 烧酒; 白酒; 高粱酒; 烈性干酒; 白干酒（中国白酒）; 五加皮酒（中国混合烈酒）; 老酒（中国蒸馏烈酒）; 烈酒 查看详细信息</t>
  </si>
  <si>
    <t>杨凌汇优贸易有限公司</t>
  </si>
  <si>
    <t>只悦</t>
  </si>
  <si>
    <t>开胃酒; 苹果酒; 葡萄酒; 利口酒; 果酒（含酒精）; 白兰地; 含水果酒精饮料; 谷物制蒸馏酒精饮料; 烈酒; 樱桃酒 查看详细信息</t>
  </si>
  <si>
    <t>里鹏龙舌兰</t>
  </si>
  <si>
    <t>龙舌兰（酒精饮料） 查看详细信息</t>
  </si>
  <si>
    <t>王风花62230********5172X</t>
  </si>
  <si>
    <t>喜粮川</t>
  </si>
  <si>
    <t>米酒; 酒精饮料（啤酒除外）; 烧酒; 黄酒; 果酒（含酒精）; 烈酒（饮料）; 甘蔗制烈酒; 白酒; 葡萄酒; 鸡尾酒 查看详细信息</t>
  </si>
  <si>
    <t>简先典</t>
  </si>
  <si>
    <t>拼为福</t>
  </si>
  <si>
    <t>白酒; 葡萄酒; 酒精饮料（啤酒除外）; 果酒; 黄酒; 白兰地; 威士忌; 酒精饮料原汁; 米酒; 鸡尾酒 查看详细信息</t>
  </si>
  <si>
    <t>虞城县广利达食品有限公司</t>
  </si>
  <si>
    <t>吉祥利百加</t>
  </si>
  <si>
    <t>米酒; 黄酒; 烧酒; 酒精饮料（啤酒除外）; 葡萄酒; 蒸煮提取物（利口酒和烈酒）; 白干酒（中国白酒）; 红葡萄酒; 白酒; 果酒（含酒精） 查看详细信息</t>
  </si>
  <si>
    <t>长沙要的文化传媒有限公司</t>
  </si>
  <si>
    <t>陈薄江</t>
  </si>
  <si>
    <t>以葡萄酒为主的开胃酒; 杨梅酒; 水果汽酒; 烧酒; 黄酒; 白酒; 米酒; 红葡萄酒; 酒精饮料原汁; 甜酒 查看详细信息</t>
  </si>
  <si>
    <t>龙游毓硒酒业有限公司</t>
  </si>
  <si>
    <t>浙里花开</t>
  </si>
  <si>
    <t>果酒; 蒸煮提取物（利口酒和烈酒）; 葡萄酒; 鸡尾酒; 烧酒; 米酒; 含水果酒精饮料; 黄酒; 食用酒精; 酒精饮料（啤酒除外） 查看详细信息</t>
  </si>
  <si>
    <t>春闲赋</t>
  </si>
  <si>
    <t>果酒（含酒精）; 开胃酒; 葡萄酒; 酒精饮料（啤酒除外）; 清酒; 黄酒; 烧酒; 白酒; 烈酒; 米酒 查看详细信息</t>
  </si>
  <si>
    <t>支刘祥</t>
  </si>
  <si>
    <t>亳卉</t>
  </si>
  <si>
    <t>烈酒（饮料）; 食用酒精; 黄酒; 白酒; 果酒（含酒精）; 威士忌; 白兰地; 鸡尾酒; 开胃酒; 米酒 查看详细信息</t>
  </si>
  <si>
    <t>聂金珠</t>
  </si>
  <si>
    <t>欢源</t>
  </si>
  <si>
    <t>烈酒; 果酒; 老酒（中国蒸馏烈酒）; 葡萄酒; 白酒; 米酒; 清酒; 青稞酒; 烧酒; 黄酒 查看详细信息</t>
  </si>
  <si>
    <t>颜安秀</t>
  </si>
  <si>
    <t>杜酩师</t>
  </si>
  <si>
    <t>郭泽龙</t>
  </si>
  <si>
    <t>春舟玉酿</t>
  </si>
  <si>
    <t>上海秉轩酒店管理集团有限公司</t>
  </si>
  <si>
    <t>凯文索菲娅</t>
  </si>
  <si>
    <t>果酒（含酒精）; 蒸馏饮料; 鸡尾酒; 葡萄酒; 红葡萄酒; 酒精饮料原汁; 酒精饮料（啤酒除外）; 米酒; 白葡萄酒; 烈酒（饮料） 查看详细信息</t>
  </si>
  <si>
    <t>吴贵勇</t>
  </si>
  <si>
    <t>怀诉</t>
  </si>
  <si>
    <t>白酒; 米酒; 酒精饮料（啤酒除外）; 蜂蜜酒; 果酒（含酒精）; 烧酒; 含水果酒精饮料; 清酒（日本米酒）; 葡萄酒; 鸡尾酒 查看详细信息</t>
  </si>
  <si>
    <t>伊春市九峰山养心谷森林食品有限公司</t>
  </si>
  <si>
    <t>醒盼</t>
  </si>
  <si>
    <t>果酒（含酒精）; 烈酒（饮料）; 酒精饮料（啤酒除外）; 预先混合的酒精饮料（以啤酒为主的除外）; 酒精饮料原汁; 开胃酒; 白酒; 葡萄酒; 蜂蜜酒; 含水果酒精饮料 查看详细信息</t>
  </si>
  <si>
    <t>陈涛</t>
  </si>
  <si>
    <t>简写</t>
  </si>
  <si>
    <t>立史</t>
  </si>
  <si>
    <t>深圳市弘业酒业有限公司</t>
  </si>
  <si>
    <t>欧曼爵泓菈图</t>
  </si>
  <si>
    <t>含酒精的饮料（啤酒除外）; 白酒; 高粱酒; 鸡尾酒; 果酒; 白兰地; 威士忌; 米酒; 清酒; 葡萄酒 查看详细信息</t>
  </si>
  <si>
    <t>沈丹</t>
  </si>
  <si>
    <t>乐码蕊</t>
  </si>
  <si>
    <t>果酒（含酒精）; 酒精饮料（啤酒除外）; 白酒; 红葡萄酒; 白干酒（中国白酒）; 老酒（中国蒸馏烈酒）; 烧酒（烈酒）; 由谷物蒸馏的白酒; 天然汽酒; 以葡萄酒为主的开胃酒 查看详细信息</t>
  </si>
  <si>
    <t>潍坊鲁娘子食品有限公司</t>
  </si>
  <si>
    <t>果酒（含酒精）; 清酒（日本米酒）; 蒸煮提取物（利口酒和烈酒）; 预先混合的酒精饮料（以啤酒为主的除外）; 黄酒; 白酒; 米酒; 青稞酒; 食用酒精; 烧酒 查看详细信息</t>
  </si>
  <si>
    <t>水果汽酒; 烧酒; 白兰地; 威士忌; 鸡尾酒; 果酒（含酒精）; 米酒; 葡萄酒; 含酒精的饮料（啤酒除外）; 白酒 查看详细信息</t>
  </si>
  <si>
    <t>信玺</t>
  </si>
  <si>
    <t>烈酒; 白酒; 果酒; 老酒（中国蒸馏烈酒）; 烧酒; 黄酒; 米酒; 清酒; 青稞酒; 葡萄酒 查看详细信息</t>
  </si>
  <si>
    <t>衢州市柯城区孝贞酒庄</t>
  </si>
  <si>
    <t>楼山后</t>
  </si>
  <si>
    <t>露酒; 果酒（含酒精）; 白酒; 黄酒; 甜酒; 蜂蜜酒; 加烈葡萄酒; 含酒精的水果鸡尾酒饮料; 已调味的麦芽酿制的酒精饮料（啤酒除外）; 米酒 查看详细信息</t>
  </si>
  <si>
    <t>浙江此食此客餐饮管理有限公司</t>
  </si>
  <si>
    <t>崎鲮</t>
  </si>
  <si>
    <t>黄酒; 米酒; 烧酒; 酒精饮料（啤酒除外）; 白酒; 蒸馏饮料; 葡萄酒; 烈酒; 蒸煮提取物（利口酒和烈酒）; 果酒（含酒精） 查看详细信息</t>
  </si>
  <si>
    <t>杭州光合万物网络科技有限公司</t>
  </si>
  <si>
    <t>光和万物</t>
  </si>
  <si>
    <t>葡萄酒; 开胃酒; 含水果酒精饮料; 酒精饮料（啤酒除外）; 果酒（含酒精）; 鸡尾酒; 清酒（日本米酒）; 黄酒; 烧酒; 米酒 查看详细信息</t>
  </si>
  <si>
    <t>寓玺</t>
  </si>
  <si>
    <t>贵粱匠</t>
  </si>
  <si>
    <t>果酒; 老酒（中国蒸馏烈酒）; 葡萄酒; 烈酒; 米酒; 清酒; 青稞酒; 烧酒; 黄酒; 白酒 查看详细信息</t>
  </si>
  <si>
    <t>泸州市泸泸见酒业有限公司</t>
  </si>
  <si>
    <t>庐见</t>
  </si>
  <si>
    <t>鸡尾酒; 葡萄酒; 白兰地; 威士忌; 蒸馏饮料; 烧酒; 白酒; 高粱酒; 清酒; 米酒 查看详细信息</t>
  </si>
  <si>
    <t>桐城市仙姑井豆制品有限公司</t>
  </si>
  <si>
    <t>蜀仔</t>
  </si>
  <si>
    <t>白酒; 黄酒; 米酒; 酒精饮料（啤酒除外）; 鸡尾酒; 果酒; 葡萄酒 查看详细信息</t>
  </si>
  <si>
    <t>山东歌尔门窗有限公司</t>
  </si>
  <si>
    <t>好郓瓦屋庄</t>
  </si>
  <si>
    <t>黄酒; 伏特加酒; 果酒（含酒精）; 白兰地; 葡萄酒; 青稞酒; 威士忌; 烧酒; 白酒; 米酒 查看详细信息</t>
  </si>
  <si>
    <t>自贡市盐都电子商务有限公司</t>
  </si>
  <si>
    <t>蜀自</t>
  </si>
  <si>
    <t>果酒（含酒精）; 葡萄酒; 白兰地; 酒精饮料（啤酒除外）; 白酒; 烧酒; 高粱酒; 白干酒（中国白酒）; 黄酒; 米酒 查看详细信息</t>
  </si>
  <si>
    <t>CHARNEYHIN 查尼轩</t>
  </si>
  <si>
    <t>白酒; 葡萄酒; 烈酒（饮料）; 米酒; 威士忌; 黄酒; 清酒（日本米酒）; 果酒（含酒精）; 蜂蜜酒; 烧酒 查看详细信息</t>
  </si>
  <si>
    <t>孙玉杰</t>
  </si>
  <si>
    <t>励淼</t>
  </si>
  <si>
    <t>果酒（含酒精）; 开胃酒; 鸡尾酒; 葡萄酒; 汽酒; 白兰地; 酒精饮料（啤酒除外）; 含水果酒精饮料; 朗姆酒; 烈酒（饮料） 查看详细信息</t>
  </si>
  <si>
    <t>御金鸾</t>
  </si>
  <si>
    <t>米酒; 高粱酒; 梅酒; 甜果酒; 葡萄酒; 果酒（含酒精）; 白干酒（中国白酒）; 烧酒（烈酒）; 鸡尾酒; 白酒 查看详细信息</t>
  </si>
  <si>
    <t>华贡国际贸易（哈尔滨）有限公司</t>
  </si>
  <si>
    <t>华贡龙商</t>
  </si>
  <si>
    <t>酒精饮料（啤酒除外）; 米酒; 烧酒; 黄酒; 白酒; 餐后酒（利口酒和烈酒）; 朗姆酒; 汽酒; 果酒（含酒精）; 鸡尾酒 查看详细信息</t>
  </si>
  <si>
    <t>曾大勇</t>
  </si>
  <si>
    <t>幸陵酔</t>
  </si>
  <si>
    <t>白酒; 利口酒; 葡萄酒; 果酒; 烧酒; 鸡尾酒; 米酒; 青稞酒; 食用酒精; 烈酒 查看详细信息</t>
  </si>
  <si>
    <t>响山</t>
  </si>
  <si>
    <t>白酒; 黄酒; 米酒; 烧酒; 蒸煮提取物（利口酒和烈酒）; 果酒（含酒精）; 蒸馏饮料; 葡萄酒; 烈酒; 酒精饮料（啤酒除外） 查看详细信息</t>
  </si>
  <si>
    <t>汾阳市西林杏园生态酒业有限公司</t>
  </si>
  <si>
    <t>涔喜</t>
  </si>
  <si>
    <t>五加皮酒（中国混合烈酒）; 刺五加酒; 果酒（含酒精）; 烧酒; 高粱酒; 白酒; 葡萄酒; 黄酒; 老酒（中国蒸馏烈酒）; 烈酒 查看详细信息</t>
  </si>
  <si>
    <t>师正义</t>
  </si>
  <si>
    <t>晚凤</t>
  </si>
  <si>
    <t>缔锦科技（宁波）有限公司</t>
  </si>
  <si>
    <t>桔色火焰 JUICFIRE</t>
  </si>
  <si>
    <t>黄酒; 米酒; 苹果酒; 清酒; 果酒（含酒精）; 含水果酒精饮料; 含酒精的饮料（啤酒除外）; 混合威士忌酒; 谷物制蒸馏酒精饮料; 烧酒 查看详细信息</t>
  </si>
  <si>
    <t>董超</t>
  </si>
  <si>
    <t>猪黑小</t>
  </si>
  <si>
    <t>果酒（含酒精）; 苦味酒; 蒸馏饮料; 酒精饮料原汁; 葡萄酒; 黄酒; 米酒; 白酒; 食用酒精; 含水果酒精饮料 查看详细信息</t>
  </si>
  <si>
    <t>ZHUANGYUANJIU</t>
  </si>
  <si>
    <t>孟宪家210422********2414</t>
  </si>
  <si>
    <t>润曦古秘</t>
  </si>
  <si>
    <t>青稞酒; 果酒（含酒精）; 米酒; 白酒; 食用酒精; 鸡尾酒; 烧酒; 朗姆酒; 开胃酒; 葡萄酒 查看详细信息</t>
  </si>
  <si>
    <t>云南保东贸易有限公司</t>
  </si>
  <si>
    <t>滇闯</t>
  </si>
  <si>
    <t>果酒（含酒精）; 葡萄酒; 米酒; 烧酒; 青稞酒; 露酒; 青梅酒; 甜酒; 果酒; 白酒 查看详细信息</t>
  </si>
  <si>
    <t>吉林省禹溪商贸有限公司</t>
  </si>
  <si>
    <t>吉漫佳</t>
  </si>
  <si>
    <t>果酒（含酒精）; 葡萄酒; 烈酒（饮料）; 酒精饮料（啤酒除外）; 白酒; 谷物制蒸馏酒精饮料; 烧酒; 汽酒; 黄酒; 米酒 查看详细信息</t>
  </si>
  <si>
    <t>厦门市辣安逸食品有限公司</t>
  </si>
  <si>
    <t>川鲜说</t>
  </si>
  <si>
    <t>白酒; 白兰地; 烧酒; 烈酒; 黄酒; 开胃酒; 葡萄酒; 酒精饮料（啤酒除外）; 食用酒精; 果酒 查看详细信息</t>
  </si>
  <si>
    <t>黑龙江九峰山养心谷游览景区管理有限公司</t>
  </si>
  <si>
    <t>九峰山养心谷</t>
  </si>
  <si>
    <t>遵义醉玉汇酒业有限公司</t>
  </si>
  <si>
    <t>侑益</t>
  </si>
  <si>
    <t>果酒（含酒精）; 酒精饮料（啤酒除外）; 米酒; 黄酒; 清酒（日本米酒）; 葡萄酒; 烈酒（饮料）; 白酒; 威士忌; 蒸煮提取物（利口酒和烈酒） 查看详细信息</t>
  </si>
  <si>
    <t>上海蔓士维日用品有限公司</t>
  </si>
  <si>
    <t>客之谜</t>
  </si>
  <si>
    <t>含水果酒精饮料; 果酒; 苹果酒; 葡萄酒; 食用酒精; 露酒; 烈酒（饮料）; 白酒; 蒸馏饮料; 预先混合的酒精饮料（以啤酒为主的除外） 查看详细信息</t>
  </si>
  <si>
    <t>XIEXIENI</t>
  </si>
  <si>
    <t>高粱酒; 老酒（中国蒸馏烈酒）; 青稞酒; 黄酒; 烈酒（饮料）; 烧酒; 开胃酒; 鸡尾酒; 葡萄酒; 白酒 查看详细信息</t>
  </si>
  <si>
    <t>SHENGRIYANJIU</t>
  </si>
  <si>
    <t>黑洞</t>
  </si>
  <si>
    <t>白酒; 果酒; 老酒（中国蒸馏烈酒）; 葡萄酒; 烧酒; 烈酒; 米酒; 清酒; 青稞酒; 黄酒 查看详细信息</t>
  </si>
  <si>
    <t>赵波</t>
  </si>
  <si>
    <t>伊水秋酝</t>
  </si>
  <si>
    <t>鸡尾酒; 葡萄酒; 白兰地; 清酒（日本米酒）; 烧酒; 酒精饮料（啤酒除外）; 米酒; 黄酒; 白酒; 威士忌 查看详细信息</t>
  </si>
  <si>
    <t>孙文超</t>
  </si>
  <si>
    <t>馥好</t>
  </si>
  <si>
    <t>果酒（含酒精）; 鸡尾酒; 葡萄酒; 烈酒（饮料）; 酒精饮料（啤酒除外）; 含水果酒精饮料; 米酒; 白酒; 黄酒; 威士忌 查看详细信息</t>
  </si>
  <si>
    <t>黄丽</t>
  </si>
  <si>
    <t>客乡逢</t>
  </si>
  <si>
    <t>酒精饮料（啤酒除外）; 黄酒; 烧酒; 鸡尾酒; 果酒（含酒精）; 蒸馏饮料; 威士忌; 米酒; 白酒; 葡萄酒 查看详细信息</t>
  </si>
  <si>
    <t>沈秀芬</t>
  </si>
  <si>
    <t>美太功</t>
  </si>
  <si>
    <t>黄酒; 食用酒精; 白酒; 果酒（含酒精）; 青稞酒; 酒精饮料（啤酒除外）; 含水果酒精饮料; 米酒; 谷物制蒸馏酒精饮料; 葡萄酒 查看详细信息</t>
  </si>
  <si>
    <t>吴俊鑫</t>
  </si>
  <si>
    <t>蓝花谣</t>
  </si>
  <si>
    <t>果酒（含酒精）; 米酒; 威士忌; 清酒（日本米酒）; 烈酒（饮料）; 蜂蜜酒; 葡萄酒; 鸡尾酒; 白酒; 黄酒 查看详细信息</t>
  </si>
  <si>
    <t>山东美丽奇经中医药产业发展有限公司</t>
  </si>
  <si>
    <t>CATCHMORE</t>
  </si>
  <si>
    <t>葡萄酒; 以葡萄酒为主的饮料; 威士忌; 伏特加酒; 松叶酒; 鸡尾酒; 亚力酒; 阿夸维特酒; 白酒; 朗姆酒 查看详细信息</t>
  </si>
  <si>
    <t>王振飞</t>
  </si>
  <si>
    <t>渥洼</t>
  </si>
  <si>
    <t>果酒（含酒精）; 酒精饮料（啤酒除外）; 含水果酒精饮料; 果酒; 高粱酒; 由谷物蒸馏的白酒; 含酒精的饮料（啤酒除外）; 烧酒; 葡萄酒; 白酒 查看详细信息</t>
  </si>
  <si>
    <t>王巧云</t>
  </si>
  <si>
    <t>马磅泉</t>
  </si>
  <si>
    <t>老酒（中国蒸馏烈酒）; 白酒; 烈酒（饮料）; 谷物制蒸馏酒精饮料; 葡萄酒; 由谷物蒸馏的白酒; 酒精饮料（啤酒除外）; 蒸馏饮料; 果酒（含酒精）; 烧酒 查看详细信息</t>
  </si>
  <si>
    <t>王永奇</t>
  </si>
  <si>
    <t>果酒（含酒精）; 米酒; 以葡萄酒为主的饮料; 黄酒; 白酒; 苹果酒; 葡萄酒; 青稞酒 查看详细信息</t>
  </si>
  <si>
    <t>卡梵妮（上海）国际贸易有限公司</t>
  </si>
  <si>
    <t>拉维塔</t>
  </si>
  <si>
    <t>清酒; 烧酒; 鸡尾酒; 葡萄酒; 含酒精的饮料（啤酒除外）; 朗姆酒; 黄酒; 白酒; 果酒; 烈酒（饮料） 查看详细信息</t>
  </si>
  <si>
    <t>银川市鑫汇国际贸易有限公司</t>
  </si>
  <si>
    <t>贺银红</t>
  </si>
  <si>
    <t>葡萄酒; 白酒; 果酒（含酒精）; 酒精饮料（啤酒除外）; 蒸馏饮料; 烈酒（饮料）; 米酒; 烧酒; 鸡尾酒; 黄酒 查看详细信息</t>
  </si>
  <si>
    <t>忠玉超</t>
  </si>
  <si>
    <t>果酒（含酒精）; 鸡尾酒; 酒精饮料（啤酒除外）; 米酒; 白干酒（中国白酒）; 含酒精的气泡水; 黄酒; 白酒; 烈酒; 烧酒 查看详细信息</t>
  </si>
  <si>
    <t>黛芙妮</t>
  </si>
  <si>
    <t>安徽有无酒业有限公司</t>
  </si>
  <si>
    <t>馫馥</t>
  </si>
  <si>
    <t>白酒; 老酒（中国蒸馏烈酒）; 葡萄酒; 白兰地; 露酒; 米酒; 黄酒; 清酒; 烈酒; 威士忌 查看详细信息</t>
  </si>
  <si>
    <t>蒋烁飞</t>
  </si>
  <si>
    <t>蒋讲讲</t>
  </si>
  <si>
    <t>烈酒; 含酒精的饮料（啤酒除外）; 白酒; 薄荷酒; 威士忌; 蒸馏饮料; 葡萄酒; 烈酒（饮料）; 白兰地; 果酒（含酒精） 查看详细信息</t>
  </si>
  <si>
    <t>赵浩田</t>
  </si>
  <si>
    <t>珂思海尼</t>
  </si>
  <si>
    <t>果酒（含酒精）; 蒸馏饮料; 威士忌; 白兰地; 鸡尾酒; 烈酒（饮料）; 米酒; 白酒; 葡萄酒; 伏特加酒 查看详细信息</t>
  </si>
  <si>
    <t>深圳乐遇百货贸易有限公司</t>
  </si>
  <si>
    <t>FITN</t>
  </si>
  <si>
    <t>烧酒; 果酒（含酒精）; 葡萄酒; 鸡尾酒; 威士忌; 蒸馏饮料; 白酒; 酒精饮料（啤酒除外）; 白兰地; 烈酒（饮料） 查看详细信息</t>
  </si>
  <si>
    <t>郑州麽麽蜜呀企业管理咨询有限公司</t>
  </si>
  <si>
    <t>茶艳艳</t>
  </si>
  <si>
    <t>白酒; 果酒（含酒精）; 黄酒; 葡萄酒; 食用酒精; 酒精饮料（啤酒除外）; 开胃酒; 烧酒; 米酒; 樱桃酒 查看详细信息</t>
  </si>
  <si>
    <t>徐俊标</t>
  </si>
  <si>
    <t>裀</t>
  </si>
  <si>
    <t>果酒（含酒精）; 蒸馏饮料; 葡萄酒; 米酒; 露酒; 黄酒; 白酒; 高粱酒; 烈酒; 烧酒 查看详细信息</t>
  </si>
  <si>
    <t>王银超</t>
  </si>
  <si>
    <t>乾青壶</t>
  </si>
  <si>
    <t>果酒（含酒精）; 开胃酒; 鸡尾酒; 葡萄酒; 白酒; 威士忌; 酒精饮料（啤酒除外）; 烈酒; 黄酒; 清酒（日本米酒） 查看详细信息</t>
  </si>
  <si>
    <t>北京友碟科技有限公司</t>
  </si>
  <si>
    <t>食用酒精; 开胃酒; 鸡尾酒; 葡萄酒; 果酒; 伏特加酒; 白兰地; 威士忌; 白酒; 酒精饮料（啤酒除外） 查看详细信息</t>
  </si>
  <si>
    <t>高俊142322********5538</t>
  </si>
  <si>
    <t>清风起</t>
  </si>
  <si>
    <t>果酒; 开胃酒; 米酒; 白酒; 烈酒; 含水果酒精饮料; 蒸馏饮料; 苦味酒; 葡萄酒; 清酒 查看详细信息</t>
  </si>
  <si>
    <t>高荣吉</t>
  </si>
  <si>
    <t>吉沐</t>
  </si>
  <si>
    <t>葡萄酒; 米酒; 烧酒; 白酒; 果酒（含酒精）; 酒精饮料（啤酒除外）; 黄酒; 清酒; 露酒; 高粱酒 查看详细信息</t>
  </si>
  <si>
    <t>四川千重窖酒业有限公司</t>
  </si>
  <si>
    <t>神印湶</t>
  </si>
  <si>
    <t>白酒; 果酒（含酒精）; 烧酒（烈酒）; 含酒精的饮料（啤酒除外）; 老酒（中国蒸馏烈酒）; 米酒; 黄酒; 甜酒; 葡萄酒; 利口酒 查看详细信息</t>
  </si>
  <si>
    <t>广州金鑫酒业有限公司</t>
  </si>
  <si>
    <t>水浒晁盖</t>
  </si>
  <si>
    <t>蜂蜜酒; 米酒; 烧酒; 黄酒; 开胃酒; 老酒（中国蒸馏烈酒）; 苦荞酒; 白干酒（中国白酒）; 果酒（含酒精）; 白酒 查看详细信息</t>
  </si>
  <si>
    <t>广州丝丛信息科技有限公司</t>
  </si>
  <si>
    <t>安帕尔</t>
  </si>
  <si>
    <t>果酒（含酒精）; 苹果酒; 鸡尾酒; 葡萄酒; 酒精饮料（啤酒除外）; 米酒; 烧酒; 黄酒; 白酒; 清酒（日本米酒） 查看详细信息</t>
  </si>
  <si>
    <t>李咏婷</t>
  </si>
  <si>
    <t>彡棠美</t>
  </si>
  <si>
    <t>葡萄酒; 米酒; 汽酒; 黄酒; 白酒; 蜂蜜酒; 果酒; 含酒精水果饮料; 老酒（中国蒸馏烈酒）; 蒸煮提取物（利口酒和烈酒）; 高粱酒 查看详细信息</t>
  </si>
  <si>
    <t>山西清泉酒业科技有限公司</t>
  </si>
  <si>
    <t>清翔</t>
  </si>
  <si>
    <t>果酒（含酒精）; 鸡尾酒; 葡萄酒; 烈酒（饮料）; 露酒; 苦荞酒; 梨酒; 白酒; 烧酒; 米酒 查看详细信息</t>
  </si>
  <si>
    <t>高海蓉</t>
  </si>
  <si>
    <t>龙百尊</t>
  </si>
  <si>
    <t>薄荷酒; 果酒（含酒精）; 开胃酒; 苹果酒; 白酒; 米酒; 烧酒; 汽酒; 黄酒; 白兰地 查看详细信息</t>
  </si>
  <si>
    <t>方嘉川</t>
  </si>
  <si>
    <t>方大拿</t>
  </si>
  <si>
    <t>清酒; 食用酒精; 烧酒; 米酒; 含酒精水果饮料; 葡萄酒; 黄酒; 烈酒; 白酒; 果酒（含酒精） 查看详细信息</t>
  </si>
  <si>
    <t>东莞市嵘瑚电子科技有限公司</t>
  </si>
  <si>
    <t>荷醉庭</t>
  </si>
  <si>
    <t>葡萄酒; 樱桃酒; 朗姆酒; 伏特加酒; 白干酒（中国白酒）; 米酒; 黄酒; 清酒; 烧酒; 汽酒 查看详细信息</t>
  </si>
  <si>
    <t>贵州赖元正酒业有限公司</t>
  </si>
  <si>
    <t>记克龙</t>
  </si>
  <si>
    <t>葡萄酒; 酒精饮料原汁; 米酒; 烧酒; 果酒; 白酒; 烈酒; 露酒; 高粱酒; 食用酒精 查看详细信息</t>
  </si>
  <si>
    <t>乾潮浪</t>
  </si>
  <si>
    <t>阳清泉</t>
  </si>
  <si>
    <t>葡萄酒; 烈酒（饮料）; 苦荞酒; 梨酒; 鸡尾酒; 烧酒; 露酒; 米酒; 果酒（含酒精）; 白酒 查看详细信息</t>
  </si>
  <si>
    <t>杭州御斛瑃农业科技有限公司</t>
  </si>
  <si>
    <t>昱斛瑃</t>
  </si>
  <si>
    <t>果酒（含酒精）; 苦味酒; 鸡尾酒; 蜂蜜酒; 白酒; 酒精饮料（啤酒除外）; 米酒; 汽酒; 黄酒; 酒精饮料浓缩汁 查看详细信息</t>
  </si>
  <si>
    <t>临沂新实丰种业有限公司</t>
  </si>
  <si>
    <t>沂哥</t>
  </si>
  <si>
    <t>果酒（含酒精）; 葡萄酒; 白兰地; 清酒（日本米酒）; 米酒; 黄酒; 白酒; 烈酒; 老酒（中国蒸馏烈酒）; 酒精饮料（啤酒除外） 查看详细信息</t>
  </si>
  <si>
    <t>罗纳康蒂</t>
  </si>
  <si>
    <t>曾祥卫</t>
  </si>
  <si>
    <t>青理酒坊</t>
  </si>
  <si>
    <t>含水果酒精饮料; 果酒; 白酒; 米酒; 鸡尾酒; 蒸煮提取物（利口酒和烈酒）; 蒸馏饮料; 酒精饮料浓缩汁; 食用酒精; 葡萄酒 查看详细信息</t>
  </si>
  <si>
    <t>熊喵来了（大连）餐饮管理有限公司</t>
  </si>
  <si>
    <t>张文利</t>
  </si>
  <si>
    <t>燕赵大运河</t>
  </si>
  <si>
    <t>烈酒（饮料）; 开胃酒; 白酒; 葡萄酒; 鸡尾酒; 米酒; 酒精饮料（啤酒除外）; 烧酒; 黄酒; 含水果酒精饮料 查看详细信息</t>
  </si>
  <si>
    <t>呼和浩特市邮惠农农牧业科技发展有限公司</t>
  </si>
  <si>
    <t>蒙雁</t>
  </si>
  <si>
    <t>果酒（含酒精）; 开胃酒; 酒精饮料（啤酒除外）; 米酒; 葡萄酒; 黄酒; 白酒; 甜酒; 鸡尾酒; 汽酒 查看详细信息</t>
  </si>
  <si>
    <t>周辉</t>
  </si>
  <si>
    <t>以珩庄园·沁园</t>
  </si>
  <si>
    <t>伏特加酒; 威士忌; 果酒（含酒精）; 白兰地; 蒸煮提取物（利口酒和烈酒）; 米酒; 葡萄酒; 酒精饮料（啤酒除外）; 黄酒; 白酒 查看详细信息</t>
  </si>
  <si>
    <t>湖北龙旗酒业有限公司</t>
  </si>
  <si>
    <t>义龙旗</t>
  </si>
  <si>
    <t>计算机网络上的在线广告; 户外广告; 计算机网络和网站的在线推广; 样品散发; 电视广告; 广告材料分发; 货物展出; 广告; 广告宣传; 张贴广告 查看详细信息</t>
  </si>
  <si>
    <t>泸州印迹老名酒业有限公司</t>
  </si>
  <si>
    <t>宋遗酿</t>
  </si>
  <si>
    <t>蒸煮提取物（利口酒和烈酒）; 黄酒; 酒精饮料（啤酒除外）; 食用酒精; 清酒; 白酒; 白兰地; 米酒; 葡萄酒; 果酒（含酒精） 查看详细信息</t>
  </si>
  <si>
    <t>永修县渔丰生态农业基地（普通合伙）</t>
  </si>
  <si>
    <t>捕蔬捉果</t>
  </si>
  <si>
    <t>果酒（含酒精）; 白兰地; 米酒; 烧酒; 白干酒（中国白酒）; 烈酒; 鸡尾酒; 葡萄酒; 伏特加酒; 白酒 查看详细信息</t>
  </si>
  <si>
    <t>秋芝隆（莆田市）贸易有限公司</t>
  </si>
  <si>
    <t>秋芝隆</t>
  </si>
  <si>
    <t>鸡尾酒; 葡萄酒; 酒精饮料浓缩汁; 米酒; 果酒; 白酒; 利口酒; 黄酒; 蒸馏饮料; 食用酒精 查看详细信息</t>
  </si>
  <si>
    <t>广东长乐烧酒业股份有限公司</t>
  </si>
  <si>
    <t>长乐特醇</t>
  </si>
  <si>
    <t>白酒; 蒸煮提取物（利口酒和烈酒）; 果酒（含酒精）; 开胃酒; 食用酒精; 蜂蜜酒; 米酒; 烧酒; 黄酒; 葡萄酒 查看详细信息</t>
  </si>
  <si>
    <t>刘乐</t>
  </si>
  <si>
    <t>修元春</t>
  </si>
  <si>
    <t>果酒（含酒精）; 葡萄酒; 烈酒（饮料）; 白酒; 含水果酒精饮料; 老酒（中国蒸馏烈酒）; 白干酒（中国白酒）; 酒精饮料原汁 查看详细信息</t>
  </si>
  <si>
    <t>曹级府</t>
  </si>
  <si>
    <t>鸡尾酒; 葡萄酒; 烈酒（饮料）; 烧酒; 黄酒; 老酒（中国蒸馏烈酒）; 青稞酒; 开胃酒; 白酒; 高粱酒 查看详细信息</t>
  </si>
  <si>
    <t>泸州磨沙二曲酒业有限公司</t>
  </si>
  <si>
    <t>宙之魂</t>
  </si>
  <si>
    <t>果酒（含酒精）; 鸡尾酒; 白兰地; 威士忌; 白酒; 食用酒精; 米酒; 黄酒; 清酒（日本米酒）; 酒精饮料（啤酒除外） 查看详细信息</t>
  </si>
  <si>
    <t>杜金柱</t>
  </si>
  <si>
    <t>著和黄金</t>
  </si>
  <si>
    <t>白酒; 葡萄酒; 烈酒（饮料）; 清酒（日本米酒）; 黄酒; 米酒; 烧酒; 含水果酒精饮料; 果酒（含酒精）; 酒精饮料（啤酒除外） 查看详细信息</t>
  </si>
  <si>
    <t>媛媛·布克豪斯</t>
  </si>
  <si>
    <t>粉吻</t>
  </si>
  <si>
    <t>米酒; 清酒（日本米酒）; 烈酒（饮料）; 白酒; 白兰地; 果酒（含酒精）; 鸡尾酒; 葡萄酒; 利口酒; 酒精饮料（啤酒除外） 查看详细信息</t>
  </si>
  <si>
    <t>殷玉柱</t>
  </si>
  <si>
    <t>禹宴</t>
  </si>
  <si>
    <t>果酒（含酒精）; 酒精饮料（啤酒除外）; 葡萄酒; 烈酒（饮料）; 含水果酒精饮料; 白酒; 米酒; 威士忌; 黄酒; 白兰地 查看详细信息</t>
  </si>
  <si>
    <t>深圳市集者餐饮品牌管理有限责任公司</t>
  </si>
  <si>
    <t>飞猫渔夫</t>
  </si>
  <si>
    <t>果酒（含酒精）; 开胃酒; 食用酒精; 黄酒; 米酒; 酒精饮料原汁; 鸡尾酒; 烧酒; 葡萄酒; 白酒 查看详细信息</t>
  </si>
  <si>
    <t>黉十二</t>
  </si>
  <si>
    <t>中科国瑞科技（海南）集团有限公司</t>
  </si>
  <si>
    <t>橘色映像</t>
  </si>
  <si>
    <t>烧酒; 黄酒; 白酒; 老酒（中国蒸馏烈酒）; 果酒; 清酒; 由谷物蒸馏的白酒; 米酒; 高粱酒; 烧酒（烈酒） 查看详细信息</t>
  </si>
  <si>
    <t>贵州豫宛货仓商贸有限公司</t>
  </si>
  <si>
    <t>智遵大当家</t>
  </si>
  <si>
    <t>高粱酒; 苦荞酒; 葡萄酒; 果酒; 米酒; 烧酒; 白酒; 茴香酒; 青稞酒; 烈酒 查看详细信息</t>
  </si>
  <si>
    <t>宋遗老泸城</t>
  </si>
  <si>
    <t>果酒（含酒精）; 清酒; 白酒; 白兰地; 食用酒精; 葡萄酒; 蒸煮提取物（利口酒和烈酒）; 黄酒; 酒精饮料（啤酒除外）; 米酒 查看详细信息</t>
  </si>
  <si>
    <t>南昌爱抖传媒有限公司</t>
  </si>
  <si>
    <t>乐维荷</t>
  </si>
  <si>
    <t>烈酒（饮料）; 含水果酒精饮料; 威士忌; 烧酒; 果酒（含酒精）; 谷物制蒸馏酒精饮料; 黄酒; 白酒; 食用酒精; 白兰地 查看详细信息</t>
  </si>
  <si>
    <t>徐震</t>
  </si>
  <si>
    <t>喜亿盛</t>
  </si>
  <si>
    <t>果酒（含酒精）; 烧酒; 米酒; 黄酒; 葡萄酒; 烈酒（饮料）; 酒精饮料（啤酒除外）; 酒精饮料浓缩汁; 白酒; 食用酒精 查看详细信息</t>
  </si>
  <si>
    <t>彭时光</t>
  </si>
  <si>
    <t>宜陇时光</t>
  </si>
  <si>
    <t>果酒（含酒精）; 酒精饮料（啤酒除外）; 米酒; 烧酒; 老酒（中国蒸馏烈酒）; 白酒; 清酒; 高粱酒; 由谷物蒸馏的白酒; 黄酒 查看详细信息</t>
  </si>
  <si>
    <t>宋遗老城</t>
  </si>
  <si>
    <t>清酒; 白酒; 白兰地; 米酒; 酒精饮料（啤酒除外）; 蒸煮提取物（利口酒和烈酒）; 黄酒; 果酒（含酒精）; 食用酒精; 葡萄酒 查看详细信息</t>
  </si>
  <si>
    <t>安徽金种子酒业股份有限公司</t>
  </si>
  <si>
    <t>金种子馥香盛宴</t>
  </si>
  <si>
    <t>烧酒; 葡萄酒; 酒精饮料浓缩汁; 鸡尾酒; 白酒; 米酒; 含水果酒精饮料; 果酒（含酒精）; 烈酒（饮料）; 黄酒 查看详细信息</t>
  </si>
  <si>
    <t>怀红涛</t>
  </si>
  <si>
    <t>古钰尊</t>
  </si>
  <si>
    <t>葡萄酒; 威士忌; 米酒; 白酒; 烧酒; 酒精饮料（啤酒除外）; 烈酒（饮料）; 鸡尾酒; 果酒（含酒精）; 黄酒 查看详细信息</t>
  </si>
  <si>
    <t>无畏精神有限公司</t>
  </si>
  <si>
    <t>瑞格奥格</t>
  </si>
  <si>
    <t>杜松子酒; 伏特加酒; 汽酒; 白酒; 白兰地; 烈酒; 果酒; 葡萄酒; 含水果酒精饮料; 利口酒 查看详细信息</t>
  </si>
  <si>
    <t>章伟荷</t>
  </si>
  <si>
    <t>晋阳诵</t>
  </si>
  <si>
    <t>烧酒; 白酒; 汽酒; 黄酒; 果酒; 葡萄酒; 白干酒（中国白酒）; 佐餐酒; 含酒精的饮料（啤酒除外）; 米酒 查看详细信息</t>
  </si>
  <si>
    <t>品味著和</t>
  </si>
  <si>
    <t>杨慷</t>
  </si>
  <si>
    <t>蜀之礼</t>
  </si>
  <si>
    <t>清酒（日本米酒）; 白酒; 果酒（含酒精）; 黄酒; 开胃酒; 烈酒; 威士忌; 酒精饮料（啤酒除外）; 鸡尾酒; 葡萄酒 查看详细信息</t>
  </si>
  <si>
    <t>牛献忠</t>
  </si>
  <si>
    <t>醉美万仙山</t>
  </si>
  <si>
    <t>蒸馏饮料; 烈酒（饮料）; 葡萄酒; 米酒; 蒸煮提取物（利口酒和烈酒）; 果酒（含酒精）; 黄酒; 含水果酒精饮料; 酒精饮料原汁; 白酒 查看详细信息</t>
  </si>
  <si>
    <t>上海鲜富能网络科技有限公司</t>
  </si>
  <si>
    <t>蚁刻鲜</t>
  </si>
  <si>
    <t>甜果酒; 黄酒; 朗姆酒; 清酒（日本米酒）; 酒精饮料（啤酒除外）; 鸡尾酒; 白酒; 米酒; 威士忌; 葡萄酒 查看详细信息</t>
  </si>
  <si>
    <t>四川省今大鸿工贸有限公司</t>
  </si>
  <si>
    <t>今大鸿</t>
  </si>
  <si>
    <t>白酒; 果酒（含酒精）; 鸡尾酒; 葡萄酒; 露酒; 米酒; 黄酒; 烧酒; 开胃酒; 白兰地 查看详细信息</t>
  </si>
  <si>
    <t>吉林海明天盛医药有限公司</t>
  </si>
  <si>
    <t>烈酒（饮料）; 汽酒; 苦味酒; 露酒; 刺五加酒; 酒精饮料（啤酒除外）; 果酒; 葡萄酒; 白酒; 预先混合的酒精饮料（以啤酒为主的除外） 查看详细信息</t>
  </si>
  <si>
    <t>湖南乾诚电力科技有限公司</t>
  </si>
  <si>
    <t>永长裕</t>
  </si>
  <si>
    <t>含酒精的水果鸡尾酒饮料; 清酒; 果酒（含酒精）; 葡萄酒; 甜酒; 米酒; 白酒; 老酒（中国蒸馏烈酒）; 五加皮酒（中国混合烈酒）; 酒精饮料（啤酒除外） 查看详细信息</t>
  </si>
  <si>
    <t>深圳市宾临门科技有限公司</t>
  </si>
  <si>
    <t>富运牛</t>
  </si>
  <si>
    <t>高粱酒; 青梅酒; 露酒; 果酒（含酒精）; 白酒; 威士忌; 酒精饮料（啤酒除外）; 米酒; 谷物制蒸馏酒精饮料; 清酒（日本米酒） 查看详细信息</t>
  </si>
  <si>
    <t>半尾坡</t>
  </si>
  <si>
    <t>烧酒; 果酒（含酒精）; 开胃酒; 食用酒精; 米酒; 白酒; 酒精饮料原汁; 鸡尾酒; 葡萄酒; 黄酒 查看详细信息</t>
  </si>
  <si>
    <t>刘梦婷</t>
  </si>
  <si>
    <t>盏礼</t>
  </si>
  <si>
    <t>宋遗论</t>
  </si>
  <si>
    <t>酒精饮料（啤酒除外）; 食用酒精; 果酒（含酒精）; 清酒; 黄酒; 白兰地; 米酒; 葡萄酒; 蒸煮提取物（利口酒和烈酒）; 白酒 查看详细信息</t>
  </si>
  <si>
    <t>张新豪</t>
  </si>
  <si>
    <t>青瑾羽</t>
  </si>
  <si>
    <t>葡萄酒; 酒精饮料（啤酒除外）; 米酒; 白酒; 蜂蜜酒; 烧酒; 含酒精的气泡水; 薄荷酒; 预先混合的酒精饮料（以啤酒为主的除外）; 黄酒 查看详细信息</t>
  </si>
  <si>
    <t>内蒙古华唯酒庄有限公司</t>
  </si>
  <si>
    <t>华唯听雪</t>
  </si>
  <si>
    <t>烧酒; 黄酒; 青稞酒; 米酒; 白酒; 果酒; 梅酒; 露酒; 酒精饮料（啤酒除外）; 葡萄酒 查看详细信息</t>
  </si>
  <si>
    <t>南京紫石味桩餐饮有限公司</t>
  </si>
  <si>
    <t>瓦焱</t>
  </si>
  <si>
    <t>果酒（含酒精）; 开胃酒; 葡萄酒; 利口酒; 烧酒; 含水果酒精饮料; 米酒; 黄酒; 白酒; 蜂蜜酒 查看详细信息</t>
  </si>
  <si>
    <t>宋遗篆</t>
  </si>
  <si>
    <t>著和生活</t>
  </si>
  <si>
    <t>烧酒; 含水果酒精饮料; 果酒（含酒精）; 黄酒; 米酒; 葡萄酒; 烈酒（饮料）; 清酒（日本米酒）; 酒精饮料（啤酒除外）; 白酒 查看详细信息</t>
  </si>
  <si>
    <t>巫溪县渝达酒业有限公司</t>
  </si>
  <si>
    <t>大巫</t>
  </si>
  <si>
    <t>果酒; 白酒; 鸡尾酒; 葡萄酒; 青稞酒; 黄酒; 利口酒; 白兰地; 威士忌; 梨酒 查看详细信息</t>
  </si>
  <si>
    <t>林志良</t>
  </si>
  <si>
    <t>天下时珍</t>
  </si>
  <si>
    <t>果酒（含酒精）; 酒精饮料（啤酒除外）; 黄酒; 鸡尾酒; 白兰地; 威士忌; 米酒; 白酒; 葡萄酒; 烈酒（饮料） 查看详细信息</t>
  </si>
  <si>
    <t>锦州壹品九氿酒业有限公司</t>
  </si>
  <si>
    <t>天上氿</t>
  </si>
  <si>
    <t>苹果酒; 食用酒精; 烧酒; 果酒; 汽酒; 白酒; 米酒; 酒精饮料（啤酒除外）; 蒸馏饮料; 葡萄酒 查看详细信息</t>
  </si>
  <si>
    <t>贵乡吟</t>
  </si>
  <si>
    <t>白酒; 米酒; 果酒（含酒精）; 葡萄酒; 烧酒; 黄酒; 利口酒; 威士忌; 预先混合的酒精饮料（以啤酒为主的除外）; 烈酒（饮料） 查看详细信息</t>
  </si>
  <si>
    <t>上海兰润餐饮管理有限公司</t>
  </si>
  <si>
    <t>见山序</t>
  </si>
  <si>
    <t>白兰地; 威士忌; 葡萄酒; 烈酒（饮料）; 黄酒; 果酒（含酒精）; 米酒; 白酒; 甜酒; 酒精饮料原汁 查看详细信息</t>
  </si>
  <si>
    <t>黉六十</t>
  </si>
  <si>
    <t>福鼎市伯牙琴茶业有限公司</t>
  </si>
  <si>
    <t>山海琴</t>
  </si>
  <si>
    <t>白兰地; 威士忌; 鸡尾酒; 酒精饮料（啤酒除外）; 米酒; 含水果酒精饮料; 开胃酒; 葡萄酒; 白酒; 黄酒 查看详细信息</t>
  </si>
  <si>
    <t>刘新刚</t>
  </si>
  <si>
    <t>慧饮狮</t>
  </si>
  <si>
    <t>葡萄酒; 米酒; 白酒; 烧酒; 鸡尾酒; 果酒; 烈酒; 梅酒; 高粱酒; 黄酒 查看详细信息</t>
  </si>
  <si>
    <t>姚明明</t>
  </si>
  <si>
    <t>吉元春</t>
  </si>
  <si>
    <t>黄酒; 烧酒; 含水果酒精饮料; 酒精饮料（啤酒除外）; 食用酒精; 清酒（日本米酒）; 谷物制蒸馏酒精饮料; 葡萄酒; 白酒; 酒精饮料原汁 查看详细信息</t>
  </si>
  <si>
    <t>丰秧</t>
  </si>
  <si>
    <t>著祥</t>
  </si>
  <si>
    <t>葡萄酒; 烈酒（饮料）; 清酒（日本米酒）; 酒精饮料（啤酒除外）; 白酒; 烧酒; 含水果酒精饮料; 果酒（含酒精）; 黄酒; 米酒 查看详细信息</t>
  </si>
  <si>
    <t>宋遗老遗城</t>
  </si>
  <si>
    <t>海明天盛</t>
  </si>
  <si>
    <t>预先混合的酒精饮料（以啤酒为主的除外）; 酒精饮料（啤酒除外）; 果酒; 葡萄酒; 露酒; 刺五加酒; 烈酒（饮料）; 汽酒; 苦味酒; 白酒 查看详细信息</t>
  </si>
  <si>
    <t>何丽娟</t>
  </si>
  <si>
    <t>何老怪</t>
  </si>
  <si>
    <t>米酒; 白酒; 果酒（含酒精）; 蒸馏饮料; 鸡尾酒; 葡萄潘趣酒; 黄酒; 烈酒（饮料）; 汽酒; 葡萄酒 查看详细信息</t>
  </si>
  <si>
    <t>乔治卡姆（美国）有限公司</t>
  </si>
  <si>
    <t>LAISMAS</t>
  </si>
  <si>
    <t>苹果酒; 鸡尾酒; 葡萄酒; 威士忌; 薄荷酒; 黄酒; 汽酒; 烧酒; 白酒; 清酒（日本米酒） 查看详细信息</t>
  </si>
  <si>
    <t>贵州省仁怀市南宾酒业销售有限公司</t>
  </si>
  <si>
    <t>鑫彤笨熊</t>
  </si>
  <si>
    <t>果酒; 白酒; 葡萄酒; 酒精饮料（啤酒除外）; 白干酒（中国白酒）; 老酒（中国蒸馏烈酒）; 烈酒（饮料）; 鸡尾酒; 高粱酒; 烈酒 查看详细信息</t>
  </si>
  <si>
    <t>河南臻如意实业有限公司</t>
  </si>
  <si>
    <t>初味清欢</t>
  </si>
  <si>
    <t>果酒（含酒精）; 清酒（日本米酒）; 鸡尾酒; 葡萄酒; 烧酒; 伏特加酒; 利口酒; 酒精饮料（啤酒除外）; 白酒; 白兰地 查看详细信息</t>
  </si>
  <si>
    <t>凤城市时代老窖酒业饮品有限公司</t>
  </si>
  <si>
    <t>厚元烧坊</t>
  </si>
  <si>
    <t>白酒; 烧酒; 烈酒（饮料）; 酒精饮料原汁; 蒸煮提取物（利口酒和烈酒）; 酒精饮料（啤酒除外）; 葡萄酒; 黄酒; 开胃酒; 米酒 查看详细信息</t>
  </si>
  <si>
    <t>宜宾须弥商贸有限公司</t>
  </si>
  <si>
    <t>喵爪</t>
  </si>
  <si>
    <t>鸡尾酒; 威士忌; 白酒; 葡萄酒; 伏特加酒; 烈酒（饮料）; 青稞酒; 酒精饮料原汁; 食用酒精; 烧酒 查看详细信息</t>
  </si>
  <si>
    <t>古彩坊</t>
  </si>
  <si>
    <t>黉十六</t>
  </si>
  <si>
    <t>威士忌; 朗姆酒; 伏特加酒; 果酒; 葡萄酒; 露酒; 白酒; 鸡尾酒; 酒精饮料（啤酒除外）; 烈酒 查看详细信息</t>
  </si>
  <si>
    <t>吉林省溪泉酒业有限公司</t>
  </si>
  <si>
    <t>釜禄</t>
  </si>
  <si>
    <t>酒精饮料浓缩汁; 酒精饮料（啤酒除外）; 白酒; 葡萄酒; 食用酒精; 黄酒; 烧酒; 米酒; 果酒（含酒精）; 烈酒（饮料） 查看详细信息</t>
  </si>
  <si>
    <t>亳州市崇果酒业有限公司</t>
  </si>
  <si>
    <t>君谯令</t>
  </si>
  <si>
    <t>黄酒; 烈酒（饮料）; 含水果酒精饮料; 食用酒精; 鸡尾酒; 果酒; 白酒; 蒸馏饮料; 米酒; 汽酒 查看详细信息</t>
  </si>
  <si>
    <t>宋遗作</t>
  </si>
  <si>
    <t>食用酒精; 果酒（含酒精）; 清酒; 白酒; 酒精饮料（啤酒除外）; 米酒; 葡萄酒; 蒸煮提取物（利口酒和烈酒）; 黄酒; 白兰地 查看详细信息</t>
  </si>
  <si>
    <t>KARSTCO</t>
  </si>
  <si>
    <t>烧酒; 白酒; 薄荷酒; 苹果酒; 汽酒; 葡萄酒; 威士忌; 清酒（日本米酒）; 黄酒; 鸡尾酒 查看详细信息</t>
  </si>
  <si>
    <t>杜荣芳</t>
  </si>
  <si>
    <t>轻卫士</t>
  </si>
  <si>
    <t>小巫</t>
  </si>
  <si>
    <t>白酒; 鸡尾酒; 葡萄酒; 梨酒; 果酒; 利口酒; 白兰地; 威士忌; 青稞酒; 黄酒 查看详细信息</t>
  </si>
  <si>
    <t>野火猴</t>
  </si>
  <si>
    <t>张忠让</t>
  </si>
  <si>
    <t>啄让佳源</t>
  </si>
  <si>
    <t>宋遗老古城</t>
  </si>
  <si>
    <t>孔庆泉（370802********9517）</t>
  </si>
  <si>
    <t>嘉和天诚</t>
  </si>
  <si>
    <t>果酒（含酒精）; 汽酒; 白酒; 白兰地; 甜果酒; 高粱酒; 葡萄酒; 清酒; 烧酒; 威士忌 查看详细信息</t>
  </si>
  <si>
    <t>白酒; 烧酒; 黄酒; 青稞酒; 酒精饮料（啤酒除外）; 葡萄酒; 果酒; 梅酒; 露酒; 米酒 查看详细信息</t>
  </si>
  <si>
    <t>赵海波</t>
  </si>
  <si>
    <t>源在江湖</t>
  </si>
  <si>
    <t>露酒; 老酒（中国蒸馏烈酒）; 葡萄酒; 米酒; 已调味的蒸馏酒; 烧酒; 白酒; 高粱酒; 果酒; 黄酒 查看详细信息</t>
  </si>
  <si>
    <t>杭州创品创帝贸易有限公司</t>
  </si>
  <si>
    <t>创晶</t>
  </si>
  <si>
    <t>果酒（含酒精）; 开胃酒; 苹果酒; 鸡尾酒; 威士忌; 酒精饮料（啤酒除外）; 米酒; 黄酒; 白酒; 葡萄酒 查看详细信息</t>
  </si>
  <si>
    <t>青理长河</t>
  </si>
  <si>
    <t>五洲春（南京）文化产业有限公司</t>
  </si>
  <si>
    <t>江南五洲春</t>
  </si>
  <si>
    <t>含水果酒精饮料; 威士忌; 开胃酒; 果酒（含酒精）; 鸡尾酒; 烧酒; 白酒; 米酒; 茴香酒（利口酒）; 烈酒 查看详细信息</t>
  </si>
  <si>
    <t>安随随</t>
  </si>
  <si>
    <t>轻掌门</t>
  </si>
  <si>
    <t>烟台官前酒业有限公司</t>
  </si>
  <si>
    <t>原野共社</t>
  </si>
  <si>
    <t>白酒; 含酒精的水果鸡尾酒饮料; 高粱酒; 果酒（含酒精）; 黄酒; 葡萄酒; 米酒; 预先混合的酒精饮料（以啤酒为主的除外）; 烧酒; 鸡尾酒 查看详细信息</t>
  </si>
  <si>
    <t>杨继友</t>
  </si>
  <si>
    <t>杨小鲜</t>
  </si>
  <si>
    <t>薄荷酒; 果酒（含酒精）; 开胃酒; 鸡尾酒; 谷物制蒸馏酒精饮料; 白兰地; 含水果酒精饮料; 米酒; 朗姆酒; 蜂蜜酒 查看详细信息</t>
  </si>
  <si>
    <t>上海君如投资有限公司</t>
  </si>
  <si>
    <t>蒙福尔男爵 BARON DE MONTPHORE</t>
  </si>
  <si>
    <t>果酒（含酒精）; 谷物制蒸馏酒精饮料; 蒸煮提取物（利口酒和烈酒）; 葡萄酒; 威士忌; 烈酒（饮料）; 白兰地; 酒精饮料（啤酒除外）; 汽酒; 利口酒 查看详细信息</t>
  </si>
  <si>
    <t>宋遗城</t>
  </si>
  <si>
    <t>宋遗烧</t>
  </si>
  <si>
    <t>清酒; 白酒; 果酒（含酒精）; 白兰地; 蒸煮提取物（利口酒和烈酒）; 葡萄酒; 黄酒; 酒精饮料（啤酒除外）; 食用酒精; 米酒 查看详细信息</t>
  </si>
  <si>
    <t>著泰</t>
  </si>
  <si>
    <t>吉林省王家鹿园参茸有限公司</t>
  </si>
  <si>
    <t>茜荐优选</t>
  </si>
  <si>
    <t>果酒; 高粱酒; 开胃酒; 鸡尾酒; 由谷物蒸馏的白酒; 露酒; 烈酒; 老酒（中国蒸馏烈酒）; 餐后酒（利口酒和烈酒）; 白酒 查看详细信息</t>
  </si>
  <si>
    <t>茜与茜寻</t>
  </si>
  <si>
    <t>高粱酒; 开胃酒; 鸡尾酒; 白酒; 果酒; 烈酒; 老酒（中国蒸馏烈酒）; 餐后酒（利口酒和烈酒）; 由谷物蒸馏的白酒; 露酒 查看详细信息</t>
  </si>
  <si>
    <t>吉林省韩金钰餐饮管理有限公司</t>
  </si>
  <si>
    <t>韩金钰</t>
  </si>
  <si>
    <t>米酒; 白酒; 黄酒; 果酒（含酒精）; 威士忌; 鸡尾酒; 葡萄酒; 烈酒（饮料）; 白兰地; 开胃酒 查看详细信息</t>
  </si>
  <si>
    <t>李玉颖</t>
  </si>
  <si>
    <t>德润吉源</t>
  </si>
  <si>
    <t>烧酒; 黄酒; 鸡尾酒; 烈酒（饮料）; 酒精饮料（啤酒除外）; 白酒; 葡萄酒; 含水果酒精饮料; 米酒; 开胃酒 查看详细信息</t>
  </si>
  <si>
    <t>广西缘海生物科技有限公司</t>
  </si>
  <si>
    <t>山中草</t>
  </si>
  <si>
    <t>青稞酒; 烧酒; 果酒（含酒精）; 米酒; 露酒; 黄酒; 利口酒; 酒精饮料（啤酒除外）; 葡萄酒; 白酒 查看详细信息</t>
  </si>
  <si>
    <t>孔力伟</t>
  </si>
  <si>
    <t>君幸士</t>
  </si>
  <si>
    <t>白酒; 预先混合的酒精饮料（以啤酒为主的除外）; 含水果酒精饮料; 酒精饮料原汁; 红葡萄酒; 米酒; 黄酒; 清酒; 烧酒; 高粱酒 查看详细信息</t>
  </si>
  <si>
    <t>广州玖师妹酒业有限责任公司</t>
  </si>
  <si>
    <t>葡萄酒; 米酒; 烈酒; 加烈葡萄酒; 威士忌; 白兰地; 朗姆酒; 伏特加酒; 苦艾酒; 杜松子酒; 鸡尾酒; 开胃酒; 利口酒; 露酒; 果酒; 清酒; 黄酒; 白酒 查看详细信息</t>
  </si>
  <si>
    <t>深圳市鼎飞实业有限公司</t>
  </si>
  <si>
    <t>正白品</t>
  </si>
  <si>
    <t>果酒（含酒精）; 鸡尾酒; 白兰地; 清酒（日本米酒）; 白酒; 米酒; 朗姆酒; 伏特加酒; 黄酒; 威士忌 查看详细信息</t>
  </si>
  <si>
    <t>赢万福</t>
  </si>
  <si>
    <t>烈酒; 白酒; 果酒（含酒精）; 黄酒; 葡萄酒; 开胃酒; 威士忌; 鸡尾酒; 酒精饮料（啤酒除外）; 清酒（日本米酒） 查看详细信息</t>
  </si>
  <si>
    <t>古彩家</t>
  </si>
  <si>
    <t>古尊师</t>
  </si>
  <si>
    <t>黄酒; 酒精饮料（啤酒除外）; 烈酒（饮料）; 鸡尾酒; 白酒; 烧酒; 葡萄酒; 威士忌; 米酒; 果酒（含酒精） 查看详细信息</t>
  </si>
  <si>
    <t>河南玖洋联鑫环保科技集团有限公司</t>
  </si>
  <si>
    <t>玢酬</t>
  </si>
  <si>
    <t>白酒; 黄酒; 葡萄酒; 果酒; 五加皮酒（中国混合烈酒）; 除啤酒外的酒精饮料; 烧酒; 汽酒; 烈酒; 米酒 查看详细信息</t>
  </si>
  <si>
    <t>唐隆祥</t>
  </si>
  <si>
    <t>巴山夜雨</t>
  </si>
  <si>
    <t>果酒（含酒精）; 葡萄酒; 利口酒; 烈酒（饮料）; 白酒; 酒精饮料原汁; 米酒; 烧酒; 黄酒; 威士忌 查看详细信息</t>
  </si>
  <si>
    <t>与茜同行</t>
  </si>
  <si>
    <t>黉三十</t>
  </si>
  <si>
    <t>黉五十</t>
  </si>
  <si>
    <t>云南源满食品有限公司</t>
  </si>
  <si>
    <t>金源东扬</t>
  </si>
  <si>
    <t>果酒（含酒精）; 杜松子酒; 烈酒; 白兰地; 食用酒精; 朗姆酒; 米酒; 白酒; 葡萄酒; 含水果酒精饮料 查看详细信息</t>
  </si>
  <si>
    <t>张雪</t>
  </si>
  <si>
    <t>郕</t>
  </si>
  <si>
    <t>白酒; 米酒; 葡萄酒; 蒸煮提取物（利口酒和烈酒）; 酒精饮料（啤酒除外）; 食用酒精; 黄酒; 开胃酒; 果酒（含酒精）; 烧酒 查看详细信息</t>
  </si>
  <si>
    <t>姜警龙</t>
  </si>
  <si>
    <t>森命摇篮</t>
  </si>
  <si>
    <t>开胃酒; 果酒; 清酒; 汽酒; 黄酒; 白酒; 米酒; 葡萄酒; 食用酒精; 甜酒 查看详细信息</t>
  </si>
  <si>
    <t>刘海俊</t>
  </si>
  <si>
    <t>草木功坊</t>
  </si>
  <si>
    <t>广西合山市下寨酒业有限公司</t>
  </si>
  <si>
    <t>米相白</t>
  </si>
  <si>
    <t>果酒（含酒精）; 蒸馏饮料; 苹果酒; 清酒（日本米酒）; 白酒; 米酒; 以葡萄酒为主的饮料; 烧酒; 黄酒; 威士忌 查看详细信息</t>
  </si>
  <si>
    <t>黄酒; 白酒; 果酒（含酒精）; 葡萄酒; 烧酒; 烈酒（饮料）; 威士忌; 酒精饮料原汁; 米酒; 利口酒 查看详细信息</t>
  </si>
  <si>
    <t>弥高品牌管理有限公司</t>
  </si>
  <si>
    <t>八埗香</t>
  </si>
  <si>
    <t>果酒（含酒精）; 烈酒（饮料）; 米酒; 清酒; 白酒; 酒精饮料（啤酒除外）; 葡萄酒; 开胃酒; 白兰地; 黄酒 查看详细信息</t>
  </si>
  <si>
    <t>漳州市龙文区仰喆食品商行</t>
  </si>
  <si>
    <t>拾光浅致</t>
  </si>
  <si>
    <t>果酒（含酒精）; 白酒; 葡萄酒; 利口酒; 清酒; 威士忌; 米酒; 梅酒; 伏特加酒; 白兰地 查看详细信息</t>
  </si>
  <si>
    <t>海南省风宏进出口贸易有限公司</t>
  </si>
  <si>
    <t>酒宏风</t>
  </si>
  <si>
    <t>蒸馏饮料; 烈酒（饮料）; 白酒; 果酒（含酒精）; 青稞酒; 黄酒; 酒精饮料（啤酒除外）; 米酒; 蜂蜜酒; 樱桃酒 查看详细信息</t>
  </si>
  <si>
    <t>何亚州</t>
  </si>
  <si>
    <t>遇见黑井</t>
  </si>
  <si>
    <t>果酒（含酒精）; 鸡尾酒; 葡萄酒; 酸酒（低等葡萄酒）; 白酒; 酒精饮料（啤酒除外）; 米酒; 黄酒; 食用酒精; 清酒（日本米酒） 查看详细信息</t>
  </si>
  <si>
    <t>著河</t>
  </si>
  <si>
    <t>李柏喜</t>
  </si>
  <si>
    <t>宝堰印象</t>
  </si>
  <si>
    <t>酒精饮料（啤酒除外）; 甜酒; 烧酒; 黄酒; 老酒（中国蒸馏烈酒）; 蒸馏米酒（泡盛酒）; 开胃酒; 果酒; 白酒; 米酒 查看详细信息</t>
  </si>
  <si>
    <t>牟其芳</t>
  </si>
  <si>
    <t>NBSELL</t>
  </si>
  <si>
    <t>白酒; 果酒; 汽酒; 烧酒; 米酒; 葡萄酒; 老酒（中国蒸馏烈酒）; 酒精饮料（啤酒除外）; 蒸馏饮料; 鸡尾酒 查看详细信息</t>
  </si>
  <si>
    <t>叶丹</t>
  </si>
  <si>
    <t>好香晏</t>
  </si>
  <si>
    <t>烧酒; 白兰地; 威士忌; 米酒; 白酒; 葡萄酒; 烈酒（饮料）; 清酒（日本米酒）; 黄酒; 鸡尾酒 查看详细信息</t>
  </si>
  <si>
    <t>华唯</t>
  </si>
  <si>
    <t>露酒; 米酒; 白酒; 烧酒; 黄酒; 青稞酒; 酒精饮料（啤酒除外）; 葡萄酒; 果酒; 梅酒 查看详细信息</t>
  </si>
  <si>
    <t>创家合展（广州）智能家居科技有限公司</t>
  </si>
  <si>
    <t>创家合展</t>
  </si>
  <si>
    <t>葡萄酒; 果酒（含酒精）; 烧酒; 米酒; 白酒; 食用酒精; 烈酒（饮料）; 酒精饮料（啤酒除外）; 酒精饮料浓缩汁; 黄酒 查看详细信息</t>
  </si>
  <si>
    <t>四川土之牧生态农业开发有限公司</t>
  </si>
  <si>
    <t>牟鹏杰</t>
  </si>
  <si>
    <t>白酒; 烧酒; 黄酒; 开胃酒; 威士忌; 葡萄酒; 烈酒（饮料）; 酒精饮料原汁; 鸡尾酒; 果酒（含酒精） 查看详细信息</t>
  </si>
  <si>
    <t>河南初摇食品有限公司</t>
  </si>
  <si>
    <t>黔台玉瑶</t>
  </si>
  <si>
    <t>烧酒; 黄酒; 米酒; 白酒; 开胃酒; 含水果酒精饮料; 薄荷酒; 鸡尾酒; 烈酒（饮料）; 葡萄酒 查看详细信息</t>
  </si>
  <si>
    <t>奎爷</t>
  </si>
  <si>
    <t>白酒; 食用酒精; 黄酒; 烧酒; 葡萄酒; 酒精饮料（啤酒除外）; 酒精饮料原汁; 清酒（日本米酒）; 谷物制蒸馏酒精饮料; 含水果酒精饮料 查看详细信息</t>
  </si>
  <si>
    <t>宋遗记</t>
  </si>
  <si>
    <t>广东发芽红生物科技有限公司</t>
  </si>
  <si>
    <t>奇焕</t>
  </si>
  <si>
    <t>葡萄酒; 利口酒; 烈酒（饮料）; 威士忌; 含水果酒精饮料; 烧酒; 黄酒; 米酒; 鸡尾酒; 白酒 查看详细信息</t>
  </si>
  <si>
    <t>著得</t>
  </si>
  <si>
    <t>渝达大巫</t>
  </si>
  <si>
    <t>诸葛典</t>
  </si>
  <si>
    <t>白酒; 米酒; 果酒（含酒精）; 葡萄酒; 威士忌; 酒精饮料（啤酒除外）; 黄酒; 鸡尾酒; 烈酒（饮料）; 白兰地 查看详细信息</t>
  </si>
  <si>
    <t>广西国通投资集团有限公司</t>
  </si>
  <si>
    <t>溢香皇后</t>
  </si>
  <si>
    <t>鸡尾酒; 葡萄酒; 黄酒; 米酒; 果酒（含酒精）; 汽酒; 白兰地; 含酒精的饮料（啤酒除外）; 烈酒（饮料）; 白酒 查看详细信息</t>
  </si>
  <si>
    <t>重庆美天食品有限公司</t>
  </si>
  <si>
    <t>猛龙</t>
  </si>
  <si>
    <t>清酒（日本米酒）; 伏特加酒; 果酒（含酒精）; 开胃酒; 威士忌; 白酒; 烧酒; 鸡尾酒; 酒精饮料（啤酒除外）; 葡萄酒 查看详细信息</t>
  </si>
  <si>
    <t>广东省蓁香酒业有限公司</t>
  </si>
  <si>
    <t>蓁香</t>
  </si>
  <si>
    <t>黄酒; 清酒（日本米酒）; 食用酒精; 酒精饮料（啤酒除外）; 米酒; 谷物制蒸馏酒精饮料; 白酒; 果酒（含酒精）; 烧酒; 烈酒（饮料） 查看详细信息</t>
  </si>
  <si>
    <t>广州薇蜜可思服饰有限公司</t>
  </si>
  <si>
    <t>含水果酒精饮料; 杜松子酒; 烈酒（饮料）; 烧酒; 开胃酒; 以葡萄酒为主的饮料; 苹果酒; 蒸馏饮料; 预先混合的酒精饮料（以啤酒为主的除外）; 酒精饮料浓缩汁 查看详细信息</t>
  </si>
  <si>
    <t>黉二十</t>
  </si>
  <si>
    <t>贵州大前门酒业有限公司</t>
  </si>
  <si>
    <t>颐和佳宾</t>
  </si>
  <si>
    <t>白兰地; 威士忌; 白酒; 梅酒; 烈酒; 红葡萄酒; 白干酒（中国白酒）; 果酒; 鸡尾酒; 葡萄酒 查看详细信息</t>
  </si>
  <si>
    <t>海南澄果实业有限公司</t>
  </si>
  <si>
    <t>南果学长</t>
  </si>
  <si>
    <t>谷物制蒸馏酒精饮料; 预先混合的酒精饮料（以啤酒为主的除外）; 米酒; 老酒（中国蒸馏烈酒）; 白干酒（中国白酒）; 白酒; 葡萄酒; 酒精饮料（啤酒除外）; 果酒（含酒精）; 清酒（日本米酒） 查看详细信息</t>
  </si>
  <si>
    <t>黔台君瑶</t>
  </si>
  <si>
    <t>白酒; 烧酒; 黄酒; 米酒; 薄荷酒; 含水果酒精饮料; 鸡尾酒; 烈酒（饮料）; 开胃酒; 葡萄酒 查看详细信息</t>
  </si>
  <si>
    <t>上海纳启华国际贸易有限公司</t>
  </si>
  <si>
    <t>希曼格</t>
  </si>
  <si>
    <t>鸡尾酒; 葡萄酒; 预先混合的酒精饮料（以啤酒为主的除外）; 以葡萄酒为主的饮料; 混合威士忌酒; 白酒; 调制好的葡萄酒鸡尾酒; 含酒精的鸡尾酒混合饮品; 红葡萄酒; 烧酒 查看详细信息</t>
  </si>
  <si>
    <t>柏丽茨</t>
  </si>
  <si>
    <t>真·百香</t>
  </si>
  <si>
    <t>苏北山</t>
  </si>
  <si>
    <t>烧酒; 含水果酒精饮料; 酒精饮料（啤酒除外）; 酒精饮料原汁; 黄酒; 谷物制蒸馏酒精饮料; 葡萄酒; 白酒; 食用酒精; 清酒（日本米酒） 查看详细信息</t>
  </si>
  <si>
    <t>重庆华时通企业管理有限公司</t>
  </si>
  <si>
    <t>山释而野</t>
  </si>
  <si>
    <t>葡萄酒; 黄酒; 米酒; 烧酒; 开胃酒; 已调味的麦芽酿制的酒精饮料（啤酒除外）; 含酒精的气泡水; 烈酒; 白酒; 以葡萄酒为主的饮料 查看详细信息</t>
  </si>
  <si>
    <t>河南鼎琛物联网科技有限公司</t>
  </si>
  <si>
    <t>格行</t>
  </si>
  <si>
    <t>黄酒; 烈酒（饮料）; 米酒; 白葡萄酒; 预调甜酒; 水果汽酒; 以朗姆酒为主的饮料; 烈性干酒; 烧酒（烈酒）; 高粱酒 查看详细信息</t>
  </si>
  <si>
    <t>吴磊刚</t>
  </si>
  <si>
    <t>慧御医</t>
  </si>
  <si>
    <t>海口庭安投资有限公司</t>
  </si>
  <si>
    <t>庭安</t>
  </si>
  <si>
    <t>胡德</t>
  </si>
  <si>
    <t>仁生如画</t>
  </si>
  <si>
    <t>果酒（含酒精）; 白酒; 餐后酒（利口酒和烈酒）; 露酒; 谷物制蒸馏酒精饮料; 米酒; 烈酒（饮料）; 葡萄酒; 蒸馏饮料; 苹果酒 查看详细信息</t>
  </si>
  <si>
    <t>野里寻花（南京）艺术品有限公司</t>
  </si>
  <si>
    <t>野里花间</t>
  </si>
  <si>
    <t>薄荷酒; 果酒（含酒精）; 苦味酒; 蒸馏饮料; 樱桃酒; 鸡尾酒; 葡萄酒; 利口酒; 蜂蜜酒; 苹果酒 查看详细信息</t>
  </si>
  <si>
    <t>天津市稻香丰年商贸有限公司</t>
  </si>
  <si>
    <t>相蓟</t>
  </si>
  <si>
    <t>汽酒; 黄酒; 鸡尾酒; 米酒; 白酒; 威士忌; 酒精饮料原汁; 含水果酒精饮料; 果酒（含酒精）; 食用酒精 查看详细信息</t>
  </si>
  <si>
    <t>河北巨鑫酒业有限公司</t>
  </si>
  <si>
    <t>巨鑫天子笑</t>
  </si>
  <si>
    <t>黄酒; 葡萄酒; 威士忌; 米酒; 白兰地; 烈酒（饮料）; 果酒（含酒精）; 伏特加酒; 清酒; 白酒 查看详细信息</t>
  </si>
  <si>
    <t>胡海前</t>
  </si>
  <si>
    <t>颂运</t>
  </si>
  <si>
    <t>烧酒; 白酒; 黄酒; 食用酒精; 威士忌; 青稞酒; 含水果酒精饮料; 米酒; 果酒（含酒精）; 烈酒（饮料） 查看详细信息</t>
  </si>
  <si>
    <t>人民公社（河南）酒业集团有限公司</t>
  </si>
  <si>
    <t>新农夫公社</t>
  </si>
  <si>
    <t>米酒; 利口酒; 果酒（含酒精）; 清酒（日本米酒）; 酒精饮料（啤酒除外）; 白酒; 白兰地; 葡萄酒; 开胃酒; 烧酒 查看详细信息</t>
  </si>
  <si>
    <t>陕西秦岭钰香酒业有限公司</t>
  </si>
  <si>
    <t>钰深情</t>
  </si>
  <si>
    <t>亚力酒; 开胃酒; 汽酒; 白酒; 黄酒; 以葡萄酒为主的饮料; 梨酒; 烧酒; 米酒; 薄荷酒 查看详细信息</t>
  </si>
  <si>
    <t>上海登圻实业有限公司</t>
  </si>
  <si>
    <t>圻福兄弟</t>
  </si>
  <si>
    <t>白酒; 黄酒; 蜂蜜酒; 鸡尾酒; 谷物制蒸馏酒精饮料; 果酒（含酒精）; 清酒（日本米酒）; 葡萄酒; 清酒; 梅酒 查看详细信息</t>
  </si>
  <si>
    <t>台州桉鑫餐饮管理有限公司</t>
  </si>
  <si>
    <t>COISINI JO JO</t>
  </si>
  <si>
    <t>果酒（含酒精）; 葡萄酒; 烈酒（饮料）; 白兰地; 白酒; 酒精饮料（啤酒除外）; 伏特加酒; 黄酒; 食用酒精; 威士忌 查看详细信息</t>
  </si>
  <si>
    <t>宏硕(深圳)科技有限公司</t>
  </si>
  <si>
    <t>巴巴渧洛</t>
  </si>
  <si>
    <t>葡萄酒; 白酒; 烧酒; 黄酒; 果酒（含酒精）; 酒精饮料（啤酒除外）; 烈酒（饮料）; 蜂蜜酒; 蒸馏饮料; 汽酒 查看详细信息</t>
  </si>
  <si>
    <t>高晶晶</t>
  </si>
  <si>
    <t>秋芮</t>
  </si>
  <si>
    <t>米酒; 白酒; 清酒; 果酒（含酒精）; 朗姆酒; 鸡尾酒; 日式甜米酒; 红葡萄酒; 日本梅子酒; 含水果酒精饮料 查看详细信息</t>
  </si>
  <si>
    <t>清晖(北京)资本管理有限公司</t>
  </si>
  <si>
    <t>固几堂</t>
  </si>
  <si>
    <t>鸡尾酒; 威士忌; 米酒; 烧酒; 蒸馏饮料; 黄酒; 白酒; 葡萄酒; 果酒（含酒精）; 含酒精的饮料（啤酒除外） 查看详细信息</t>
  </si>
  <si>
    <t>佛山市顺德区容桂诚文百货商行</t>
  </si>
  <si>
    <t>皆喜美</t>
  </si>
  <si>
    <t>梅酒; 葡萄酒; 黄酒; 白兰地; 甜酒; 米酒; 烧酒; 白酒; 果酒; 威士忌 查看详细信息</t>
  </si>
  <si>
    <t>JERLARBAO 杰拉堡</t>
  </si>
  <si>
    <t>葡萄酒; 白兰地; 威士忌; 米酒; 黄酒; 烈酒（饮料）; 果酒（含酒精）; 伏特加酒; 清酒; 白酒 查看详细信息</t>
  </si>
  <si>
    <t>沈阳起云天创企业管理有限公司</t>
  </si>
  <si>
    <t>鎏喵宅汪</t>
  </si>
  <si>
    <t>教育; 通过模拟装置进行的培训服务; 组织教育或娱乐竞赛; 出借书籍的图书馆; 提供不可下载的在线电子出版物; 娱乐服务; 提供体育设施; 摄影; 动物园服务; 为艺术家提供模特服务 查看详细信息</t>
  </si>
  <si>
    <t>月仙翁</t>
  </si>
  <si>
    <t>白酒; 烧酒; 利口酒; 威士忌; 黄酒; 预先混合的酒精饮料（以啤酒为主的除外）; 果酒（含酒精）; 葡萄酒; 烈酒（饮料）; 米酒 查看详细信息</t>
  </si>
  <si>
    <t>湖南新添源数智化供应链有限公司</t>
  </si>
  <si>
    <t>添源龙</t>
  </si>
  <si>
    <t>高粱酒; 红葡萄酒; 烈酒; 露酒; 米酒; 白酒; 白干酒（中国白酒）; 烈性干酒; 甜酒 查看详细信息</t>
  </si>
  <si>
    <t>北京水谷静谓网络科技有限公司</t>
  </si>
  <si>
    <t>洋抖</t>
  </si>
  <si>
    <t>果酒（含酒精）; 蒸馏饮料; 白兰地; 米酒; 葡萄酒; 白酒; 酒精饮料（啤酒除外）; 黄酒; 烧酒; 烈酒（饮料） 查看详细信息</t>
  </si>
  <si>
    <t>贵州黔三酩酒业有限公司</t>
  </si>
  <si>
    <t>蒹佳赋</t>
  </si>
  <si>
    <t>白酒; 白干酒（中国白酒）; 由谷物蒸馏的白酒; 果酒（含酒精）; 烈酒（饮料）; 烧酒（烈酒）; 米酒; 高粱酒; 黄酒; 葡萄酒 查看详细信息</t>
  </si>
  <si>
    <t>杭州同於德健康管理有限公司</t>
  </si>
  <si>
    <t>同於德</t>
  </si>
  <si>
    <t>烧酒; 苦艾酒; 蜂蜜酒; 白酒; 清酒（日本米酒）; 黄酒; 白兰地; 葡萄酒; 果酒（含酒精）; 酒精饮料（啤酒除外） 查看详细信息</t>
  </si>
  <si>
    <t>黄龙龙</t>
  </si>
  <si>
    <t>今粟村</t>
  </si>
  <si>
    <t>苏州迅领教育科技有限公司</t>
  </si>
  <si>
    <t>栀意</t>
  </si>
  <si>
    <t>薄荷酒; 果酒（含酒精）; 蒸馏饮料; 鸡尾酒; 白酒; 清酒（日本米酒）; 米酒; 汽酒; 黄酒; 葡萄酒 查看详细信息</t>
  </si>
  <si>
    <t>吴昊</t>
  </si>
  <si>
    <t>古睢坊</t>
  </si>
  <si>
    <t>白干酒（中国白酒）; 白酒; 露酒; 高粱酒; 伏特加酒; 黄酒; 米酒; 白兰地; 佐餐酒; 烧酒 查看详细信息</t>
  </si>
  <si>
    <t>北京鼎盛合文化发展有限公司</t>
  </si>
  <si>
    <t>过万山</t>
  </si>
  <si>
    <t>黄酒; 伏特加酒; 威士忌; 果酒; 清酒（日本米酒）; 白兰地; 白酒; 葡萄酒; 蒸馏饮料; 烧酒 查看详细信息</t>
  </si>
  <si>
    <t>可以未来影视文化（北京）有限公司</t>
  </si>
  <si>
    <t>土语南居</t>
  </si>
  <si>
    <t>果酒（含酒精）; 葡萄酒; 蜂蜜酒; 白兰地; 鸡尾酒; 米酒; 黄酒; 白酒; 含酒精的气泡水; 清酒（日本米酒） 查看详细信息</t>
  </si>
  <si>
    <t>李春红</t>
  </si>
  <si>
    <t>湘欢</t>
  </si>
  <si>
    <t>果酒（含酒精）; 鸡尾酒; 葡萄酒; 威士忌; 开胃酒; 甜果酒; 白酒; 烈酒（饮料）; 伏特加酒; 酒精饮料（啤酒除外） 查看详细信息</t>
  </si>
  <si>
    <t>黄日辉</t>
  </si>
  <si>
    <t>珍吉康</t>
  </si>
  <si>
    <t>果酒（含酒精）; 白酒; 葡萄酒; 梨酒; 由谷物蒸馏的白酒; 烧酒; 高粱酒; 草莓酒; 梅酒; 米酒 查看详细信息</t>
  </si>
  <si>
    <t>四川古蜀源酒业有限公司</t>
  </si>
  <si>
    <t>古蜀禧</t>
  </si>
  <si>
    <t>白酒; 葡萄酒; 果酒（含酒精）; 米酒; 露酒; 烧酒; 黄酒; 鸡尾酒; 老酒（中国蒸馏烈酒）; 酒精饮料（啤酒除外） 查看详细信息</t>
  </si>
  <si>
    <t>谕王台</t>
  </si>
  <si>
    <t>大理市海峰投资有限公司</t>
  </si>
  <si>
    <t>水花N秋</t>
  </si>
  <si>
    <t>果酒（含酒精）; 开胃酒; 鸡尾酒; 葡萄酒; 已调味的麦芽酿制的酒精饮料（啤酒除外）; 白酒; 黄酒; 以葡萄酒为主的饮料; 含酒精的气泡水; 烈酒（饮料） 查看详细信息</t>
  </si>
  <si>
    <t>贵州玺程人力资源管理有限公司</t>
  </si>
  <si>
    <t>初好惠享之家</t>
  </si>
  <si>
    <t>夜间护卫服务; 临时照看婴孩; 个人服装搭配咨询; 下葬服务; 开保险锁; 合规性审计; 软件出版框架下的许可（法律服务）; 为他人进行合同谈判的法律服务; 知识产权咨询; 版权管理 查看详细信息</t>
  </si>
  <si>
    <t>张学兰</t>
  </si>
  <si>
    <t>杨氏门第</t>
  </si>
  <si>
    <t>苏查德</t>
  </si>
  <si>
    <t>四川快乐酒保品牌管理有限公司</t>
  </si>
  <si>
    <t>皇城龙龙行天下</t>
  </si>
  <si>
    <t>烧酒; 烈酒; 白酒; 老酒（中国蒸馏烈酒）; 清酒（日本米酒）; 鸡尾酒; 黄酒; 青稞酒; 果酒（含酒精）; 葡萄酒 查看详细信息</t>
  </si>
  <si>
    <t>厦门鹭莎贝尔进出口有限公司</t>
  </si>
  <si>
    <t>蜜乐兔</t>
  </si>
  <si>
    <t>果酒（含酒精）; 葡萄酒; 米酒; 白酒; 含水果酒精饮料; 威士忌; 烧酒; 黄酒; 白兰地; 混合威士忌酒 查看详细信息</t>
  </si>
  <si>
    <t>禹城市春雨酒业经销有限公司</t>
  </si>
  <si>
    <t>施女湖</t>
  </si>
  <si>
    <t>果酒（含酒精）; 鸡尾酒; 葡萄酒; 白兰地; 蒸馏饮料; 米酒; 白酒; 食用酒精; 烧酒; 威士忌 查看详细信息</t>
  </si>
  <si>
    <t>GLOF MT</t>
  </si>
  <si>
    <t>薄荷酒; 果酒（含酒精）; 苦味酒; 亚力酒; 茴香酒（利口酒）; 开胃酒; 茴芹酒（利口酒） 查看详细信息</t>
  </si>
  <si>
    <t>张兴华</t>
  </si>
  <si>
    <t>董六英坊</t>
  </si>
  <si>
    <t>清酒（日本米酒）; 果酒（含酒精）; 酒精饮料（啤酒除外）; 白酒; 米酒; 烧酒; 葡萄酒; 食用酒精; 威士忌; 黄酒 查看详细信息</t>
  </si>
  <si>
    <t>张晓诗</t>
  </si>
  <si>
    <t>巧霸</t>
  </si>
  <si>
    <t>吉林省玉祥林食品科技发展有限责任公司</t>
  </si>
  <si>
    <t>库梅克斯</t>
  </si>
  <si>
    <t>果酒; 除啤酒外的酒精饮料; 开胃酒; 蒸馏饮料; 白酒; 含水果酒精饮料; 米酒; 黄酒; 烧酒; 鸡尾酒 查看详细信息</t>
  </si>
  <si>
    <t>玉祥林</t>
  </si>
  <si>
    <t>祁县乔家酒业有限公司</t>
  </si>
  <si>
    <t>隆乔家</t>
  </si>
  <si>
    <t>先相飞</t>
  </si>
  <si>
    <t>先家烧坊金典</t>
  </si>
  <si>
    <t>果酒（含酒精）; 米酒; 烧酒; 黄酒; 烈性干酒; 高粱酒; 果酒; 甜酒; 梅酒; 白酒 查看详细信息</t>
  </si>
  <si>
    <t>上海贝比弗文化传播有限公司</t>
  </si>
  <si>
    <t>THEROIR</t>
  </si>
  <si>
    <t>果酒（含酒精）; 开胃酒; 蜂蜜酒; 葡萄酒; 含酒精的饮料（啤酒除外）; 梨酒; 米酒; 蒸馏饮料; 薄荷酒; 樱桃酒 查看详细信息</t>
  </si>
  <si>
    <t>凯迪日耶·艾尔肯</t>
  </si>
  <si>
    <t>SAMIBABAHAN</t>
  </si>
  <si>
    <t>蜂蜜酒; 烈酒（饮料）; 白兰地; 酒精饮料（啤酒除外）; 果酒（含酒精）; 咖啡利口酒; 水果汽酒; 以葡萄酒为主的饮料; 葡萄酒; 含水果酒精饮料 查看详细信息</t>
  </si>
  <si>
    <t>贵州中袖酒业销售有限公司</t>
  </si>
  <si>
    <t>中袖苍穹</t>
  </si>
  <si>
    <t>烈酒（饮料）; 露酒; 白酒; 谷物制蒸馏酒精饮料; 葡萄酒; 蒸馏饮料; 米酒; 果酒（含酒精）; 苹果酒; 餐后酒（利口酒和烈酒） 查看详细信息</t>
  </si>
  <si>
    <t>贵州仁谱酒业有限公司</t>
  </si>
  <si>
    <t>忆斟龙翔</t>
  </si>
  <si>
    <t>酒精饮料（啤酒除外）; 白酒; 果酒（含酒精）; 开胃酒; 黄酒; 烧酒; 米酒; 清酒; 蒸煮提取物（利口酒和烈酒）; 葡萄酒 查看详细信息</t>
  </si>
  <si>
    <t>李昊城</t>
  </si>
  <si>
    <t>弘合会嘉</t>
  </si>
  <si>
    <t>李继辉</t>
  </si>
  <si>
    <t>奢朝 LUXCHOO</t>
  </si>
  <si>
    <t>初好福到家</t>
  </si>
  <si>
    <t>夜间护卫服务; 临时照看婴孩; 个人服装搭配咨询; 下葬服务; 开保险锁; 知识产权咨询; 版权管理; 为他人进行合同谈判的法律服务; 软件出版框架下的许可（法律服务）; 合规性审计 查看详细信息</t>
  </si>
  <si>
    <t>杭州海钏贸易有限公司</t>
  </si>
  <si>
    <t>隆福盛名</t>
  </si>
  <si>
    <t>蒸馏饮料; 烈酒（饮料）; 清酒（日本米酒）; 酒精饮料（啤酒除外）; 果酒（含酒精）; 烧酒; 黄酒; 食用酒精; 白酒; 米酒 查看详细信息</t>
  </si>
  <si>
    <t>陕西允中文教院</t>
  </si>
  <si>
    <t>允中</t>
  </si>
  <si>
    <t>米酒; 清酒（日本米酒）; 白酒; 威士忌; 果酒（含酒精）; 葡萄酒; 烈酒（饮料）; 黄酒; 烧酒; 伏特加酒 查看详细信息</t>
  </si>
  <si>
    <t>厦门市东南海滨投资开发有限公司</t>
  </si>
  <si>
    <t>塔头</t>
  </si>
  <si>
    <t>烈酒（饮料）; 葡萄酒; 鸡尾酒; 蒸馏饮料; 白兰地; 含酒精水果饮料; 米酒; 白酒; 食用酒精; 果酒（含酒精） 查看详细信息</t>
  </si>
  <si>
    <t>温州健豪印刷有限公司</t>
  </si>
  <si>
    <t>寸度</t>
  </si>
  <si>
    <t>谷物制蒸馏酒精饮料; 米酒; 含水果酒精饮料; 白酒; 烧酒; 老酒（中国蒸馏烈酒）; 清酒; 葡萄酒; 果酒（含酒精）; 黄酒 查看详细信息</t>
  </si>
  <si>
    <t>黄勇</t>
  </si>
  <si>
    <t>康乾泰斗</t>
  </si>
  <si>
    <t>餐后酒（利口酒和烈酒）; 白酒; 果酒（含酒精）; 蒸馏饮料; 露酒; 葡萄酒; 烈酒（饮料）; 米酒; 谷物制蒸馏酒精饮料; 苹果酒 查看详细信息</t>
  </si>
  <si>
    <t>有来有去（广东）品牌管理有限公司</t>
  </si>
  <si>
    <t>锵徳斋</t>
  </si>
  <si>
    <t>果酒（含酒精）; 葡萄酒; 清酒（日本米酒）; 含水果酒精饮料; 烧酒; 汽酒; 米酒; 黄酒; 烈酒（饮料）; 酒精饮料（啤酒除外） 查看详细信息</t>
  </si>
  <si>
    <t>好吃客酒坊</t>
  </si>
  <si>
    <t>冯朝</t>
  </si>
  <si>
    <t>爱特超级</t>
  </si>
  <si>
    <t>含酒精水果饮料; 含酒精的饮料（啤酒除外）; 米酒; 食用酒精; 果酒（含酒精）; 白兰地; 威士忌; 清酒; 烈酒; 鸡尾酒 查看详细信息</t>
  </si>
  <si>
    <t>青岛龙翔天润中医药科技开发有限公司</t>
  </si>
  <si>
    <t>龙翔天润</t>
  </si>
  <si>
    <t>蜂蜜酒; 黄酒; 威士忌; 果酒; 葡萄酒; 烈酒; 烧酒; 白酒; 米酒; 汽酒 查看详细信息</t>
  </si>
  <si>
    <t>佛山市追可互联网服务有限公司</t>
  </si>
  <si>
    <t>霍宠</t>
  </si>
  <si>
    <t>葡萄酒; 苹果酒; 烧酒; 白酒; 威士忌; 米酒; 青稞酒; 鸡尾酒; 含水果酒精饮料; 黄酒 查看详细信息</t>
  </si>
  <si>
    <t>宿迁汉楚酒业有限公司</t>
  </si>
  <si>
    <t>元二使</t>
  </si>
  <si>
    <t>白酒; 烧酒; 白兰地; 伏特加酒; 威士忌; 黄酒; 酒精饮料（啤酒除外）; 烈酒; 葡萄酒; 果酒 查看详细信息</t>
  </si>
  <si>
    <t>深圳市伦邦科技有限公司</t>
  </si>
  <si>
    <t>HUUK</t>
  </si>
  <si>
    <t>葡萄酒; 甜酒; 威士忌; 白酒; 果酒; 高粱酒; 白兰地; 红葡萄酒; 白葡萄酒; 鸡尾酒 查看详细信息</t>
  </si>
  <si>
    <t>上海圣祖梵服饰有限公司</t>
  </si>
  <si>
    <t>圣祖梵</t>
  </si>
  <si>
    <t>白酒; 黄酒; 烈酒; 清酒; 葡萄酒; 鸡尾酒; 果酒（含酒精）; 威士忌; 朗姆酒; 烧酒 查看详细信息</t>
  </si>
  <si>
    <t>成都市永乐竹湖农村集体经济组织管理有限责任公司</t>
  </si>
  <si>
    <t>盘箸</t>
  </si>
  <si>
    <t>白酒; 果酒（含酒精）; 蒸馏饮料; 蒸煮提取物（利口酒和烈酒）; 鸡尾酒; 酒精饮料（啤酒除外）; 含水果酒精饮料; 食用酒精; 葡萄酒; 白兰地 查看详细信息</t>
  </si>
  <si>
    <t>泸州炉海酒类销售有限公司</t>
  </si>
  <si>
    <t>潮客莱</t>
  </si>
  <si>
    <t>杭州美霓了网络科技有限公司</t>
  </si>
  <si>
    <t>RURUYA</t>
  </si>
  <si>
    <t>黄酒; 食用酒精; 白酒; 威士忌; 葡萄酒; 白兰地; 果酒（含酒精）; 烈酒（饮料）; 酒精饮料（啤酒除外）; 伏特加酒 查看详细信息</t>
  </si>
  <si>
    <t>邹文斌</t>
  </si>
  <si>
    <t>虔家嫂</t>
  </si>
  <si>
    <t>烈酒（饮料）; 米酒; 烧酒; 黄酒; 梅酒; 高粱酒; 烈酒; 烧酒（烈酒）; 甜果酒; 白酒 查看详细信息</t>
  </si>
  <si>
    <t>胡峥</t>
  </si>
  <si>
    <t>汴园春</t>
  </si>
  <si>
    <t>鸡尾酒; 黄酒; 白酒; 开胃酒; 果酒（含酒精）; 威士忌; 烈酒; 酒精饮料（啤酒除外）; 葡萄酒; 清酒（日本米酒） 查看详细信息</t>
  </si>
  <si>
    <t>克阿斯国际贸易（上海）有限公司</t>
  </si>
  <si>
    <t>威格穆勒</t>
  </si>
  <si>
    <t>酒精饮料（啤酒除外）; 酒精饮料原汁; 酒精饮料浓缩汁; 烈酒（饮料）; 白酒; 威士忌; 白兰地; 朗姆酒; 伏特加酒; 葡萄酒 查看详细信息</t>
  </si>
  <si>
    <t>泉州数字生活智能科技有限公司</t>
  </si>
  <si>
    <t>唐情芯</t>
  </si>
  <si>
    <t>威士忌; 烈酒（饮料）; 米酒; 伏特加酒; 黄酒; 朗姆酒; 白兰地; 白酒; 鸡尾酒; 葡萄酒 查看详细信息</t>
  </si>
  <si>
    <t>钰金情</t>
  </si>
  <si>
    <t>赵云</t>
  </si>
  <si>
    <t>蜜哨</t>
  </si>
  <si>
    <t>蜂蜜酒; 果酒（含酒精）; 白酒; 烈酒（饮料）; 食用酒精; 含水果酒精饮料; 白兰地; 米酒; 酒精饮料（啤酒除外）; 葡萄酒 查看详细信息</t>
  </si>
  <si>
    <t>添源鼎</t>
  </si>
  <si>
    <t>高粱酒; 烈酒; 白葡萄酒; 甜酒; 黄酒; 清酒; 烧酒; 白干酒（中国白酒）; 米酒; 白酒 查看详细信息</t>
  </si>
  <si>
    <t>于丹</t>
  </si>
  <si>
    <t>小瑰娘</t>
  </si>
  <si>
    <t>白酒; 烧酒; 黄酒; 汽酒; 果酒（含酒精）; 烈酒（饮料）; 蜂蜜酒; 蒸煮提取物（利口酒和烈酒）; 蒸馏饮料; 酒精饮料（啤酒除外） 查看详细信息</t>
  </si>
  <si>
    <t>刘进平</t>
  </si>
  <si>
    <t>川海尊</t>
  </si>
  <si>
    <t>清酒（日本米酒）; 威士忌; 白干酒（中国白酒）; 酒精饮料（啤酒除外）; 黄酒; 米酒; 葡萄酒; 果酒（含酒精）; 白酒; 鸡尾酒 查看详细信息</t>
  </si>
  <si>
    <t>繁星同路（广州）企业管理有限公司</t>
  </si>
  <si>
    <t>繁星同路</t>
  </si>
  <si>
    <t>开胃酒; 果酒（含酒精）; 米酒; 鸡尾酒; 蒸馏饮料; 酒精饮料（啤酒除外）; 黄酒; 烧酒; 白酒; 葡萄酒 查看详细信息</t>
  </si>
  <si>
    <t>寻福匠</t>
  </si>
  <si>
    <t>白酒; 黄酒; 食用酒精; 威士忌; 青稞酒; 含水果酒精饮料; 米酒; 果酒（含酒精）; 烈酒（饮料）; 烧酒 查看详细信息</t>
  </si>
  <si>
    <t>蓟遇</t>
  </si>
  <si>
    <t>李闯刚</t>
  </si>
  <si>
    <t>冰雪鹿</t>
  </si>
  <si>
    <t>老酒（中国蒸馏烈酒）; 果酒（含酒精）; 白酒; 含酒精的水果鸡尾酒饮料; 汽酒; 白兰地; 蜂蜜酒; 含水果酒精饮料; 黄酒; 葡萄酒 查看详细信息</t>
  </si>
  <si>
    <t>舍婉酒庄民事农业开发公司</t>
  </si>
  <si>
    <t>CHAUVIN</t>
  </si>
  <si>
    <t>吉林省锋恺参茸批发有限公司</t>
  </si>
  <si>
    <t>云岭鹿</t>
  </si>
  <si>
    <t>苹果酒; 葡萄酒; 开胃酒; 蒸馏饮料; 鸡尾酒; 白酒; 米酒; 青稞酒; 果酒（含酒精）; 酸酒（低等葡萄酒） 查看详细信息</t>
  </si>
  <si>
    <t>上海春有意文化创意有限公司</t>
  </si>
  <si>
    <t>春有意</t>
  </si>
  <si>
    <t>薄荷酒; 蒸馏饮料; 果酒; 鸡尾酒; 青稞酒; 酒精饮料（啤酒除外）; 酒精饮料浓缩汁; 谷物制蒸馏酒精饮料; 葡萄酒; 餐后酒（利口酒和烈酒） 查看详细信息</t>
  </si>
  <si>
    <t>中袖新纪元</t>
  </si>
  <si>
    <t>露酒; 白酒; 谷物制蒸馏酒精饮料; 餐后酒（利口酒和烈酒）; 烈酒（饮料）; 米酒; 果酒（含酒精）; 苹果酒; 葡萄酒; 蒸馏饮料 查看详细信息</t>
  </si>
  <si>
    <t>山西汾州府酒业集团有限公司</t>
  </si>
  <si>
    <t>运盬福</t>
  </si>
  <si>
    <t>威士忌; 白酒; 米酒; 老酒（中国蒸馏烈酒）; 烧酒; 酒精饮料（啤酒除外）; 高粱酒; 鸡尾酒; 黄酒; 葡萄酒 查看详细信息</t>
  </si>
  <si>
    <t>吴勤锋</t>
  </si>
  <si>
    <t>马套溪</t>
  </si>
  <si>
    <t>清酒（日本米酒）; 酒精饮料（啤酒除外）; 米酒; 谷物制蒸馏酒精饮料; 葡萄酒; 黄酒; 白酒; 烈酒（饮料）; 蒸馏饮料; 烧酒 查看详细信息</t>
  </si>
  <si>
    <t>言青（杭州）文化创意有限公司</t>
  </si>
  <si>
    <t>PFORP</t>
  </si>
  <si>
    <t>酒精饮料（啤酒除外）; 白酒; 烧酒; 黄酒; 汽酒; 果酒（含酒精）; 烈酒（饮料）; 蜂蜜酒; 蒸煮提取物（利口酒和烈酒）; 蒸馏饮料 查看详细信息</t>
  </si>
  <si>
    <t>深圳国汇实业发展有限公司</t>
  </si>
  <si>
    <t>广清花</t>
  </si>
  <si>
    <t>鸡尾酒; 米酒; 果酒（含酒精）; 黄酒; 酒精饮料（啤酒除外）; 葡萄酒; 开胃酒; 烧酒; 白酒; 烈酒（饮料） 查看详细信息</t>
  </si>
  <si>
    <t>朱伟定</t>
  </si>
  <si>
    <t>田湾山</t>
  </si>
  <si>
    <t>果酒（含酒精）; 鸡尾酒; 葡萄酒; 利口酒; 白酒; 米酒; 烧酒; 青稞酒; 黄酒; 白兰地 查看详细信息</t>
  </si>
  <si>
    <t>魏文平</t>
  </si>
  <si>
    <t>葡萄酒; 食用酒精; 烧酒; 烈酒（饮料）; 黄酒; 含水果酒精饮料; 酒精饮料（啤酒除外）; 开胃酒; 果酒（含酒精）; 白酒 查看详细信息</t>
  </si>
  <si>
    <t>威格穆勒 WEEGMULLER</t>
  </si>
  <si>
    <t>山东泗水友邦花生制品有限公司</t>
  </si>
  <si>
    <t>尼山翁</t>
  </si>
  <si>
    <t>米酒; 预先混合的酒精饮料（以啤酒为主的除外）; 烧酒; 汽酒; 烈酒（饮料）; 黄酒; 白酒; 酒精饮料（啤酒除外）; 果酒（含酒精）; 清酒（日本米酒） 查看详细信息</t>
  </si>
  <si>
    <t>黄建明</t>
  </si>
  <si>
    <t>秉荣</t>
  </si>
  <si>
    <t>米酒; 汽酒; 酒精饮料（啤酒除外）; 果酒（含酒精）; 白酒; 葡萄酒; 利口酒; 清酒（日本米酒）; 含水果酒精饮料; 蒸馏饮料 查看详细信息</t>
  </si>
  <si>
    <t>李海平</t>
  </si>
  <si>
    <t>楚汉礼御</t>
  </si>
  <si>
    <t>果酒（含酒精）; 开胃酒; 鸡尾酒; 葡萄酒; 酒精饮料（啤酒除外）; 威士忌; 烈酒; 黄酒; 白酒; 清酒（日本米酒） 查看详细信息</t>
  </si>
  <si>
    <t>河北霖野生态农业发展有限公司</t>
  </si>
  <si>
    <t>嘎爷爷</t>
  </si>
  <si>
    <t>烈酒（饮料）; 高粱酒; 葡萄酒; 米酒; 黄酒; 果酒; 白酒; 烧酒; 白兰地; 鸡尾酒 查看详细信息</t>
  </si>
  <si>
    <t>贵州五魁首酿酒有限公司</t>
  </si>
  <si>
    <t>瑰牌鳯</t>
  </si>
  <si>
    <t>米酒; 烈酒（饮料）; 黄酒; 烧酒; 高粱酒; 白酒; 以葡萄酒为主的饮料; 白兰地; 开胃酒; 青梅酒 查看详细信息</t>
  </si>
  <si>
    <t>北京轻时生物科技有限公司</t>
  </si>
  <si>
    <t>来小北</t>
  </si>
  <si>
    <t>米酒; 鸡尾酒; 白酒; 威士忌; 果酒（含酒精）; 以蒸馏酒为主的开胃酒; 烧酒; 酒精饮料（啤酒除外）; 葡萄酒; 蒸馏饮料 查看详细信息</t>
  </si>
  <si>
    <t>山西庞泉酒庄有限公司</t>
  </si>
  <si>
    <t>庞泉玖品荟</t>
  </si>
  <si>
    <t>葡萄酒; 白酒; 食用酒精; 黄酒; 蒸煮提取物（利口酒和烈酒）; 烈酒（饮料）; 白干酒（中国白酒）; 烈酒浓缩汁; 高粱酒; 烧酒 查看详细信息</t>
  </si>
  <si>
    <t>厦门市乾源控股有限公司</t>
  </si>
  <si>
    <t>聚臻城</t>
  </si>
  <si>
    <t>果酒（含酒精）; 鸡尾酒; 白兰地; 威士忌; 清酒; 米酒; 伏特加酒; 白酒; 葡萄酒; 酒精饮料（啤酒除外） 查看详细信息</t>
  </si>
  <si>
    <t>邑龙顶尊</t>
  </si>
  <si>
    <t>白兰地; 果酒（含酒精）; 伏特加酒; 烧酒; 葡萄酒; 酒精饮料（啤酒除外）; 威士忌; 食用酒精; 含水果酒精饮料; 烈酒（饮料） 查看详细信息</t>
  </si>
  <si>
    <t>燕国啤酒（青岛）有限公司</t>
  </si>
  <si>
    <t>某墨</t>
  </si>
  <si>
    <t>米酒; 高粱酒; 白兰地; 果酒（含酒精）; 白酒; 黄酒; 老酒（中国蒸馏烈酒）; 白葡萄酒; 果酒; 樱桃酒 查看详细信息</t>
  </si>
  <si>
    <t>乐佰恩</t>
  </si>
  <si>
    <t>伏特加酒; 含水果酒精饮料; 果酒（含酒精）; 烈酒（饮料）; 黄酒; 米酒; 蒸馏饮料; 蜂蜜酒; 鸡尾酒; 白酒 查看详细信息</t>
  </si>
  <si>
    <t>宁夏芸视印象文化传媒有限公司</t>
  </si>
  <si>
    <t>芸视印象</t>
  </si>
  <si>
    <t>鸡尾酒; 利口酒; 葡萄酒; 酒精饮料（啤酒除外）; 果酒（含酒精）; 黄酒; 烧酒（烈酒）; 五加皮酒（中国混合烈酒）; 烈酒; 白酒 查看详细信息</t>
  </si>
  <si>
    <t>遵品星</t>
  </si>
  <si>
    <t>果酒; 白兰地; 威士忌; 米酒; 清酒; 烧酒; 葡萄酒; 黄酒; 汽酒; 白酒 查看详细信息</t>
  </si>
  <si>
    <t>刘光全（512534********7216）</t>
  </si>
  <si>
    <t>空前春</t>
  </si>
  <si>
    <t>白酒; 果酒; 开胃酒; 葡萄酒; 黄酒; 酒精饮料（啤酒除外）; 含水果酒精饮料; 米酒; 青稞酒; 鸡尾酒 查看详细信息</t>
  </si>
  <si>
    <t>北京易瑞体育文化有限公司</t>
  </si>
  <si>
    <t>爱掼</t>
  </si>
  <si>
    <t>果酒（含酒精）; 开胃酒; 鸡尾酒; 葡萄酒; 白酒; 米酒; 伏特加酒; 汽酒; 烧酒; 白兰地 查看详细信息</t>
  </si>
  <si>
    <t>贵州厚成实业集团有限公司</t>
  </si>
  <si>
    <t>厚成臻品</t>
  </si>
  <si>
    <t>白酒; 高粱酒; 葡萄酒; 酒精饮料原汁; 老酒（中国蒸馏烈酒）; 酒精饮料（啤酒除外）; 预先混合的酒精饮料（以啤酒为主的除外）; 谷物制蒸馏酒精饮料; 白干酒（中国白酒）; 酒精饮料浓缩汁 查看详细信息</t>
  </si>
  <si>
    <t>河南阅之田贸易有限公司</t>
  </si>
  <si>
    <t>双龙巷兴颂德</t>
  </si>
  <si>
    <t>果酒（含酒精）; 鸡尾酒; 葡萄酒; 米酒; 青稞酒; 白酒; 白干酒（中国白酒）; 高粱酒; 老酒（中国蒸馏烈酒）; 黄酒 查看详细信息</t>
  </si>
  <si>
    <t>泽东事务所有限公司</t>
  </si>
  <si>
    <t>繁花玲子</t>
  </si>
  <si>
    <t>葡萄酒; 果酒（含酒精）; 开胃酒; 蒸馏饮料; 鸡尾酒; 白酒; 利口酒; 烈酒（饮料）; 威士忌; 酒精饮料（啤酒除外） 查看详细信息</t>
  </si>
  <si>
    <t>深圳市鸽色天湘品牌管理有限公司</t>
  </si>
  <si>
    <t>鸽色添湘</t>
  </si>
  <si>
    <t>果酒（含酒精）; 含水果酒精饮料; 米酒; 白干酒（中国白酒）; 烧酒; 含酒精的饮料（啤酒除外）; 蒸煮提取物（利口酒和烈酒）; 白酒; 黄酒; 由谷物蒸馏的白酒 查看详细信息</t>
  </si>
  <si>
    <t>贵州锦辰二手车贸易有限责任公司</t>
  </si>
  <si>
    <t>书意</t>
  </si>
  <si>
    <t>王强211011********5511</t>
  </si>
  <si>
    <t>蒙散王</t>
  </si>
  <si>
    <t>米酒; 开胃酒; 鸡尾酒; 葡萄酒; 烧酒（烈酒）; 青稞酒; 高粱酒; 果酒; 白酒; 黄酒 查看详细信息</t>
  </si>
  <si>
    <t>王克方342421********7225</t>
  </si>
  <si>
    <t>白酒; 由谷物蒸馏的白酒; 白干酒（中国白酒）; 米酒; 烈酒; 果酒; 葡萄酒; 烧酒（烈酒）; 白兰地; 黄酒 查看详细信息</t>
  </si>
  <si>
    <t>泽普县昆仑北坡农民专业合作社</t>
  </si>
  <si>
    <t>昆仑北坡</t>
  </si>
  <si>
    <t>预先混合的酒精饮料（以啤酒为主的除外）; 黄酒; 含水果酒精饮料; 果酒（含酒精）; 酸酒（低等葡萄酒）; 白酒; 米酒; 葡萄酒; 酒精饮料（啤酒除外）; 烧酒 查看详细信息</t>
  </si>
  <si>
    <t>山东省梁山县水泊酒厂</t>
  </si>
  <si>
    <t>义结天下</t>
  </si>
  <si>
    <t>烧酒; 白酒; 黄酒; 汽酒; 酒精饮料（啤酒除外）; 烈酒（饮料）; 食用酒精; 果酒（含酒精）; 预先混合的酒精饮料（以啤酒为主的除外）; 米酒 查看详细信息</t>
  </si>
  <si>
    <t>杭州苜蓿草科技有限公司</t>
  </si>
  <si>
    <t>厚美德</t>
  </si>
  <si>
    <t>清酒（日本米酒）; 酒精饮料（啤酒除外）; 鸡尾酒; 葡萄酒; 烧酒; 米酒; 白酒; 果酒（含酒精）; 黄酒; 蒸馏饮料 查看详细信息</t>
  </si>
  <si>
    <t>庞泉臻享</t>
  </si>
  <si>
    <t>烈酒（饮料）; 葡萄酒; 食用酒精; 白酒; 蒸煮提取物（利口酒和烈酒）; 烧酒; 烈酒浓缩汁; 高粱酒; 白干酒（中国白酒）; 黄酒 查看详细信息</t>
  </si>
  <si>
    <t>皓尚</t>
  </si>
  <si>
    <t>酒精饮料（啤酒除外）; 威士忌; 食用酒精; 含水果酒精饮料; 烈酒（饮料）; 白兰地; 果酒（含酒精）; 伏特加酒; 烧酒; 葡萄酒 查看详细信息</t>
  </si>
  <si>
    <t>米秋英</t>
  </si>
  <si>
    <t>巴阾诱</t>
  </si>
  <si>
    <t>高粱酒; 除啤酒外的酒精饮料; 甜酒; 青稞酒; 蜂蜜酒; 米酒; 葡萄酒; 含酒精的鸡尾酒混合饮品; 白酒 查看详细信息</t>
  </si>
  <si>
    <t>安徽味即道文化旅游发展有限公司</t>
  </si>
  <si>
    <t>无徽</t>
  </si>
  <si>
    <t>威士忌; 米酒; 烧酒; 汽酒; 蝮蛇酒; 烈酒; 高粱酒; 果酒; 老酒（中国蒸馏烈酒）; 黄酒 查看详细信息</t>
  </si>
  <si>
    <t>戴忠良</t>
  </si>
  <si>
    <t>稷雪</t>
  </si>
  <si>
    <t>北酒双侠</t>
  </si>
  <si>
    <t>深圳市中元产业服务有限公司</t>
  </si>
  <si>
    <t>海橙星</t>
  </si>
  <si>
    <t>果酒; 含酒精的鸡尾酒混合饮品; 含水果酒精饮料 查看详细信息</t>
  </si>
  <si>
    <t>拜合特</t>
  </si>
  <si>
    <t>果酒（含酒精）; 鸡尾酒; 利口酒; 米酒; 白酒; 开胃酒; 葡萄酒; 白兰地; 黄酒; 烧酒 查看详细信息</t>
  </si>
  <si>
    <t>轩驰尊尚</t>
  </si>
  <si>
    <t>白兰地; 果酒（含酒精）; 伏特加酒; 烧酒; 食用酒精; 酒精饮料（啤酒除外）; 威士忌; 含水果酒精饮料; 葡萄酒; 烈酒（饮料） 查看详细信息</t>
  </si>
  <si>
    <t>王笑颖</t>
  </si>
  <si>
    <t>鹿荷</t>
  </si>
  <si>
    <t>果酒（含酒精）; 葡萄酒; 酒精饮料浓缩汁; 酒精饮料（啤酒除外）; 烧酒; 米酒; 黄酒; 食用酒精; 白酒; 含水果酒精饮料 查看详细信息</t>
  </si>
  <si>
    <t>刘本乾</t>
  </si>
  <si>
    <t>富溪屾</t>
  </si>
  <si>
    <t>葡萄酒; 烧酒; 白酒; 威士忌; 清酒; 果酒（含酒精）; 酒精饮料（啤酒除外）; 米酒; 黄酒; 蒸煮提取物（利口酒和烈酒） 查看详细信息</t>
  </si>
  <si>
    <t>德智得（山东）生态农业发展有限公司</t>
  </si>
  <si>
    <t>德智得</t>
  </si>
  <si>
    <t>烧酒; 黄酒; 烈酒（饮料）; 果酒（含酒精）; 白酒; 葡萄酒; 蜂蜜酒; 酒精饮料原汁; 米酒; 蒸煮提取物（利口酒和烈酒） 查看详细信息</t>
  </si>
  <si>
    <t>昆明滇泓酒业有限公司</t>
  </si>
  <si>
    <t>山水磨憨</t>
  </si>
  <si>
    <t>尼瓦（以甘蔗为主的酒精饮料）; 果酒（含酒精）; 烈酒（饮料）; 烧酒; 青稞酒; 米酒; 葡萄酒; 蒸馏饮料; 酒精饮料（啤酒除外）; 白酒 查看详细信息</t>
  </si>
  <si>
    <t>宋艳</t>
  </si>
  <si>
    <t>京河山</t>
  </si>
  <si>
    <t>烈酒（饮料）; 白酒; 米酒; 苹果酒; 餐后酒（利口酒和烈酒）; 果酒（含酒精）; 蒸馏饮料; 谷物制蒸馏酒精饮料; 露酒; 葡萄酒 查看详细信息</t>
  </si>
  <si>
    <t>佛山微鲜物互联网服务有限公司</t>
  </si>
  <si>
    <t>冈仁仁慈</t>
  </si>
  <si>
    <t>烈酒（饮料）; 酒精饮料原汁; 白兰地; 米酒; 白酒; 烧酒; 鸡尾酒; 果酒（含酒精）; 开胃酒; 葡萄酒 查看详细信息</t>
  </si>
  <si>
    <t>刘磊</t>
  </si>
  <si>
    <t>古乐俰</t>
  </si>
  <si>
    <t>烧酒; 白酒; 果酒（含酒精）; 葡萄酒; 老酒（中国蒸馏烈酒）; 酒精饮料（啤酒除外）; 黄酒; 米酒; 高粱酒; 烈酒（饮料） 查看详细信息</t>
  </si>
  <si>
    <t>央广优选供应链有限公司</t>
  </si>
  <si>
    <t>拜星月慢</t>
  </si>
  <si>
    <t>白酒; 黄酒; 米酒; 葡萄酒; 青稞酒; 烧酒; 酒精饮料（啤酒除外）; 烈酒（饮料）; 果酒（含酒精）; 鸡尾酒 查看详细信息</t>
  </si>
  <si>
    <t>广州鑫西兰贸易有限公司</t>
  </si>
  <si>
    <t>尚品海岸</t>
  </si>
  <si>
    <t>白兰地; 葡萄酒; 白葡萄酒; 伏特加酒; 朗姆酒; 白酒; 鸡尾酒; 红葡萄酒; 果酒（含酒精）; 烈酒（饮料） 查看详细信息</t>
  </si>
  <si>
    <t>甄福将</t>
  </si>
  <si>
    <t>白兰地; 威士忌; 米酒; 白酒; 果酒; 葡萄酒; 黄酒; 汽酒; 清酒; 烧酒 查看详细信息</t>
  </si>
  <si>
    <t>重庆云枣谷生态农业有限公司</t>
  </si>
  <si>
    <t>云枣谷</t>
  </si>
  <si>
    <t>果酒（含酒精）; 开胃酒; 鸡尾酒; 含水果酒精饮料; 白兰地; 烧酒; 米酒; 谷物制蒸馏酒精饮料; 酒精饮料（啤酒除外）; 白酒 查看详细信息</t>
  </si>
  <si>
    <t>冈萨雷斯•百斯公司</t>
  </si>
  <si>
    <t>罗麦迪</t>
  </si>
  <si>
    <t>酒精饮料（啤酒除外） 查看详细信息</t>
  </si>
  <si>
    <t>丽斯力奥</t>
  </si>
  <si>
    <t>米酒; 白酒; 葡萄酒; 鸡尾酒; 烈酒（饮料）; 果酒（含酒精）; 威士忌; 白兰地; 伏特加酒; 蒸馏饮料 查看详细信息</t>
  </si>
  <si>
    <t>石海夫妻峰</t>
  </si>
  <si>
    <t>繁花李李</t>
  </si>
  <si>
    <t>果酒（含酒精）; 开胃酒; 蒸馏饮料; 鸡尾酒; 白酒; 利口酒; 烈酒（饮料）; 威士忌; 酒精饮料（啤酒除外）; 葡萄酒 查看详细信息</t>
  </si>
  <si>
    <t>衡阳梦缘食品有限公司</t>
  </si>
  <si>
    <t>夏家嘴</t>
  </si>
  <si>
    <t>黄酒; 白酒; 米酒; 酒精饮料（啤酒除外）; 果酒（含酒精）; 烈酒（饮料）; 葡萄酒; 鸡尾酒; 开胃酒; 白兰地 查看详细信息</t>
  </si>
  <si>
    <t>苏志阳</t>
  </si>
  <si>
    <t>度山</t>
  </si>
  <si>
    <t>果酒（含酒精）; 鸡尾酒; 葡萄酒; 白兰地; 白酒; 酒精饮料原汁; 酒精饮料（啤酒除外）; 蒸煮提取物（利口酒和烈酒）; 黄酒; 威士忌 查看详细信息</t>
  </si>
  <si>
    <t>佛山禾盛隆食品有限公司</t>
  </si>
  <si>
    <t>禾盛隆</t>
  </si>
  <si>
    <t>白酒; 葡萄酒; 白兰地; 烈酒（饮料）; 果酒（含酒精）; 烧酒; 汽酒; 鸡尾酒; 威士忌; 米酒 查看详细信息</t>
  </si>
  <si>
    <t>邑尚皇悦</t>
  </si>
  <si>
    <t>何嘉明</t>
  </si>
  <si>
    <t>禄华梦</t>
  </si>
  <si>
    <t>邢丽云</t>
  </si>
  <si>
    <t>偃息草</t>
  </si>
  <si>
    <t>果酒（含酒精）; 葡萄酒; 烈酒（饮料）; 白兰地; 清酒（日本米酒）; 威士忌; 酒精饮料浓缩汁; 酒精饮料（啤酒除外）; 白酒; 食用酒精 查看详细信息</t>
  </si>
  <si>
    <t>成都铭羽传承企业管理咨询有限公司</t>
  </si>
  <si>
    <t>阿杜走乡村</t>
  </si>
  <si>
    <t>果酒（含酒精）; 蜂蜜酒; 白兰地; 预先混合的酒精饮料（以啤酒为主的除外）; 薄荷酒; 甜果酒; 果酒; 以葡萄酒为主的开胃酒; 烧酒（烈酒）; 白酒 查看详细信息</t>
  </si>
  <si>
    <t>尼古拉（北京）商贸有限公司</t>
  </si>
  <si>
    <t>MUTNEY</t>
  </si>
  <si>
    <t>葡萄酒; 利口酒; 威士忌; 酒精饮料原汁; 白兰地; 果酒; 白酒; 酒精饮料（啤酒除外）; 烈酒（饮料）; 伏特加酒 查看详细信息</t>
  </si>
  <si>
    <t>湖北正牛贴膏股份有限公司</t>
  </si>
  <si>
    <t>泽元泰</t>
  </si>
  <si>
    <t>葡萄酒; 果酒（含酒精）; 开胃酒; 蒸煮提取物（利口酒和烈酒）; 烧酒; 蜂蜜酒; 米酒; 白酒; 黄酒; 利口酒 查看详细信息</t>
  </si>
  <si>
    <t>东莞市畅发塑胶电子有限公司</t>
  </si>
  <si>
    <t>诗咔汐</t>
  </si>
  <si>
    <t>威士忌; 葡萄酒; 酒精饮料（啤酒除外）; 汽酒; 烧酒; 烧酒（烈酒）; 果酒; 烈酒; 白酒; 黄酒 查看详细信息</t>
  </si>
  <si>
    <t>福建省马小觅供应链管理有限公司</t>
  </si>
  <si>
    <t>马小觅</t>
  </si>
  <si>
    <t>酒精饮料（啤酒除外）; 汽酒; 黄酒; 清酒; 烧酒; 老酒（中国蒸馏烈酒）; 果酒; 白酒; 高粱酒; 青稞酒 查看详细信息</t>
  </si>
  <si>
    <t>繁花阿宝</t>
  </si>
  <si>
    <t>厚成甄品</t>
  </si>
  <si>
    <t>靖宇县满山野农业科技开发有限公司</t>
  </si>
  <si>
    <t>满屯子</t>
  </si>
  <si>
    <t>果酒（含酒精）; 鸡尾酒; 葡萄酒; 烈酒（饮料）; 白酒; 清酒（日本米酒）; 威士忌; 米酒; 黄酒; 白兰地 查看详细信息</t>
  </si>
  <si>
    <t>厚成珍选</t>
  </si>
  <si>
    <t>鼓笛慢</t>
  </si>
  <si>
    <t>上海雅美博电子商务有限公司</t>
  </si>
  <si>
    <t>禾润友</t>
  </si>
  <si>
    <t>果酒（含酒精）; 烧酒; 蒸馏饮料; 葡萄酒; 威士忌; 清酒; 米酒; 白酒; 白兰地; 烈酒（饮料） 查看详细信息</t>
  </si>
  <si>
    <t>汉野（云南）控股发展有限公司</t>
  </si>
  <si>
    <t>汉小野</t>
  </si>
  <si>
    <t>果酒（含酒精）; 开胃酒; 蒸馏饮料; 葡萄酒; 烈酒; 含水果酒精饮料; 汽酒; 黄酒; 白酒; 酒精饮料（啤酒除外） 查看详细信息</t>
  </si>
  <si>
    <t>胡水平</t>
  </si>
  <si>
    <t>胡黎醇</t>
  </si>
  <si>
    <t>烧酒; 烈酒（饮料）; 米酒; 清酒（日本米酒）; 白酒; 黄酒; 青稞酒; 果酒（含酒精）; 威士忌; 白兰地 查看详细信息</t>
  </si>
  <si>
    <t>卡利驰</t>
  </si>
  <si>
    <t>赵娟芝</t>
  </si>
  <si>
    <t>乌蓬里</t>
  </si>
  <si>
    <t>孟连啊玲贸易有限公司</t>
  </si>
  <si>
    <t>傣允皇后</t>
  </si>
  <si>
    <t>果酒（含酒精）; 开胃酒; 葡萄酒; 烈酒（饮料）; 白酒; 烧酒; 高粱酒; 甜酒; 刺五加酒; 米酒 查看详细信息</t>
  </si>
  <si>
    <t>名尚金皇</t>
  </si>
  <si>
    <t>邑顺金玺</t>
  </si>
  <si>
    <t>顾爱民</t>
  </si>
  <si>
    <t>顾御医</t>
  </si>
  <si>
    <t>果酒（含酒精）; 开胃酒; 葡萄酒; 蜂蜜酒; 白酒; 酒精饮料（啤酒除外）; 含水果酒精饮料; 汽酒; 黄酒; 樱桃酒 查看详细信息</t>
  </si>
  <si>
    <t>杭州红壳笋餐饮有限公司</t>
  </si>
  <si>
    <t>楼哥</t>
  </si>
  <si>
    <t>果酒（含酒精）; 开胃酒; 蒸馏饮料; 葡萄酒; 鸡尾酒; 米酒; 黄酒; 食用酒精; 白酒; 威士忌 查看详细信息</t>
  </si>
  <si>
    <t>王志学</t>
  </si>
  <si>
    <t>丰贵农源</t>
  </si>
  <si>
    <t>烧酒; 酒精饮料（啤酒除外）; 米酒; 白酒; 梨酒; 黄酒; 甜酒; 清酒; 甜果酒; 果酒 查看详细信息</t>
  </si>
  <si>
    <t>孔令玉</t>
  </si>
  <si>
    <t>罗宾鹿</t>
  </si>
  <si>
    <t>烈酒; 利口酒; 蜂蜜酒; 米酒; 预先混合的酒精饮料（以啤酒为主的除外）; 白酒; 烧酒; 葡萄酒; 高粱酒; 黄酒 查看详细信息</t>
  </si>
  <si>
    <t>问君九鼎</t>
  </si>
  <si>
    <t>善掼</t>
  </si>
  <si>
    <t>开胃酒; 鸡尾酒; 葡萄酒; 白兰地; 果酒（含酒精）; 伏特加酒; 汽酒; 烧酒; 白酒; 米酒 查看详细信息</t>
  </si>
  <si>
    <t>厚成甄选</t>
  </si>
  <si>
    <t>赵志茂</t>
  </si>
  <si>
    <t>佬味江湖</t>
  </si>
  <si>
    <t>汽酒; 清酒; 甜酒; 白酒; 果酒; 葡萄酒; 食用酒精; 黄酒; 开胃酒; 米酒 查看详细信息</t>
  </si>
  <si>
    <t>塞顶</t>
  </si>
  <si>
    <t>果酒（含酒精）; 伏特加酒; 烧酒; 烈酒（饮料）; 白兰地; 威士忌; 食用酒精; 含水果酒精饮料; 葡萄酒; 酒精饮料（啤酒除外） 查看详细信息</t>
  </si>
  <si>
    <t>河南轩康农业科技有限公司</t>
  </si>
  <si>
    <t>淳薯坊</t>
  </si>
  <si>
    <t>烧酒; 以葡萄酒为主的饮料; 烈酒（饮料）; 清酒（日本米酒）; 老酒（中国蒸馏烈酒）; 高粱酒; 青梅酒; 起泡白葡萄酒; 日式甜米酒; 白酒 查看详细信息</t>
  </si>
  <si>
    <t>孙文凯</t>
  </si>
  <si>
    <t>示怀</t>
  </si>
  <si>
    <t>中匠昌</t>
  </si>
  <si>
    <t>成都抖宏文化传媒有限公司</t>
  </si>
  <si>
    <t>蜀轩三庄</t>
  </si>
  <si>
    <t>开胃酒; 果酒（含酒精）; 汽酒; 清酒; 酒精饮料（啤酒除外）; 白兰地; 白酒; 葡萄酒; 利口酒; 烧酒 查看详细信息</t>
  </si>
  <si>
    <t>义乌市宛伊商贸有限公司</t>
  </si>
  <si>
    <t>安琦莉</t>
  </si>
  <si>
    <t>伏特加酒; 果酒（含酒精）; 烧酒; 白兰地; 黄酒; 米酒; 葡萄酒; 薄荷酒; 鸡尾酒; 白酒 查看详细信息</t>
  </si>
  <si>
    <t>金运赢</t>
  </si>
  <si>
    <t>散王爷</t>
  </si>
  <si>
    <t>遵盈门</t>
  </si>
  <si>
    <t>果酒; 葡萄酒; 威士忌; 米酒; 白酒; 烧酒; 白兰地; 黄酒; 汽酒; 清酒 查看详细信息</t>
  </si>
  <si>
    <t>葛小霞</t>
  </si>
  <si>
    <t>乡野萃</t>
  </si>
  <si>
    <t>果酒; 汽酒; 清酒; 甜酒; 开胃酒; 米酒; 葡萄酒; 食用酒精; 黄酒; 白酒 查看详细信息</t>
  </si>
  <si>
    <t>品尚海岸</t>
  </si>
  <si>
    <t>果酒（含酒精）; 白兰地; 葡萄酒; 白葡萄酒; 朗姆酒; 烈酒（饮料）; 白酒; 鸡尾酒; 红葡萄酒; 伏特加酒 查看详细信息</t>
  </si>
  <si>
    <t>贵州康馨源食品有限公司</t>
  </si>
  <si>
    <t>醇稻圆</t>
  </si>
  <si>
    <t>清酒; 威士忌; 白酒; 开胃酒; 蒸馏饮料; 烈酒（饮料）; 酒精饮料（啤酒除外）; 鸡尾酒; 果酒（含酒精）; 葡萄酒 查看详细信息</t>
  </si>
  <si>
    <t>贵州国梁酒文化传媒有限公司</t>
  </si>
  <si>
    <t>淘知</t>
  </si>
  <si>
    <t>米酒; 果酒（含酒精）; 鸡尾酒; 葡萄酒; 白酒; 清酒（日本米酒）; 酒精饮料（啤酒除外）; 黄酒; 烧酒; 烈酒（饮料） 查看详细信息</t>
  </si>
  <si>
    <t>罗杰</t>
  </si>
  <si>
    <t>圳旨</t>
  </si>
  <si>
    <t>白酒; 清酒; 葡萄酒; 开胃酒; 米酒; 蜂蜜酒; 鸡尾酒; 威士忌; 果酒（含酒精）; 酒精饮料（啤酒除外） 查看详细信息</t>
  </si>
  <si>
    <t>乐平市塔前石仕标水稻种植家庭农场</t>
  </si>
  <si>
    <t>塔前冷水坑</t>
  </si>
  <si>
    <t>烧酒; 黄酒; 果酒（含酒精）; 鸡尾酒; 预先混合的酒精饮料（以啤酒为主的除外）; 白酒; 白兰地; 米酒; 酒精饮料（啤酒除外）; 威士忌 查看详细信息</t>
  </si>
  <si>
    <t>内蒙古嘻咪项目管理有限公司</t>
  </si>
  <si>
    <t>嘻幂</t>
  </si>
  <si>
    <t>果酒（含酒精）; 利口酒; 白兰地; 威士忌; 白酒; 酒精饮料（啤酒除外）; 含水果酒精饮料; 烧酒; 含酒精的气泡水; 清酒（日本米酒） 查看详细信息</t>
  </si>
  <si>
    <t>卡瓦利</t>
  </si>
  <si>
    <t>杭州柏奥玛品牌管理有限公司</t>
  </si>
  <si>
    <t>BAOUMMAR</t>
  </si>
  <si>
    <t>果酒; 葡萄酒; 烈酒（饮料）; 清酒（日本米酒）; 谷物制蒸馏酒精饮料; 黄酒; 白酒; 烧酒; 汽酒; 米酒 查看详细信息</t>
  </si>
  <si>
    <t>深圳市知见网络科技有限公司</t>
  </si>
  <si>
    <t>木知见</t>
  </si>
  <si>
    <t>白酒; 烧酒; 酒精饮料（啤酒除外）; 黄酒; 烈酒（饮料）; 米酒; 果酒（含酒精）; 清酒（日本米酒）; 鸡尾酒; 葡萄酒 查看详细信息</t>
  </si>
  <si>
    <t>秋知见</t>
  </si>
  <si>
    <t>李春华</t>
  </si>
  <si>
    <t>恒匠丙乾</t>
  </si>
  <si>
    <t>白酒; 葡萄酒; 烈酒（饮料）; 食用酒精; 白干酒（中国白酒）; 朗姆酒; 果酒（含酒精）; 白兰地; 威士忌; 黄酒 查看详细信息</t>
  </si>
  <si>
    <t>浙江爱草时珍健康管理有限公司</t>
  </si>
  <si>
    <t>义伝和</t>
  </si>
  <si>
    <t>白酒; 果酒; 鸡尾酒; 葡萄酒; 起泡白葡萄酒; 酒精饮料原汁; 米酒; 开胃酒; 含酒精水果饮料; 蝮蛇酒 查看详细信息</t>
  </si>
  <si>
    <t>内蒙古蒙视亮科技有限公司</t>
  </si>
  <si>
    <t>蒙视亮</t>
  </si>
  <si>
    <t>酒精饮料（啤酒除外）; 以葡萄酒为主的饮料; 含酒精的气泡水; 白酒; 预先混合的酒精饮料（以啤酒为主的除外）; 已调味的蒸馏酒; 谷物制蒸馏酒精饮料; 烧酒; 含酒精的充气饮料（啤酒除外）; 葡萄酒 查看详细信息</t>
  </si>
  <si>
    <t>宁波博康食品科技有限公司</t>
  </si>
  <si>
    <t>头顶万物</t>
  </si>
  <si>
    <t>含水果酒精饮料; 果酒; 汽酒; 清酒（日本米酒）; 鸡尾酒; 白酒; 米酒; 葡萄酒; 预先混合的酒精饮料（以啤酒为主的除外）; 烧酒 查看详细信息</t>
  </si>
  <si>
    <t>泗洪县东方缘酒业有限公司</t>
  </si>
  <si>
    <t>福尖 皇明大</t>
  </si>
  <si>
    <t>伏特加酒; 烧酒; 食用酒精; 白酒; 果酒（含酒精）; 葡萄酒; 烈酒（饮料）; 白兰地; 清酒（日本米酒）; 酒精饮料（啤酒除外） 查看详细信息</t>
  </si>
  <si>
    <t>胡晓枫</t>
  </si>
  <si>
    <t>百家香香团</t>
  </si>
  <si>
    <t>葡萄酒; 利口酒; 蜂蜜酒; 烈酒（饮料）; 开胃酒; 米酒; 白酒; 黄酒; 烧酒; 酒精饮料原汁 查看详细信息</t>
  </si>
  <si>
    <t>薛继超</t>
  </si>
  <si>
    <t>鼎朝</t>
  </si>
  <si>
    <t>烧酒; 烈酒（饮料）; 米酒; 白酒; 鸡尾酒; 葡萄酒; 含水果酒精饮料; 食用酒精; 果酒（含酒精）; 开胃酒 查看详细信息</t>
  </si>
  <si>
    <t>海沸</t>
  </si>
  <si>
    <t>伏特加酒; 威士忌; 果酒; 烧酒; 清酒（日本米酒）; 白酒; 葡萄酒; 蒸馏饮料; 黄酒; 白兰地 查看详细信息</t>
  </si>
  <si>
    <t>张卫球</t>
  </si>
  <si>
    <t>邑湘源</t>
  </si>
  <si>
    <t>米酒; 葡萄酒; 酒精饮料（啤酒除外）; 含水果酒精饮料; 蜂蜜酒; 鸡尾酒; 白酒; 汽酒; 烧酒; 清酒（日本米酒） 查看详细信息</t>
  </si>
  <si>
    <t>深圳市寻客文化传播有限公司</t>
  </si>
  <si>
    <t>白酒; 果酒; 含酒精的饮料（啤酒除外）; 黄酒; 葡萄酒; 米酒; 老酒（中国蒸馏烈酒）; 清酒; 烧酒; 含水果酒精饮料 查看详细信息</t>
  </si>
  <si>
    <t>京诺（重庆）供应链管理有限公司</t>
  </si>
  <si>
    <t>东欣京诺</t>
  </si>
  <si>
    <t>酒精饮料（啤酒除外）; 米酒; 伏特加酒; 烧酒; 酒精饮料原汁; 白酒; 葡萄酒; 清酒（日本米酒）; 威士忌; 黄酒 查看详细信息</t>
  </si>
  <si>
    <t>卢为刚</t>
  </si>
  <si>
    <t>藏贤居</t>
  </si>
  <si>
    <t>白酒; 果酒（含酒精）; 鸡尾酒; 葡萄酒; 烧酒; 清酒（日本米酒）; 酒精饮料（啤酒除外）; 黄酒; 米酒; 烈酒（饮料） 查看详细信息</t>
  </si>
  <si>
    <t>平遥县蓝天谷源杂粮加工有限公司</t>
  </si>
  <si>
    <t>蓝天谷源</t>
  </si>
  <si>
    <t>黄酒; 蒸煮提取物（利口酒和烈酒）; 杜松子酒; 烈酒（饮料）; 开胃酒; 食用酒精; 白酒; 烧酒; 利口酒; 青稞酒 查看详细信息</t>
  </si>
  <si>
    <t>北京还原堂生物科技有限责任公司</t>
  </si>
  <si>
    <t>心许酒还</t>
  </si>
  <si>
    <t>果酒（含酒精）; 葡萄酒; 烈酒（饮料）; 白兰地; 白酒; 米酒; 烧酒; 黄酒; 食用酒精; 酒精饮料（啤酒除外） 查看详细信息</t>
  </si>
  <si>
    <t>福尖 皇明粮</t>
  </si>
  <si>
    <t>果酒（含酒精）; 葡萄酒; 烈酒（饮料）; 白兰地; 白酒; 酒精饮料（啤酒除外）; 伏特加酒; 烧酒; 食用酒精; 清酒（日本米酒） 查看详细信息</t>
  </si>
  <si>
    <t>美伝和</t>
  </si>
  <si>
    <t>福尖 皇明梦</t>
  </si>
  <si>
    <t>王清华</t>
  </si>
  <si>
    <t>芦琼</t>
  </si>
  <si>
    <t>黄酒; 白酒; 烧酒; 果酒（含酒精）; 米酒; 老酒（中国蒸馏烈酒）; 甜酒; 谷物制蒸馏酒精饮料; 以葡萄酒为主的开胃酒; 高粱酒 查看详细信息</t>
  </si>
  <si>
    <t>新疆西丹庄园酒业有限公司</t>
  </si>
  <si>
    <t>桃嘻嘻</t>
  </si>
  <si>
    <t>酒精饮料（啤酒除外）; 果酒（含酒精）; 白酒; 葡萄酒; 老酒（中国蒸馏烈酒）; 汽酒; 食用酒精; 佐餐酒; 甜酒; 烧酒 查看详细信息</t>
  </si>
  <si>
    <t>肆精刚（重庆）酒业有限公司</t>
  </si>
  <si>
    <t>三精刚</t>
  </si>
  <si>
    <t>白兰地; 威士忌; 烈酒（饮料）; 果酒（含酒精）; 由谷物蒸馏的白酒; 白酒; 米酒; 已调味的蒸馏酒; 老酒（中国蒸馏烈酒）; 白干酒（中国白酒） 查看详细信息</t>
  </si>
  <si>
    <t>福尖 皇明老</t>
  </si>
  <si>
    <t>白酒; 果酒（含酒精）; 葡萄酒; 烈酒（饮料）; 食用酒精; 清酒（日本米酒）; 酒精饮料（啤酒除外）; 伏特加酒; 烧酒; 白兰地 查看详细信息</t>
  </si>
  <si>
    <t>上海金恪生态农业投资有限公司</t>
  </si>
  <si>
    <t>罄余年</t>
  </si>
  <si>
    <t>葡萄酒; 烈酒（饮料）; 酒精饮料（啤酒除外）; 白酒; 白兰地; 利口酒; 米酒; 黄酒; 含水果酒精饮料; 开胃酒 查看详细信息</t>
  </si>
  <si>
    <t>苏日古嘎</t>
  </si>
  <si>
    <t>赛努伊尔巴斯</t>
  </si>
  <si>
    <t>开胃酒; 苹果酒; 鸡尾酒; 葡萄酒; 烈酒（饮料）; 烧酒; 黄酒; 果酒（含酒精）; 白酒; 蜂蜜酒 查看详细信息</t>
  </si>
  <si>
    <t>宽甸凝翠酒庄酒业有限公司</t>
  </si>
  <si>
    <t>凝翠娜美</t>
  </si>
  <si>
    <t>果酒（含酒精）; 葡萄酒; 蜂蜜酒; 利口酒; 食用酒精; 含水果酒精饮料; 米酒; 白酒; 预先混合的酒精饮料（以啤酒为主的除外） 查看详细信息</t>
  </si>
  <si>
    <t>深圳市深创亿制冷设备有限公司</t>
  </si>
  <si>
    <t>SCY</t>
  </si>
  <si>
    <t>葡萄酒; 亚力酒; 柑香酒; 薄荷酒; 伏特加酒; 利口酒; 白兰地; 威士忌; 朗姆酒; 苹果酒 查看详细信息</t>
  </si>
  <si>
    <t>安徽诚莱生物科技有限公司</t>
  </si>
  <si>
    <t>高颜雅诗</t>
  </si>
  <si>
    <t>白酒; 果酒; 烧酒（烈酒）; 鸡尾酒; 食用酒精; 黄酒; 白兰地; 威士忌; 米酒; 葡萄酒 查看详细信息</t>
  </si>
  <si>
    <t>向仁龙</t>
  </si>
  <si>
    <t>渭溪酒</t>
  </si>
  <si>
    <t>果酒（含酒精）; 鸡尾酒; 葡萄酒; 烈酒（饮料）; 烧酒; 酒精饮料（啤酒除外）; 伏特加酒; 白酒; 黄酒; 白兰地 查看详细信息</t>
  </si>
  <si>
    <t>春知见</t>
  </si>
  <si>
    <t>贵州纯良优品酒业有限公司</t>
  </si>
  <si>
    <t>纯良醉乡</t>
  </si>
  <si>
    <t>白酒; 食用酒精; 烧酒; 谷物制蒸馏酒精饮料; 烈酒（饮料）; 预先混合的酒精饮料（以啤酒为主的除外）; 含水果酒精饮料; 餐后酒（利口酒和烈酒）; 果酒（含酒精）; 米酒 查看详细信息</t>
  </si>
  <si>
    <t>纯良静雅</t>
  </si>
  <si>
    <t>烧酒; 谷物制蒸馏酒精饮料; 米酒; 预先混合的酒精饮料（以啤酒为主的除外）; 食用酒精; 餐后酒（利口酒和烈酒）; 果酒（含酒精）; 烈酒（饮料）; 白酒; 含水果酒精饮料 查看详细信息</t>
  </si>
  <si>
    <t>纯良芳华</t>
  </si>
  <si>
    <t>白酒; 含水果酒精饮料; 烧酒; 谷物制蒸馏酒精饮料; 米酒; 预先混合的酒精饮料（以啤酒为主的除外）; 食用酒精; 餐后酒（利口酒和烈酒）; 果酒（含酒精）; 烈酒（饮料） 查看详细信息</t>
  </si>
  <si>
    <t>昆明欧迪电竞酒店管理有限公司</t>
  </si>
  <si>
    <t>竞日</t>
  </si>
  <si>
    <t>果酒（含酒精）; 鸡尾酒; 白酒; 米酒; 烧酒; 葡萄酒 查看详细信息</t>
  </si>
  <si>
    <t>高炳阳</t>
  </si>
  <si>
    <t>擅谋</t>
  </si>
  <si>
    <t>威士忌; 米酒; 食用酒精; 黄酒; 白兰地; 白酒; 葡萄酒; 酒精饮料（啤酒除外）; 烧酒; 果酒（含酒精） 查看详细信息</t>
  </si>
  <si>
    <t>刘俊</t>
  </si>
  <si>
    <t>景迈河</t>
  </si>
  <si>
    <t>白酒; 烈酒（饮料）; 白兰地; 葡萄酒; 米酒; 黄酒; 蜂蜜酒; 以葡萄酒为主的饮料; 餐后酒（利口酒和烈酒）; 果酒（含酒精） 查看详细信息</t>
  </si>
  <si>
    <t>福尖 皇明特</t>
  </si>
  <si>
    <t>宝鸡宝投新城宝物产管理有限公司</t>
  </si>
  <si>
    <t>宝先达</t>
  </si>
  <si>
    <t>梅酒; 白酒; 清酒; 鸡尾酒; 伏特加酒; 朗姆酒; 汽酒; 黄酒; 果酒; 葡萄酒 查看详细信息</t>
  </si>
  <si>
    <t>世台科技集团有限公司</t>
  </si>
  <si>
    <t>武坪王将</t>
  </si>
  <si>
    <t>黄酒; 烈酒（饮料）; 甘蔗制烈酒; 鸡尾酒; 烧酒; 葡萄酒; 果酒（含酒精）; 米酒; 酒精饮料（啤酒除外）; 白酒 查看详细信息</t>
  </si>
  <si>
    <t>甘肃超小超电子商务有限公司</t>
  </si>
  <si>
    <t>陇上和美</t>
  </si>
  <si>
    <t>起泡白葡萄酒; 白葡萄酒; 干型苹果酒; 起泡红葡萄酒; 青稞酒; 黄酒; 红葡萄酒; 果酒（含酒精）; 梨酒; 含水果酒精饮料; 米酒; 高粱酒; 水果汽酒; 白酒 查看详细信息</t>
  </si>
  <si>
    <t>福尖 皇之明</t>
  </si>
  <si>
    <t>河北叶与晨酒店管理有限公司</t>
  </si>
  <si>
    <t>叶与晨</t>
  </si>
  <si>
    <t>果酒（含酒精）; 开胃酒; 鸡尾酒; 葡萄酒; 白酒; 清酒（日本米酒）; 威士忌; 伏特加酒; 烧酒; 白兰地 查看详细信息</t>
  </si>
  <si>
    <t>姚小梅</t>
  </si>
  <si>
    <t>花月岚</t>
  </si>
  <si>
    <t>黄酒; 米酒; 清酒; 青稞酒; 葡萄酒; 白酒; 烧酒; 五加皮酒（中国混合烈酒）; 果酒; 高粱酒 查看详细信息</t>
  </si>
  <si>
    <t>久伝和</t>
  </si>
  <si>
    <t>酒精饮料原汁; 米酒; 果酒; 鸡尾酒; 葡萄酒; 蝮蛇酒; 白酒; 开胃酒; 含酒精水果饮料; 起泡白葡萄酒 查看详细信息</t>
  </si>
  <si>
    <t>山东农祥种业科技有限公司</t>
  </si>
  <si>
    <t>果酒（含酒精）; 薄荷酒; 开胃酒; 蒸馏饮料; 含水果酒精饮料; 威士忌; 酒精饮料（啤酒除外）; 黄酒; 白酒; 葡萄酒 查看详细信息</t>
  </si>
  <si>
    <t>贵州福堂宴酒业销售有限公司</t>
  </si>
  <si>
    <t>虎龘</t>
  </si>
  <si>
    <t>苦味酒; 开胃酒; 餐后酒（利口酒和烈酒）; 烈性干酒; 五加皮酒（中国混合烈酒）; 已调味的蒸馏酒; 烧酒（烈酒）; 以蒸馏酒为主的开胃酒; 老酒（中国蒸馏烈酒）; 烈酒 查看详细信息</t>
  </si>
  <si>
    <t>中酿优选（香河）供应链管理有限公司</t>
  </si>
  <si>
    <t>秉纯烧坊</t>
  </si>
  <si>
    <t>白酒; 葡萄酒; 果酒（含酒精）; 利口酒; 清酒; 白兰地; 酒精饮料（啤酒除外）; 威士忌; 烧酒; 开胃酒 查看详细信息</t>
  </si>
  <si>
    <t>知见九酒</t>
  </si>
  <si>
    <t>烧酒; 酒精饮料（啤酒除外）; 黄酒; 葡萄酒; 白酒; 果酒（含酒精）; 清酒（日本米酒）; 鸡尾酒; 烈酒（饮料）; 米酒 查看详细信息</t>
  </si>
  <si>
    <t>大连全胜哥商贸有限公司</t>
  </si>
  <si>
    <t>海味翁</t>
  </si>
  <si>
    <t>含酒精的气泡水; 白酒; 果酒（含酒精）; 葡萄酒; 黄酒; 鸡尾酒; 米酒; 清酒; 蜂蜜酒; 樱桃酒 查看详细信息</t>
  </si>
  <si>
    <t>一级方程式许可公司</t>
  </si>
  <si>
    <t>果酒（含酒精）; 烈酒; 樱桃酒; 利口酒; 朗姆酒; 清酒（日本米酒）; 苹果酒; 葡萄酒; 起泡红葡萄酒; 伏特加酒; 起泡白葡萄酒; 水果汽酒; 天然汽酒; 威士忌; 白干酒（中国白酒）; 酒精饮料（啤酒除外）; 米酒; 茴芹酒（利口酒）; 茴香酒; 开胃酒; 亚力酒; 蒸馏饮料; 鸡尾酒; 蒸煮提取物（利口酒和烈酒）; 杜松子酒 查看详细信息</t>
  </si>
  <si>
    <t>福尖 皇明礼</t>
  </si>
  <si>
    <t>伏特加酒; 烧酒; 食用酒精; 白酒; 酒精饮料（啤酒除外）; 葡萄酒; 烈酒（饮料）; 白兰地; 清酒（日本米酒）; 果酒（含酒精） 查看详细信息</t>
  </si>
  <si>
    <t>火伝和</t>
  </si>
  <si>
    <t>果酒; 鸡尾酒; 白酒; 葡萄酒; 起泡白葡萄酒; 酒精饮料原汁; 米酒; 开胃酒; 含酒精水果饮料; 蝮蛇酒 查看详细信息</t>
  </si>
  <si>
    <t>浙江天台坤黄生物科技有限公司</t>
  </si>
  <si>
    <t>山人指露</t>
  </si>
  <si>
    <t>开胃酒; 果酒（含酒精）; 汽酒; 烧酒; 含水果酒精饮料; 米酒; 预先混合的酒精饮料（以啤酒为主的除外）; 鸡尾酒; 黄酒; 白酒 查看详细信息</t>
  </si>
  <si>
    <t>邵宪贞</t>
  </si>
  <si>
    <t>麦维燕</t>
  </si>
  <si>
    <t>果酒; 甜酒; 白酒; 鸡尾酒; 高粱酒; 威士忌; 酒精饮料（啤酒除外）; 米酒; 黄酒; 葡萄酒 查看详细信息</t>
  </si>
  <si>
    <t>福尖 皇明氿</t>
  </si>
  <si>
    <t>山西广昇原健康科技有限公司</t>
  </si>
  <si>
    <t>广昇原</t>
  </si>
  <si>
    <t>福尖 皇明缘</t>
  </si>
  <si>
    <t>杭州尽游网络科技有限公司</t>
  </si>
  <si>
    <t>安和天心</t>
  </si>
  <si>
    <t>果酒（含酒精）; 薄荷酒; 开胃酒; 蒸馏饮料; 米酒; 威士忌; 酒精饮料（啤酒除外）; 黄酒; 白酒; 葡萄酒 查看详细信息</t>
  </si>
  <si>
    <t>金知见</t>
  </si>
  <si>
    <t>烧酒; 酒精饮料（啤酒除外）; 黄酒; 葡萄酒; 白酒; 清酒（日本米酒）; 鸡尾酒; 烈酒（饮料）; 米酒; 果酒（含酒精） 查看详细信息</t>
  </si>
  <si>
    <t>河北大国医道养心堂生物科技发展有限公司</t>
  </si>
  <si>
    <t>盛华甄</t>
  </si>
  <si>
    <t>含水果酒精饮料; 青稞酒; 黄酒; 白酒; 威士忌; 含酒精的气泡水; 薄荷酒; 果酒（含酒精）; 蜂蜜酒; 米酒 查看详细信息</t>
  </si>
  <si>
    <t>吉林省快马人力资源有限责任公司</t>
  </si>
  <si>
    <t>祥佑草</t>
  </si>
  <si>
    <t>洗发液; 美容皂; 洗面奶; 护发素; 精华液（化妆品）; 美容面膜; 皮肤增白霜; 化妆品; 美容霜; 牙膏 查看详细信息</t>
  </si>
  <si>
    <t>花开天下（成都）科技有限公司</t>
  </si>
  <si>
    <t>农山行</t>
  </si>
  <si>
    <t>薄荷酒; 果酒（含酒精）; 苹果酒; 鸡尾酒; 朗姆酒; 樱桃酒; 清酒（日本米酒）; 含水果酒精饮料; 米酒; 葡萄酒 查看详细信息</t>
  </si>
  <si>
    <t>福尖 皇明龙</t>
  </si>
  <si>
    <t>苏州世启维品客教育科技有限公司</t>
  </si>
  <si>
    <t>唯品华风</t>
  </si>
  <si>
    <t>老酒（中国蒸馏烈酒）; 烈酒浓缩汁; 已调味的蒸馏酒; 烧酒（烈酒）; 白酒; 果酒（含酒精）; 酒精饮料（啤酒除外）; 米酒; 食用酒精; 白干酒（中国白酒） 查看详细信息</t>
  </si>
  <si>
    <t>上海新微技术研发中心有限公司</t>
  </si>
  <si>
    <t>MOORE AND MORE</t>
  </si>
  <si>
    <t>白酒; 黄酒; 汽酒; 米酒; 蒸馏饮料; 已调味的蒸馏酒; 果酒（含酒精）; 烈酒（饮料）; 酒精饮料（啤酒除外）; 葡萄酒 查看详细信息</t>
  </si>
  <si>
    <t>赵雅文</t>
  </si>
  <si>
    <t>岳山川</t>
  </si>
  <si>
    <t>黄酒; 白酒; 酒精饮料（啤酒除外）; 清酒（日本米酒）; 威士忌; 果酒（含酒精）; 鸡尾酒; 葡萄酒; 开胃酒; 烈酒 查看详细信息</t>
  </si>
  <si>
    <t>福尖 皇明福</t>
  </si>
  <si>
    <t>意华丝绸绣花时装(杭州)有限公司</t>
  </si>
  <si>
    <t>觉香里</t>
  </si>
  <si>
    <t>酒精饮料浓缩汁; 烈酒; 含水果酒精饮料; 白干酒（中国白酒）; 含酒精的饮料（啤酒除外）; 甜果酒; 清酒; 葡萄汽酒; 咖啡利口酒; 米酒 查看详细信息</t>
  </si>
  <si>
    <t>杨炎新</t>
  </si>
  <si>
    <t>文泉爱莲堂</t>
  </si>
  <si>
    <t>烧酒; 白酒; 米酒; 薄荷酒; 含水果酒精饮料; 黄酒; 果酒（含酒精）; 清酒（日本米酒）; 烈酒（饮料）; 蜂蜜酒 查看详细信息</t>
  </si>
  <si>
    <t>典经纯秉</t>
  </si>
  <si>
    <t>福尖 皇明人家</t>
  </si>
  <si>
    <t>厦门一味先行餐饮管理有限公司</t>
  </si>
  <si>
    <t>盒口味</t>
  </si>
  <si>
    <t>果酒（含酒精）; 蒸馏饮料; 含酒精水果饮料; 米酒 查看详细信息</t>
  </si>
  <si>
    <t>吴善乐</t>
  </si>
  <si>
    <t>CUBEYICHENWUYICHENCUBEFIVE</t>
  </si>
  <si>
    <t>开胃酒; 葡萄酒; 鸡尾酒; 黄酒; 白兰地; 白酒; 威士忌; 含水果酒精饮料; 伏特加酒; 烧酒 查看详细信息</t>
  </si>
  <si>
    <t>白伝和</t>
  </si>
  <si>
    <t>友伝和</t>
  </si>
  <si>
    <t>秉纯</t>
  </si>
  <si>
    <t>利口酒; 烧酒; 葡萄酒; 开胃酒; 清酒; 威士忌; 白酒; 果酒（含酒精）; 白兰地; 酒精饮料（啤酒除外） 查看详细信息</t>
  </si>
  <si>
    <t>AITESUPER</t>
  </si>
  <si>
    <t>山人余食</t>
  </si>
  <si>
    <t>含水果酒精饮料; 开胃酒; 果酒（含酒精）; 汽酒; 预先混合的酒精饮料（以啤酒为主的除外）; 白酒; 米酒; 鸡尾酒; 黄酒; 烧酒 查看详细信息</t>
  </si>
  <si>
    <t>冬知见</t>
  </si>
  <si>
    <t>烈酒（饮料）; 白酒; 烧酒; 酒精饮料（啤酒除外）; 鸡尾酒; 葡萄酒; 米酒; 果酒（含酒精）; 清酒（日本米酒）; 黄酒 查看详细信息</t>
  </si>
  <si>
    <t>湖北丰如佳电子商务有限公司</t>
  </si>
  <si>
    <t>鸡尾酒; 葡萄酒; 利口酒; 清酒（日本米酒）; 果酒（含酒精）; 汽酒; 黄酒; 烧酒; 白酒; 米酒 查看详细信息</t>
  </si>
  <si>
    <t>医圣实业（镇平县）有限公司</t>
  </si>
  <si>
    <t>承继华陀</t>
  </si>
  <si>
    <t>杭州易买久贸易有限公司</t>
  </si>
  <si>
    <t>仙鹿堂</t>
  </si>
  <si>
    <t>白兰地; 威士忌; 葡萄酒; 朗姆酒; 果酒; 黄酒; 白酒; 露酒; 米酒; 伏特加酒 查看详细信息</t>
  </si>
  <si>
    <t>水丰龙印</t>
  </si>
  <si>
    <t>威士忌; 酒精饮料（啤酒除外）; 米酒; 黄酒; 白兰地; 烈酒（饮料）; 果酒（含酒精）; 鸡尾酒; 葡萄酒; 白酒 查看详细信息</t>
  </si>
  <si>
    <t>吴琼波</t>
  </si>
  <si>
    <t>岁月序</t>
  </si>
  <si>
    <t>烈酒（饮料）; 果酒（含酒精）; 米酒; 威士忌; 白酒; 黄酒; 蜂蜜酒; 葡萄酒; 鸡尾酒; 清酒（日本米酒） 查看详细信息</t>
  </si>
  <si>
    <t>何钦</t>
  </si>
  <si>
    <t>酣物</t>
  </si>
  <si>
    <t>薄荷酒; 餐后酒（利口酒和烈酒）; 葡萄酒; 利口酒; 果酒; 烧酒; 白酒; 梅酒; 烈酒; 酒精饮料（啤酒除外） 查看详细信息</t>
  </si>
  <si>
    <t>张英</t>
  </si>
  <si>
    <t>农味翁</t>
  </si>
  <si>
    <t>果酒（含酒精）; 蒸馏饮料; 葡萄酒; 酒精饮料原汁; 白酒; 含水果酒精饮料; 米酒; 预先混合的酒精饮料（以啤酒为主的除外）; 黄酒; 酒精饮料（啤酒除外） 查看详细信息</t>
  </si>
  <si>
    <t>什邡市三木农业科技有限公司</t>
  </si>
  <si>
    <t>TONGCHENGHONG</t>
  </si>
  <si>
    <t>鸡尾酒; 开胃酒; 葡萄酒; 烈酒（饮料）; 白酒; 高粱酒; 老酒（中国蒸馏烈酒）; 青稞酒; 黄酒; 烧酒 查看详细信息</t>
  </si>
  <si>
    <t>XINYAOQING</t>
  </si>
  <si>
    <t>香港盛生堂健康有限公司</t>
  </si>
  <si>
    <t>盛生九香</t>
  </si>
  <si>
    <t>酒精饮料原汁; 含水果酒精饮料; 烈酒（饮料）; 黄酒; 烧酒; 苦荞酒; 露酒; 白酒; 青梅酒; 果酒 查看详细信息</t>
  </si>
  <si>
    <t>海口艾高投资有限公司</t>
  </si>
  <si>
    <t>擎久</t>
  </si>
  <si>
    <t>烧酒; 利口酒; 威士忌; 米酒; 白酒; 果酒（含酒精）; 葡萄酒; 烈酒（饮料）; 黄酒; 预先混合的酒精饮料（以啤酒为主的除外） 查看详细信息</t>
  </si>
  <si>
    <t>九府珍</t>
  </si>
  <si>
    <t>米酒; 果酒（含酒精）; 葡萄酒; 白酒; 开胃酒; 鸡尾酒; 威士忌; 黄酒; 清酒（日本米酒）; 烈酒（饮料） 查看详细信息</t>
  </si>
  <si>
    <t>福建省曲斗香酒业有限公司</t>
  </si>
  <si>
    <t>曲斗香海底</t>
  </si>
  <si>
    <t>米酒; 伏特加酒; 葡萄酒; 白酒; 酒精饮料（啤酒除外）; 含水果酒精饮料; 黄酒; 烈酒; 鸡尾酒; 威士忌 查看详细信息</t>
  </si>
  <si>
    <t>苗氏文顺（上海）商贸发展有限公司</t>
  </si>
  <si>
    <t>海归仨仁</t>
  </si>
  <si>
    <t>果酒; 米酒; 白酒; 黄酒; 黑醋栗酒; 葡萄酒; 清酒（日本米酒）; 预先混合的酒精饮料（以啤酒为主的除外）; 威士忌; 鸡尾酒 查看详细信息</t>
  </si>
  <si>
    <t>休宁县状元文化旅游开发投资有限公司</t>
  </si>
  <si>
    <t>武小宁</t>
  </si>
  <si>
    <t>烧酒（烈酒）; 老酒（中国蒸馏烈酒）; 高粱酒; 果酒; 黄酒; 米酒; 薄荷酒; 鸡尾酒; 清酒（日本米酒）; 白酒 查看详细信息</t>
  </si>
  <si>
    <t>黑龙江省畅嘉淳酒业有限公司</t>
  </si>
  <si>
    <t>九粮醴天下</t>
  </si>
  <si>
    <t>烧酒; 白兰地; 白酒; 米酒; 酒精饮料（啤酒除外）; 威士忌; 鸡尾酒; 果酒（含酒精）; 烈酒（饮料）; 葡萄酒 查看详细信息</t>
  </si>
  <si>
    <t>鲜鹏程</t>
  </si>
  <si>
    <t>鸿立</t>
  </si>
  <si>
    <t>黄酒; 鸡尾酒; 酒精饮料（啤酒除外）; 葡萄酒; 伏特加酒; 白酒; 烧酒; 果酒（含酒精）; 威士忌; 米酒 查看详细信息</t>
  </si>
  <si>
    <t>北京国酒酿造有限公司</t>
  </si>
  <si>
    <t>京都喜盈门</t>
  </si>
  <si>
    <t>果酒（含酒精）; 茴香酒（利口酒）; 烈酒（饮料）; 酒精饮料（啤酒除外）; 白酒; 开胃酒; 米酒; 烧酒; 谷物制蒸馏酒精饮料; 蒸煮提取物（利口酒和烈酒） 查看详细信息</t>
  </si>
  <si>
    <t>张艳红</t>
  </si>
  <si>
    <t>山元希</t>
  </si>
  <si>
    <t>酒精饮料（啤酒除外）; 清酒（日本米酒）; 果酒（含酒精）; 烈酒; 米酒; 黄酒; 威士忌; 葡萄酒; 鸡尾酒; 白酒 查看详细信息</t>
  </si>
  <si>
    <t>于俊伟</t>
  </si>
  <si>
    <t>宾格典</t>
  </si>
  <si>
    <t>黄酒; 白酒; 开胃酒; 鸡尾酒; 烧酒; 樱桃酒; 白兰地; 梨酒; 米酒; 葡萄酒 查看详细信息</t>
  </si>
  <si>
    <t>方明</t>
  </si>
  <si>
    <t>七的湖</t>
  </si>
  <si>
    <t>四川巴蜀红酒业有限公司</t>
  </si>
  <si>
    <t>高球贵一</t>
  </si>
  <si>
    <t>白酒; 烈酒（饮料）; 酒精饮料（啤酒除外）; 黄酒; 酒精饮料原汁; 米酒; 果酒（含酒精）; 葡萄酒; 青稞酒; 烧酒 查看详细信息</t>
  </si>
  <si>
    <t>高球贵亦</t>
  </si>
  <si>
    <t>柯德刚</t>
  </si>
  <si>
    <t>蒸维道</t>
  </si>
  <si>
    <t>果酒（含酒精）; 含水果酒精饮料; 黄酒; 米酒; 烧酒; 蜂蜜酒; 白酒; 甘蔗制酒精饮料; 谷物制蒸馏酒精饮料; 苹果酒 查看详细信息</t>
  </si>
  <si>
    <t>魏萝杰</t>
  </si>
  <si>
    <t>帝岚星</t>
  </si>
  <si>
    <t>酒精饮料（啤酒除外）; 清酒（日本米酒）; 果酒（含酒精）; 烈酒; 黄酒; 葡萄酒; 开胃酒; 白酒; 鸡尾酒; 威士忌 查看详细信息</t>
  </si>
  <si>
    <t>盛生妍香</t>
  </si>
  <si>
    <t>酒精饮料原汁; 含水果酒精饮料; 烈酒（饮料）; 果酒; 黄酒; 露酒; 白酒; 青梅酒; 烧酒; 苦荞酒 查看详细信息</t>
  </si>
  <si>
    <t>吉林省元隆号食品有限公司</t>
  </si>
  <si>
    <t>㐂喜囍</t>
  </si>
  <si>
    <t>利口酒; 果酒（含酒精）; 汽酒; 烧酒; 蜂蜜酒; 米酒; 红葡萄酒; 蒸馏饮料; 黄酒; 白酒 查看详细信息</t>
  </si>
  <si>
    <t>刘春</t>
  </si>
  <si>
    <t>金富礼</t>
  </si>
  <si>
    <t>烧酒; 米酒; 葡萄酒; 汽酒; 果酒; 青梅酒; 梅酒; 白酒; 烈酒; 黄酒 查看详细信息</t>
  </si>
  <si>
    <t>云南阿黑哥农业发展有限公司</t>
  </si>
  <si>
    <t>云农阿黑哥</t>
  </si>
  <si>
    <t>含水果酒精饮料; 米酒; 鸡尾酒; 樱桃酒; 白酒; 露酒; 杨梅酒; 青梅酒; 混合威士忌酒; 烈酒 查看详细信息</t>
  </si>
  <si>
    <t>曹一杰</t>
  </si>
  <si>
    <t>古鼎河</t>
  </si>
  <si>
    <t>白酒; 果酒; 葡萄酒; 黄酒; 汽酒; 清酒; 烧酒; 白兰地; 威士忌; 米酒 查看详细信息</t>
  </si>
  <si>
    <t>郑州千伊工程管理咨询有限公司</t>
  </si>
  <si>
    <t>秀色水晶</t>
  </si>
  <si>
    <t>黄酒; 威士忌; 开胃酒; 果酒（含酒精）; 鸡尾酒; 烈酒; 白酒; 葡萄酒; 酒精饮料（啤酒除外）; 清酒（日本米酒） 查看详细信息</t>
  </si>
  <si>
    <t>武医道(山东)中医诊所有限公司</t>
  </si>
  <si>
    <t>丈人峰</t>
  </si>
  <si>
    <t>葡萄酒; 蜂蜜酒; 樱桃酒; 清酒（日本米酒）; 含酒精水果饮料; 烧酒; 黄酒; 白酒; 食用酒精; 米酒 查看详细信息</t>
  </si>
  <si>
    <t>宁夏十翼信息科技发展合伙企业（有限合伙）</t>
  </si>
  <si>
    <t>夏禾丰裕</t>
  </si>
  <si>
    <t>鸡尾酒; 酒精饮料（啤酒除外）; 葡萄酒; 果酒（含酒精）; 米酒; 黄酒; 烈酒; 伏特加酒; 白兰地; 白酒 查看详细信息</t>
  </si>
  <si>
    <t>陕西陕商故里实业有限公司</t>
  </si>
  <si>
    <t>君道秦</t>
  </si>
  <si>
    <t>白酒; 果酒; 葡萄酒; 黄酒; 威士忌; 青稞酒; 利口酒; 烧酒; 鸡尾酒; 米酒 查看详细信息</t>
  </si>
  <si>
    <t>神木城投文化开发有限公司</t>
  </si>
  <si>
    <t>神韵木味</t>
  </si>
  <si>
    <t>酒精饮料（啤酒除外）; 白酒; 开胃酒; 果酒（含酒精）; 白兰地; 清酒（日本米酒）; 汽酒; 烧酒; 食用酒精; 葡萄酒 查看详细信息</t>
  </si>
  <si>
    <t>宜阳县昊鑫种植农民专业合作社</t>
  </si>
  <si>
    <t>白昊鑫</t>
  </si>
  <si>
    <t>开胃酒; 烧酒; 含酒精的气泡水; 白酒; 黄酒; 米酒; 白兰地; 以葡萄酒为主的饮料; 威士忌; 果酒（含酒精） 查看详细信息</t>
  </si>
  <si>
    <t>平利县天泽惠农业发展有限公司</t>
  </si>
  <si>
    <t>柴掌柜</t>
  </si>
  <si>
    <t>米酒; 烧酒; 黄酒; 白酒; 白兰地; 果酒（含酒精）; 蒸馏饮料; 鸡尾酒; 葡萄酒; 威士忌 查看详细信息</t>
  </si>
  <si>
    <t>富骄</t>
  </si>
  <si>
    <t>福建蓝黛旭峰贸易有限公司</t>
  </si>
  <si>
    <t>福善人家</t>
  </si>
  <si>
    <t>果酒; 餐后酒（利口酒和烈酒）; 桃红葡萄酒; 葡萄酒; 白酒; 白葡萄酒; 烈酒; 黄酒; 米酒; 起泡红葡萄酒 查看详细信息</t>
  </si>
  <si>
    <t>杨久凤</t>
  </si>
  <si>
    <t>栗树坡上</t>
  </si>
  <si>
    <t>葡萄酒; 酒精饮料原汁; 酒精饮料（啤酒除外）; 含水果酒精饮料; 开胃酒; 白酒; 苹果酒; 烧酒; 果酒; 米酒 查看详细信息</t>
  </si>
  <si>
    <t>苏州鉴锐欣智能科技有限公司</t>
  </si>
  <si>
    <t>鉴锐欣</t>
  </si>
  <si>
    <t>葡萄酒; 酒精饮料原汁; 酒精饮料（啤酒除外）; 米酒; 白酒; 汽酒; 黄酒; 食用酒精; 烧酒; 谷物制蒸馏酒精饮料 查看详细信息</t>
  </si>
  <si>
    <t>流金美</t>
  </si>
  <si>
    <t>高粱酒; 果酒; 白酒; 米酒; 黄酒; 鸡尾酒; 烧酒（烈酒）; 老酒（中国蒸馏烈酒）; 清酒（日本米酒）; 薄荷酒 查看详细信息</t>
  </si>
  <si>
    <t>兰州嘉恒伟业农业开发有限公司</t>
  </si>
  <si>
    <t>甘嘉恒</t>
  </si>
  <si>
    <t>白酒; 葡萄酒; 果酒（含酒精）; 米酒; 甘蔗制烈酒; 烧酒; 黄酒; 鸡尾酒; 烈酒; 酒精饮料（啤酒除外） 查看详细信息</t>
  </si>
  <si>
    <t>帝韵天承</t>
  </si>
  <si>
    <t>白酒; 果酒（含酒精）; 蒸馏饮料; 苹果酒; 餐后酒（利口酒和烈酒）; 烈酒（饮料）; 米酒; 谷物制蒸馏酒精饮料; 露酒; 葡萄酒 查看详细信息</t>
  </si>
  <si>
    <t>盛生美妍</t>
  </si>
  <si>
    <t>西安瑞东食品集团有限责任公司</t>
  </si>
  <si>
    <t>仟仟多乐</t>
  </si>
  <si>
    <t>果酒（含酒精）; 葡萄酒; 米酒; 烧酒; 甜果酒; 黄酒; 白酒; 果酒; 清酒; 青稞酒 查看详细信息</t>
  </si>
  <si>
    <t>辽宁天人予学商贸有限公司</t>
  </si>
  <si>
    <t>天人予学</t>
  </si>
  <si>
    <t>葡萄酒; 白酒; 烧酒; 米酒; 烈酒（饮料）; 鸡尾酒; 酒精饮料原汁; 含水果酒精饮料; 果酒（含酒精）; 开胃酒 查看详细信息</t>
  </si>
  <si>
    <t>鸡尾酒; 清酒（日本米酒）; 黄酒; 薄荷酒; 米酒; 老酒（中国蒸馏烈酒）; 高粱酒; 果酒; 白酒; 烧酒（烈酒） 查看详细信息</t>
  </si>
  <si>
    <t>神兽灰灰兔</t>
  </si>
  <si>
    <t>葡萄酒; 起泡红葡萄酒; 白葡萄酒; 烈酒; 桃红葡萄酒; 米酒; 白酒; 白兰地; 威士忌; 黄酒 查看详细信息</t>
  </si>
  <si>
    <t>龙矢</t>
  </si>
  <si>
    <t>方霞</t>
  </si>
  <si>
    <t>锦桂</t>
  </si>
  <si>
    <t>盛洋</t>
  </si>
  <si>
    <t>盛生婉安</t>
  </si>
  <si>
    <t>含水果酒精饮料; 烈酒（饮料）; 黄酒; 果酒; 酒精饮料原汁; 白酒; 青梅酒; 苦荞酒; 烧酒; 露酒 查看详细信息</t>
  </si>
  <si>
    <t>佛山市聚优资能企业管理有限公司</t>
  </si>
  <si>
    <t>聚优资能</t>
  </si>
  <si>
    <t>果酒（含酒精）; 开胃酒; 鸡尾酒; 蒸煮提取物（利口酒和烈酒）; 白酒; 烈酒（饮料）; 白兰地; 黄酒; 烧酒; 葡萄酒 查看详细信息</t>
  </si>
  <si>
    <t>御壶士</t>
  </si>
  <si>
    <t>威士忌; 米酒; 白酒; 白兰地; 果酒; 葡萄酒; 黄酒; 汽酒; 清酒; 烧酒 查看详细信息</t>
  </si>
  <si>
    <t>道珍福</t>
  </si>
  <si>
    <t>鸡尾酒; 威士忌; 葡萄酒; 清酒（日本米酒）; 开胃酒; 米酒; 果酒（含酒精）; 黄酒; 白酒; 烈酒（饮料） 查看详细信息</t>
  </si>
  <si>
    <t>重庆百里竹海旅游开发建设有限公司</t>
  </si>
  <si>
    <t>双桂里</t>
  </si>
  <si>
    <t>药酒; 中药材; 油剂; 杀寄生虫药; 医用营养制剂; 净化剂; 兽医用药; 中药袋; 牙科修复用牙齿贴面; 宠物尿布 查看详细信息</t>
  </si>
  <si>
    <t>泉州市全佑文化传媒有限公司</t>
  </si>
  <si>
    <t>簪花鲤物</t>
  </si>
  <si>
    <t>果酒（含酒精）; 开胃酒; 蒸馏饮料; 葡萄酒; 清酒; 米酒; 以葡萄酒为主的饮料; 黄酒; 白酒; 烈酒（饮料） 查看详细信息</t>
  </si>
  <si>
    <t>令珍吟</t>
  </si>
  <si>
    <t>果酒（含酒精）; 葡萄酒; 白酒; 烈酒（饮料）; 开胃酒; 鸡尾酒; 威士忌; 黄酒; 清酒（日本米酒）; 米酒 查看详细信息</t>
  </si>
  <si>
    <t>集工建联(上海)科技有限公司</t>
  </si>
  <si>
    <t>集工建联</t>
  </si>
  <si>
    <t>蒸馏饮料; 含水果酒精饮料; 果酒; 除啤酒外的酒精饮料; 白酒; 含酒精的饮料（啤酒除外）; 黄酒; 含酒精的气泡水; 食用酒精; 清酒 查看详细信息</t>
  </si>
  <si>
    <t>盛生龙</t>
  </si>
  <si>
    <t>陕西天池翼科技有限公司</t>
  </si>
  <si>
    <t>益饮益酌</t>
  </si>
  <si>
    <t>果酒（含酒精）; 苦味酒; 鸡尾酒; 葡萄酒; 朗姆酒; 米酒; 白酒; 黄酒; 白兰地; 烈酒（饮料） 查看详细信息</t>
  </si>
  <si>
    <t>徐冬梅</t>
  </si>
  <si>
    <t>鲸蛟扬</t>
  </si>
  <si>
    <t>江西铨瓴企业运营管理有限公司</t>
  </si>
  <si>
    <t>铨瓴</t>
  </si>
  <si>
    <t>薄荷酒; 果酒（含酒精）; 烈酒（饮料）; 清酒（日本米酒）; 白酒; 米酒; 烧酒; 汽酒; 黄酒; 威士忌 查看详细信息</t>
  </si>
  <si>
    <t>云南九云卓文化产业有限公司</t>
  </si>
  <si>
    <t>云古凰</t>
  </si>
  <si>
    <t>葡萄酒; 鸡尾酒; 果酒（含酒精）; 以葡萄酒为主的饮料; 甘蔗制酒精饮料; 红葡萄酒; 含水果酒精饮料; 含酒精的气泡水; 烧酒; 含酒精水果饮料 查看详细信息</t>
  </si>
  <si>
    <t>何炼</t>
  </si>
  <si>
    <t>湘矗</t>
  </si>
  <si>
    <t>鸡尾酒; 利口酒; 含水果酒精饮料; 开胃酒; 烈酒（饮料）; 烧酒; 白酒; 米酒; 黄酒; 葡萄酒 查看详细信息</t>
  </si>
  <si>
    <t>李富</t>
  </si>
  <si>
    <t>休仔</t>
  </si>
  <si>
    <t>葡萄酒; 米酒; 朗姆酒; 谷物制蒸馏酒精饮料; 由谷物蒸馏的白酒; 高粱酒; 果酒; 含酒精水果饮料; 梅酒; 汽酒 查看详细信息</t>
  </si>
  <si>
    <t>四川云放商贸有限公司</t>
  </si>
  <si>
    <t>福遂</t>
  </si>
  <si>
    <t>酒精饮料浓缩汁; 含水果酒精饮料; 以葡萄酒为主的饮料; 烧酒; 白干酒（中国白酒）; 清酒; 高粱酒; 果酒; 酒精饮料（啤酒除外）; 黄酒 查看详细信息</t>
  </si>
  <si>
    <t>江苏大明宫酒业有限公司</t>
  </si>
  <si>
    <t>金如蓝</t>
  </si>
  <si>
    <t>吴光庆</t>
  </si>
  <si>
    <t>由谷物蒸馏的白酒; 白酒; 果酒（含酒精）; 黄酒; 鸡尾酒; 葡萄酒; 含水果酒精饮料; 食用酒精; 烧酒; 米酒 查看详细信息</t>
  </si>
  <si>
    <t>姚学玉</t>
  </si>
  <si>
    <t>VILLA STORY</t>
  </si>
  <si>
    <t>威士忌; 利口酒; 果酒（含酒精）; 黄酒; 烧酒; 米酒; 预先混合的酒精饮料（以啤酒为主的除外）; 葡萄酒; 烈酒（饮料）; 白酒 查看详细信息</t>
  </si>
  <si>
    <t>中原康谷健康产业有限公司</t>
  </si>
  <si>
    <t>果酒（含酒精）; 葡萄酒; 白兰地; 酒精饮料（啤酒除外）; 白酒; 米酒; 烧酒; 黄酒; 食用酒精; 含水果酒精饮料 查看详细信息</t>
  </si>
  <si>
    <t>刘水群</t>
  </si>
  <si>
    <t>与你与香</t>
  </si>
  <si>
    <t>白兰地; 果酒（含酒精）; 伏特加酒; 酒精饮料（啤酒除外）; 葡萄酒; 烈酒（饮料）; 黄酒; 鸡尾酒; 白酒; 烧酒 查看详细信息</t>
  </si>
  <si>
    <t>深圳市诚年陈酒业有限公司</t>
  </si>
  <si>
    <t>诚宝行</t>
  </si>
  <si>
    <t>果酒（含酒精）; 葡萄酒; 烈酒（饮料）; 白兰地; 白酒; 含水果酒精饮料; 米酒; 伏特加酒; 预先混合的酒精饮料（以啤酒为主的除外）; 威士忌 查看详细信息</t>
  </si>
  <si>
    <t>贵州悍帝酒业有限公司</t>
  </si>
  <si>
    <t>姜慕春</t>
  </si>
  <si>
    <t>郑州锅圈食汇家政管理有限公司</t>
  </si>
  <si>
    <t>贴心袄</t>
  </si>
  <si>
    <t>果酒（含酒精）; 开胃酒; 葡萄酒; 含水果酒精饮料; 甜酒; 烧酒; 青稞酒; 黄酒; 白酒; 米酒 查看详细信息</t>
  </si>
  <si>
    <t>贵州天朝金窖酒业有限公司</t>
  </si>
  <si>
    <t>襄杰</t>
  </si>
  <si>
    <t>米酒; 烧酒; 黄酒; 白酒; 葡萄酒; 高粱酒; 果酒; 白干酒（中国白酒）; 老酒（中国蒸馏烈酒）; 烈酒 查看详细信息</t>
  </si>
  <si>
    <t>鄂杰</t>
  </si>
  <si>
    <t>葡萄酒; 米酒; 烧酒; 黄酒; 果酒; 烈酒; 高粱酒; 白干酒（中国白酒）; 老酒（中国蒸馏烈酒）; 白酒 查看详细信息</t>
  </si>
  <si>
    <t>乐御天</t>
  </si>
  <si>
    <t>威士忌; 黄酒; 清酒（日本米酒）; 烈酒（饮料）; 米酒; 果酒（含酒精）; 葡萄酒; 白酒; 开胃酒; 鸡尾酒 查看详细信息</t>
  </si>
  <si>
    <t>哈尔滨道松商贸有限公司</t>
  </si>
  <si>
    <t>米特泰森</t>
  </si>
  <si>
    <t>酒精饮料（啤酒除外）; 蒸馏饮料; 白酒; 烧酒; 食用酒精; 汽酒; 威士忌; 白兰地; 鸡尾酒; 果酒（含酒精） 查看详细信息</t>
  </si>
  <si>
    <t>荆杰</t>
  </si>
  <si>
    <t>烈酒; 高粱酒; 果酒; 白干酒（中国白酒）; 白酒; 葡萄酒; 米酒; 烧酒; 黄酒; 老酒（中国蒸馏烈酒） 查看详细信息</t>
  </si>
  <si>
    <t>北京京庭酒店有限公司</t>
  </si>
  <si>
    <t>华住十二食辰</t>
  </si>
  <si>
    <t>鸡尾酒; 白兰地; 白酒; 果酒（含酒精）; 烈酒（饮料）; 酒精饮料（啤酒除外）; 黄酒; 含水果酒精饮料; 青稞酒; 威士忌 查看详细信息</t>
  </si>
  <si>
    <t>郑医康谷</t>
  </si>
  <si>
    <t>白兰地; 酒精饮料（啤酒除外）; 含水果酒精饮料; 米酒; 葡萄酒; 黄酒; 食用酒精; 白酒; 果酒（含酒精）; 烧酒 查看详细信息</t>
  </si>
  <si>
    <t>侣饮</t>
  </si>
  <si>
    <t>孝杰</t>
  </si>
  <si>
    <t>葡萄酒; 米酒; 烧酒; 黄酒; 老酒（中国蒸馏烈酒）; 烈酒; 高粱酒; 果酒; 白干酒（中国白酒）; 白酒 查看详细信息</t>
  </si>
  <si>
    <t>堰杰</t>
  </si>
  <si>
    <t>米酒; 烧酒; 黄酒; 白酒; 老酒（中国蒸馏烈酒）; 葡萄酒; 高粱酒; 果酒; 白干酒（中国白酒）; 烈酒 查看详细信息</t>
  </si>
  <si>
    <t>湘磊</t>
  </si>
  <si>
    <t>黄酒; 葡萄酒; 鸡尾酒; 利口酒; 含水果酒精饮料; 开胃酒; 烈酒（饮料）; 烧酒; 白酒; 米酒 查看详细信息</t>
  </si>
  <si>
    <t>永康市阿斐信息技术服务部</t>
  </si>
  <si>
    <t>越才子</t>
  </si>
  <si>
    <t>米酒; 果酒; 青梅酒; 甜果酒; 白酒; 杨梅酒; 高粱酒; 老酒（中国蒸馏烈酒）; 黄酒; 苦荞酒 查看详细信息</t>
  </si>
  <si>
    <t>马明</t>
  </si>
  <si>
    <t>山狼谷</t>
  </si>
  <si>
    <t>高粱酒; 白干酒（中国白酒）; 黄酒; 食用酒精; 白酒; 果酒; 含酒精的饮料（啤酒除外）; 蒸煮提取物（利口酒和烈酒）; 烧酒; 由谷物蒸馏的白酒 查看详细信息</t>
  </si>
  <si>
    <t>北京君霖食品发展有限公司</t>
  </si>
  <si>
    <t>君历</t>
  </si>
  <si>
    <t>葡萄酒; 烈酒（饮料）; 酒精饮料原汁; 酒精饮料（啤酒除外）; 白酒; 汽酒; 黄酒; 威士忌; 蒸煮提取物（利口酒和烈酒）; 米酒 查看详细信息</t>
  </si>
  <si>
    <t>北京隆兴号方庄酒厂有限公司</t>
  </si>
  <si>
    <t>南裕烧清窖</t>
  </si>
  <si>
    <t>果酒（含酒精）; 威士忌; 朗姆酒; 烧酒; 葡萄酒; 鸡尾酒; 黄酒; 米酒; 酒精饮料（啤酒除外）; 白酒 查看详细信息</t>
  </si>
  <si>
    <t>青岛皆晟供应链有限公司</t>
  </si>
  <si>
    <t>MASTLINK</t>
  </si>
  <si>
    <t>威士忌; 白兰地; 含水果酒精饮料; 除啤酒外的酒精饮料; 白酒; 烧酒; 米酒; 葡萄酒; 果酒（含酒精）; 烈酒（饮料） 查看详细信息</t>
  </si>
  <si>
    <t>甘肃百杞元生物科技有限公司</t>
  </si>
  <si>
    <t>茨禾凡</t>
  </si>
  <si>
    <t>葡萄酒; 伏特加酒; 果酒（含酒精）; 米酒; 鸡尾酒; 威士忌; 利口酒; 青稞酒; 清酒（日本米酒）; 黄酒 查看详细信息</t>
  </si>
  <si>
    <t>贵州见龙在黔健康科技有限责任公司</t>
  </si>
  <si>
    <t>现龙在黔</t>
  </si>
  <si>
    <t>开胃酒; 米酒; 果酒; 葡萄酒; 烧酒; 青稞酒; 薄荷酒; 鸡尾酒; 白酒; 黄酒 查看详细信息</t>
  </si>
  <si>
    <t>河南汇康源科技有限公司</t>
  </si>
  <si>
    <t>仲康源</t>
  </si>
  <si>
    <t>果酒; 黄酒; 除啤酒外的酒精饮料; 葡萄酒; 蜂蜜酒; 含水果酒精饮料; 高粱酒; 甜果酒; 米酒; 白酒 查看详细信息</t>
  </si>
  <si>
    <t>西藏类乌齐博芭仓实业有限责任公司</t>
  </si>
  <si>
    <t>阿米羌</t>
  </si>
  <si>
    <t>老酒（中国蒸馏烈酒）; 白酒; 高粱酒; 米酒; 烧酒; 葡萄酒; 白葡萄酒; 青稞酒; 黄酒; 红葡萄酒 查看详细信息</t>
  </si>
  <si>
    <t>宁波力洋酒业有限公司</t>
  </si>
  <si>
    <t>力洋六必</t>
  </si>
  <si>
    <t>果酒（含酒精）; 白酒; 烧酒; 黄酒; 露酒; 葡萄酒; 白兰地; 米酒; 含水果酒精饮料; 汽酒 查看详细信息</t>
  </si>
  <si>
    <t>十堰乐之恒贸易有限公司</t>
  </si>
  <si>
    <t>百喜岛</t>
  </si>
  <si>
    <t>黄酒; 利口酒; 威士忌; 烧酒; 预先混合的酒精饮料（以啤酒为主的除外）; 果酒（含酒精）; 白酒; 烈酒（饮料）; 米酒; 葡萄酒 查看详细信息</t>
  </si>
  <si>
    <t>河南灵镜幻马文化科技有限公司</t>
  </si>
  <si>
    <t>能能小派</t>
  </si>
  <si>
    <t>酒精饮料原汁; 酒精饮料（啤酒除外）; 含水果酒精饮料; 含酒精的水果鸡尾酒饮料; 食用酒精; 含酒精水果饮料; 果酒（含酒精）; 谷物制蒸馏酒精饮料; 以葡萄酒为主的饮料; 已调味的麦芽酿制的酒精饮料（啤酒除外） 查看详细信息</t>
  </si>
  <si>
    <t>富锦市弘善农作物种植专业合作社</t>
  </si>
  <si>
    <t>弘善富供</t>
  </si>
  <si>
    <t>高粱酒; 白干酒（中国白酒）; 白酒; 烧酒; 汽酒; 酒精饮料（啤酒除外）; 老酒（中国蒸馏烈酒）; 葡萄酒; 烈酒; 果酒 查看详细信息</t>
  </si>
  <si>
    <t>广东星浩农业科技有限公司</t>
  </si>
  <si>
    <t>初见柠</t>
  </si>
  <si>
    <t>白酒; 黄酒; 汽酒; 白兰地; 果酒; 酒精饮料（啤酒除外）; 伏特加酒; 威士忌; 梅酒; 葡萄酒 查看详细信息</t>
  </si>
  <si>
    <t>扎赉特旗音德尔镇农牧业技术推广服务中心</t>
  </si>
  <si>
    <t>音德尔</t>
  </si>
  <si>
    <t>葡萄酒; 含水果酒精饮料; 米酒; 烧酒; 黄酒; 鸡尾酒; 酒精饮料（啤酒除外）; 烈酒（饮料）; 开胃酒; 白酒 查看详细信息</t>
  </si>
  <si>
    <t>深圳格瑞因新能源科技有限公司</t>
  </si>
  <si>
    <t>格瑞因</t>
  </si>
  <si>
    <t>米酒; 烧酒; 鸡尾酒; 白酒; 威士忌; 清酒（日本米酒）; 葡萄酒; 果酒（含酒精）; 含水果酒精饮料; 黄酒 查看详细信息</t>
  </si>
  <si>
    <t>宁夏和誉国际葡萄酒庄有限公司</t>
  </si>
  <si>
    <t>和誉星耀</t>
  </si>
  <si>
    <t>开胃酒; 葡萄酒; 酒精饮料（啤酒除外）; 苹果酒; 薄荷酒; 汽酒; 利口酒; 鸡尾酒; 果酒; 威士忌 查看详细信息</t>
  </si>
  <si>
    <t>惠州懒残残餐饮管理有限公司</t>
  </si>
  <si>
    <t>懒蚕蚕</t>
  </si>
  <si>
    <t>含水果酒精饮料; 果酒; 开胃酒; 白兰地; 威士忌; 葡萄酒; 白酒; 食用酒精; 除啤酒外的酒精饮料; 清酒 查看详细信息</t>
  </si>
  <si>
    <t>内蒙古师尚汇商贸有限责任公司</t>
  </si>
  <si>
    <t>问学师途</t>
  </si>
  <si>
    <t>米酒; 高粱酒; 黄酒; 含酒精水果饮料; 开胃酒; 白酒; 青稞酒; 葡萄酒; 鸡尾酒; 含水果酒精饮料 查看详细信息</t>
  </si>
  <si>
    <t>越佰顺</t>
  </si>
  <si>
    <t>甜果酒; 苦荞酒; 白酒; 高粱酒; 黄酒; 米酒; 青梅酒; 杨梅酒; 果酒; 老酒（中国蒸馏烈酒） 查看详细信息</t>
  </si>
  <si>
    <t>福建省味洲餐饮管理有限公司</t>
  </si>
  <si>
    <t>味洲优品</t>
  </si>
  <si>
    <t>米酒; 白兰地; 酒精饮料（啤酒除外）; 开胃酒; 黄酒; 葡萄酒; 白酒; 鸡尾酒; 果酒（含酒精）; 烈酒（饮料） 查看详细信息</t>
  </si>
  <si>
    <t>河南飞波广智能科技有限公司</t>
  </si>
  <si>
    <t>京猫侠</t>
  </si>
  <si>
    <t>开胃酒; 蜂蜜酒; 果酒（含酒精）; 黄酒; 米酒; 烧酒; 白酒; 含酒精的水果鸡尾酒饮料; 蒸馏饮料; 葡萄酒 查看详细信息</t>
  </si>
  <si>
    <t>义乌市浩初服饰商行</t>
  </si>
  <si>
    <t>水仙悦色</t>
  </si>
  <si>
    <t>葡萄酒; 酒精饮料（啤酒除外）; 鸡尾酒; 威士忌; 白兰地; 黄酒; 烧酒; 清酒（日本米酒）; 白酒; 果酒（含酒精） 查看详细信息</t>
  </si>
  <si>
    <t>和誉东方尊</t>
  </si>
  <si>
    <t>葡萄酒; 鸡尾酒; 威士忌; 薄荷酒; 汽酒; 果酒; 开胃酒; 利口酒; 苹果酒; 酒精饮料（啤酒除外） 查看详细信息</t>
  </si>
  <si>
    <t>王景华</t>
  </si>
  <si>
    <t>法莱斯动力</t>
  </si>
  <si>
    <t>伏特加酒; 威士忌; 白兰地; 利口酒; 预先混合的酒精饮料（以啤酒为主的除外）; 鸡尾酒; 白酒; 含水果酒精饮料; 朗姆酒; 果酒（含酒精） 查看详细信息</t>
  </si>
  <si>
    <t>张素蓉</t>
  </si>
  <si>
    <t>老窑翁</t>
  </si>
  <si>
    <t>酒精饮料（啤酒除外）; 开胃酒; 葡萄酒; 烈酒; 威士忌; 白酒; 黄酒; 鸡尾酒; 果酒（含酒精）; 清酒（日本米酒） 查看详细信息</t>
  </si>
  <si>
    <t>和誉星河</t>
  </si>
  <si>
    <t>果酒; 开胃酒; 酒精饮料（啤酒除外）; 葡萄酒; 薄荷酒; 威士忌; 利口酒; 苹果酒; 鸡尾酒; 汽酒 查看详细信息</t>
  </si>
  <si>
    <t>北京软萌科技有限公司</t>
  </si>
  <si>
    <t>TIFA</t>
  </si>
  <si>
    <t>鸡尾酒; 葡萄酒; 果酒（含酒精）; 含水果酒精饮料; 以葡萄酒为主的饮料; 白酒; 蒸馏饮料; 伏特加酒; 含酒精的饮料（啤酒除外）; 谷物制蒸馏酒精饮料 查看详细信息</t>
  </si>
  <si>
    <t>田丽艳</t>
  </si>
  <si>
    <t>大辽康池</t>
  </si>
  <si>
    <t>烈酒（饮料）; 青梅酒; 果酒（含酒精）; 鸡尾酒; 酒精饮料（啤酒除外）; 白兰地; 米酒; 烧酒; 白酒; 葡萄酒 查看详细信息</t>
  </si>
  <si>
    <t>和誉探索者</t>
  </si>
  <si>
    <t>苹果酒; 开胃酒; 鸡尾酒; 威士忌; 葡萄酒; 汽酒; 酒精饮料（啤酒除外）; 薄荷酒; 果酒; 利口酒 查看详细信息</t>
  </si>
  <si>
    <t>捷成华视网聚（常州）文化传媒有限公司</t>
  </si>
  <si>
    <t>华视网聚</t>
  </si>
  <si>
    <t>葡萄酒; 烈酒（饮料）; 米酒; 果酒（含酒精）; 青稞酒; 以葡萄酒为主的饮料; 谷物制蒸馏酒精饮料; 烧酒; 黄酒; 白酒 查看详细信息</t>
  </si>
  <si>
    <t>烈酒（饮料）; 白酒; 白兰地; 米酒; 酒精饮料（啤酒除外）; 葡萄酒; 果酒（含酒精）; 黄酒; 鸡尾酒; 开胃酒 查看详细信息</t>
  </si>
  <si>
    <t>李家腾</t>
  </si>
  <si>
    <t>九五樽上</t>
  </si>
  <si>
    <t>威士忌; 酒精饮料（啤酒除外）; 开胃酒; 烈酒; 果酒（含酒精）; 鸡尾酒; 黄酒; 白酒; 葡萄酒; 清酒（日本米酒） 查看详细信息</t>
  </si>
  <si>
    <t>刘芷倩</t>
  </si>
  <si>
    <t>觥祝</t>
  </si>
  <si>
    <t>开胃酒; 烈酒; 鸡尾酒; 黄酒; 葡萄酒; 果酒（含酒精）; 白酒; 威士忌; 酒精饮料（啤酒除外）; 清酒（日本米酒） 查看详细信息</t>
  </si>
  <si>
    <t>师石产教数据服务（江苏）有限公司</t>
  </si>
  <si>
    <t>形上百器</t>
  </si>
  <si>
    <t>白兰地; 白酒; 烧酒; 鸡尾酒; 梅酒; 红葡萄酒; 酒精饮料（啤酒除外）; 黄酒; 米酒; 威士忌 查看详细信息</t>
  </si>
  <si>
    <t>深圳市希狐科技有限公司</t>
  </si>
  <si>
    <t>雅斐迪</t>
  </si>
  <si>
    <t>朗姆酒; 葡萄酒; 烈酒（饮料）; 汽酒; 酒精饮料原汁; 青稞酒; 蒸馏饮料; 伏特加酒; 白酒; 果酒（含酒精） 查看详细信息</t>
  </si>
  <si>
    <t>武汉康宁美生物科技有限公司</t>
  </si>
  <si>
    <t>伶纯美玺</t>
  </si>
  <si>
    <t>餐后酒（利口酒和烈酒）; 葡萄酒; 烧酒; 蒸馏饮料; 米酒; 含水果酒精饮料; 伏特加酒; 果酒（含酒精）; 鸡尾酒; 白兰地 查看详细信息</t>
  </si>
  <si>
    <t>战门关</t>
  </si>
  <si>
    <t>黄酒; 白酒; 威士忌; 酒精饮料（啤酒除外）; 果酒（含酒精）; 开胃酒; 清酒（日本米酒）; 烈酒; 葡萄酒; 鸡尾酒 查看详细信息</t>
  </si>
  <si>
    <t>吉林省华欣数字科技股份有限公司</t>
  </si>
  <si>
    <t>欣万商</t>
  </si>
  <si>
    <t>酒精饮料浓缩汁; 米酒; 朗姆酒; 蒸馏饮料; 烈酒（饮料）; 含水果酒精饮料; 葡萄酒; 白酒; 开胃酒; 果酒（含酒精） 查看详细信息</t>
  </si>
  <si>
    <t>张洁</t>
  </si>
  <si>
    <t>炳礼</t>
  </si>
  <si>
    <t>果酒（含酒精）; 清酒（日本米酒）; 米酒; 谷物制蒸馏酒精饮料; 酒精饮料（啤酒除外）; 蒸馏饮料; 含水果酒精饮料; 葡萄酒; 威士忌; 黄酒 查看详细信息</t>
  </si>
  <si>
    <t>孙树山</t>
  </si>
  <si>
    <t>聊人醉</t>
  </si>
  <si>
    <t>酒精饮料（啤酒除外）; 含酒精的饮料（啤酒除外）; 清酒（日本米酒）; 葡萄酒; 白兰地; 白酒; 果酒（含酒精）; 威士忌; 含酒精水果饮料; 蒸馏饮料 查看详细信息</t>
  </si>
  <si>
    <t>亚汇丽</t>
  </si>
  <si>
    <t>果酒（含酒精）; 蒸馏饮料; 酒精饮料（啤酒除外）; 白酒; 威士忌; 葡萄酒; 含酒精的饮料（啤酒除外）; 含酒精水果饮料; 白兰地; 清酒（日本米酒） 查看详细信息</t>
  </si>
  <si>
    <t>郭登科</t>
  </si>
  <si>
    <t>雁北狼</t>
  </si>
  <si>
    <t>酒精饮料原汁; 烧酒; 葡萄酒; 果酒（含酒精）; 白酒; 含水果酒精饮料; 威士忌; 黄酒; 食用酒精; 烈酒（饮料） 查看详细信息</t>
  </si>
  <si>
    <t>阜南县焦阳酒业酿造有限公司</t>
  </si>
  <si>
    <t>焦荷</t>
  </si>
  <si>
    <t>葡萄酒; 酒精饮料（啤酒除外）; 蒸馏饮料; 白酒; 黄酒; 烈酒; 开胃酒; 米酒; 食用酒精; 果酒（含酒精） 查看详细信息</t>
  </si>
  <si>
    <t>余文利</t>
  </si>
  <si>
    <t>严选之佳</t>
  </si>
  <si>
    <t>白酒; 开胃酒; 果酒; 葡萄酒; 汽酒; 清酒; 甜酒; 米酒; 黄酒; 食用酒精 查看详细信息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</si>
</sst>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177" fontId="0" fillId="2" borderId="1" xfId="0" applyNumberFormat="1" applyFill="1" applyBorder="1" applyAlignment="1">
      <alignment horizontal="center" vertical="top"/>
    </xf>
    <xf numFmtId="176" fontId="0" fillId="2" borderId="1" xfId="0" applyNumberForma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/>
    </xf>
    <xf numFmtId="177" fontId="0" fillId="0" borderId="1" xfId="0" applyNumberFormat="1" applyBorder="1" applyAlignment="1">
      <alignment vertical="top"/>
    </xf>
    <xf numFmtId="176" fontId="0" fillId="0" borderId="1" xfId="0" applyNumberFormat="1" applyBorder="1" applyAlignment="1">
      <alignment vertical="top"/>
    </xf>
    <xf numFmtId="177" fontId="2" fillId="0" borderId="1" xfId="1" applyNumberFormat="1" applyFill="1" applyBorder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177" fontId="0" fillId="0" borderId="0" xfId="0" applyNumberFormat="1" applyAlignment="1">
      <alignment vertical="top"/>
    </xf>
    <xf numFmtId="176" fontId="0" fillId="0" borderId="0" xfId="0" applyNumberFormat="1" applyAlignment="1">
      <alignment vertical="top"/>
    </xf>
    <xf numFmtId="14" fontId="0" fillId="0" borderId="1" xfId="0" applyNumberForma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3DAA-7768-4AC2-92D1-ED7F06F094E8}">
  <dimension ref="A1:I1924"/>
  <sheetViews>
    <sheetView tabSelected="1" workbookViewId="0"/>
  </sheetViews>
  <sheetFormatPr defaultRowHeight="13.5" x14ac:dyDescent="0.15"/>
  <cols>
    <col min="1" max="1" width="9" style="10"/>
    <col min="2" max="2" width="9" style="11"/>
    <col min="3" max="3" width="9" style="12"/>
    <col min="4" max="4" width="11.625" style="13" customWidth="1"/>
    <col min="5" max="5" width="10.625" style="12" bestFit="1" customWidth="1"/>
    <col min="6" max="6" width="28.375" style="11" customWidth="1"/>
    <col min="7" max="7" width="31.375" style="11" customWidth="1"/>
    <col min="8" max="8" width="100.625" style="11" customWidth="1"/>
    <col min="9" max="9" width="11.625" style="13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5">
        <v>1</v>
      </c>
      <c r="B2" s="6" t="s">
        <v>9</v>
      </c>
      <c r="C2" s="7">
        <v>1884</v>
      </c>
      <c r="D2" s="8">
        <v>45402</v>
      </c>
      <c r="E2" s="9" t="str">
        <f>+HYPERLINK("http://trademark.i-assist.jp/data/china/image_1884th/56968973.pdf", "56968973")</f>
        <v>56968973</v>
      </c>
      <c r="F2" s="6" t="s">
        <v>38</v>
      </c>
      <c r="G2" s="6" t="s">
        <v>37</v>
      </c>
      <c r="H2" s="8" t="s">
        <v>39</v>
      </c>
      <c r="I2" s="14">
        <v>44364</v>
      </c>
    </row>
    <row r="3" spans="1:9" x14ac:dyDescent="0.15">
      <c r="A3" s="5">
        <v>2</v>
      </c>
      <c r="B3" s="6" t="s">
        <v>9</v>
      </c>
      <c r="C3" s="7">
        <v>1884</v>
      </c>
      <c r="D3" s="8">
        <v>45402</v>
      </c>
      <c r="E3" s="9" t="str">
        <f>+HYPERLINK("http://trademark.i-assist.jp/data/china/image_1884th/56983230.pdf", "56983230")</f>
        <v>56983230</v>
      </c>
      <c r="F3" s="6" t="s">
        <v>40</v>
      </c>
      <c r="G3" s="6" t="s">
        <v>37</v>
      </c>
      <c r="H3" s="8" t="s">
        <v>41</v>
      </c>
      <c r="I3" s="14">
        <v>44364</v>
      </c>
    </row>
    <row r="4" spans="1:9" x14ac:dyDescent="0.15">
      <c r="A4" s="5">
        <v>3</v>
      </c>
      <c r="B4" s="6" t="s">
        <v>9</v>
      </c>
      <c r="C4" s="7">
        <v>1884</v>
      </c>
      <c r="D4" s="8">
        <v>45402</v>
      </c>
      <c r="E4" s="9" t="str">
        <f>+HYPERLINK("http://trademark.i-assist.jp/data/china/image_1884th/59241588.pdf", "59241588")</f>
        <v>59241588</v>
      </c>
      <c r="F4" s="6" t="s">
        <v>42</v>
      </c>
      <c r="G4" s="6" t="s">
        <v>10</v>
      </c>
      <c r="H4" s="8" t="s">
        <v>43</v>
      </c>
      <c r="I4" s="14">
        <v>44454</v>
      </c>
    </row>
    <row r="5" spans="1:9" x14ac:dyDescent="0.15">
      <c r="A5" s="5">
        <v>4</v>
      </c>
      <c r="B5" s="6" t="s">
        <v>9</v>
      </c>
      <c r="C5" s="7">
        <v>1884</v>
      </c>
      <c r="D5" s="8">
        <v>45402</v>
      </c>
      <c r="E5" s="9" t="str">
        <f>+HYPERLINK("http://trademark.i-assist.jp/data/china/image_1884th/64429920.pdf", "64429920")</f>
        <v>64429920</v>
      </c>
      <c r="F5" s="6" t="s">
        <v>45</v>
      </c>
      <c r="G5" s="6" t="s">
        <v>44</v>
      </c>
      <c r="H5" s="8" t="s">
        <v>46</v>
      </c>
      <c r="I5" s="14">
        <v>44687</v>
      </c>
    </row>
    <row r="6" spans="1:9" x14ac:dyDescent="0.15">
      <c r="A6" s="5">
        <v>5</v>
      </c>
      <c r="B6" s="6" t="s">
        <v>9</v>
      </c>
      <c r="C6" s="7">
        <v>1884</v>
      </c>
      <c r="D6" s="8">
        <v>45402</v>
      </c>
      <c r="E6" s="9" t="str">
        <f>+HYPERLINK("http://trademark.i-assist.jp/data/china/image_1884th/65266704.pdf", "65266704")</f>
        <v>65266704</v>
      </c>
      <c r="F6" s="6" t="s">
        <v>48</v>
      </c>
      <c r="G6" s="6" t="s">
        <v>47</v>
      </c>
      <c r="H6" s="8" t="s">
        <v>49</v>
      </c>
      <c r="I6" s="14">
        <v>44725</v>
      </c>
    </row>
    <row r="7" spans="1:9" x14ac:dyDescent="0.15">
      <c r="A7" s="5">
        <v>6</v>
      </c>
      <c r="B7" s="6" t="s">
        <v>9</v>
      </c>
      <c r="C7" s="7">
        <v>1884</v>
      </c>
      <c r="D7" s="8">
        <v>45402</v>
      </c>
      <c r="E7" s="9" t="str">
        <f>+HYPERLINK("http://trademark.i-assist.jp/data/china/image_1884th/66129672.pdf", "66129672")</f>
        <v>66129672</v>
      </c>
      <c r="F7" s="6" t="s">
        <v>51</v>
      </c>
      <c r="G7" s="6" t="s">
        <v>50</v>
      </c>
      <c r="H7" s="8" t="s">
        <v>52</v>
      </c>
      <c r="I7" s="14">
        <v>44764</v>
      </c>
    </row>
    <row r="8" spans="1:9" x14ac:dyDescent="0.15">
      <c r="A8" s="5">
        <v>7</v>
      </c>
      <c r="B8" s="6" t="s">
        <v>9</v>
      </c>
      <c r="C8" s="7">
        <v>1884</v>
      </c>
      <c r="D8" s="8">
        <v>45402</v>
      </c>
      <c r="E8" s="9" t="str">
        <f>+HYPERLINK("http://trademark.i-assist.jp/data/china/image_1884th/68986499.pdf", "68986499")</f>
        <v>68986499</v>
      </c>
      <c r="F8" s="6" t="s">
        <v>54</v>
      </c>
      <c r="G8" s="6" t="s">
        <v>53</v>
      </c>
      <c r="H8" s="8" t="s">
        <v>55</v>
      </c>
      <c r="I8" s="14">
        <v>44919</v>
      </c>
    </row>
    <row r="9" spans="1:9" x14ac:dyDescent="0.15">
      <c r="A9" s="5">
        <v>8</v>
      </c>
      <c r="B9" s="6" t="s">
        <v>9</v>
      </c>
      <c r="C9" s="7">
        <v>1884</v>
      </c>
      <c r="D9" s="8">
        <v>45402</v>
      </c>
      <c r="E9" s="9" t="str">
        <f>+HYPERLINK("http://trademark.i-assist.jp/data/china/image_1884th/69594104.pdf", "69594104")</f>
        <v>69594104</v>
      </c>
      <c r="F9" s="6" t="s">
        <v>57</v>
      </c>
      <c r="G9" s="6" t="s">
        <v>56</v>
      </c>
      <c r="H9" s="8" t="s">
        <v>58</v>
      </c>
      <c r="I9" s="14">
        <v>44972</v>
      </c>
    </row>
    <row r="10" spans="1:9" x14ac:dyDescent="0.15">
      <c r="A10" s="5">
        <v>9</v>
      </c>
      <c r="B10" s="6" t="s">
        <v>9</v>
      </c>
      <c r="C10" s="7">
        <v>1884</v>
      </c>
      <c r="D10" s="8">
        <v>45402</v>
      </c>
      <c r="E10" s="9" t="str">
        <f>+HYPERLINK("http://trademark.i-assist.jp/data/china/image_1884th/69773276.pdf", "69773276")</f>
        <v>69773276</v>
      </c>
      <c r="F10" s="6" t="s">
        <v>60</v>
      </c>
      <c r="G10" s="6" t="s">
        <v>59</v>
      </c>
      <c r="H10" s="8" t="s">
        <v>61</v>
      </c>
      <c r="I10" s="14">
        <v>44981</v>
      </c>
    </row>
    <row r="11" spans="1:9" x14ac:dyDescent="0.15">
      <c r="A11" s="5">
        <v>10</v>
      </c>
      <c r="B11" s="6" t="s">
        <v>9</v>
      </c>
      <c r="C11" s="7">
        <v>1884</v>
      </c>
      <c r="D11" s="8">
        <v>45402</v>
      </c>
      <c r="E11" s="9" t="str">
        <f>+HYPERLINK("http://trademark.i-assist.jp/data/china/image_1884th/69913622.pdf", "69913622")</f>
        <v>69913622</v>
      </c>
      <c r="F11" s="6" t="s">
        <v>63</v>
      </c>
      <c r="G11" s="6" t="s">
        <v>62</v>
      </c>
      <c r="H11" s="8" t="s">
        <v>64</v>
      </c>
      <c r="I11" s="14">
        <v>44987</v>
      </c>
    </row>
    <row r="12" spans="1:9" x14ac:dyDescent="0.15">
      <c r="A12" s="5">
        <v>11</v>
      </c>
      <c r="B12" s="6" t="s">
        <v>9</v>
      </c>
      <c r="C12" s="7">
        <v>1884</v>
      </c>
      <c r="D12" s="8">
        <v>45402</v>
      </c>
      <c r="E12" s="9" t="str">
        <f>+HYPERLINK("http://trademark.i-assist.jp/data/china/image_1884th/70157750.pdf", "70157750")</f>
        <v>70157750</v>
      </c>
      <c r="F12" s="6" t="s">
        <v>66</v>
      </c>
      <c r="G12" s="6" t="s">
        <v>65</v>
      </c>
      <c r="H12" s="8" t="s">
        <v>67</v>
      </c>
      <c r="I12" s="14">
        <v>44998</v>
      </c>
    </row>
    <row r="13" spans="1:9" x14ac:dyDescent="0.15">
      <c r="A13" s="5">
        <v>12</v>
      </c>
      <c r="B13" s="6" t="s">
        <v>9</v>
      </c>
      <c r="C13" s="7">
        <v>1884</v>
      </c>
      <c r="D13" s="8">
        <v>45402</v>
      </c>
      <c r="E13" s="9" t="str">
        <f>+HYPERLINK("http://trademark.i-assist.jp/data/china/image_1884th/70217950.pdf", "70217950")</f>
        <v>70217950</v>
      </c>
      <c r="F13" s="6" t="s">
        <v>69</v>
      </c>
      <c r="G13" s="6" t="s">
        <v>68</v>
      </c>
      <c r="H13" s="8" t="s">
        <v>70</v>
      </c>
      <c r="I13" s="14">
        <v>45000</v>
      </c>
    </row>
    <row r="14" spans="1:9" x14ac:dyDescent="0.15">
      <c r="A14" s="5">
        <v>13</v>
      </c>
      <c r="B14" s="6" t="s">
        <v>9</v>
      </c>
      <c r="C14" s="7">
        <v>1884</v>
      </c>
      <c r="D14" s="8">
        <v>45402</v>
      </c>
      <c r="E14" s="9" t="str">
        <f>+HYPERLINK("http://trademark.i-assist.jp/data/china/image_1884th/71230451.pdf", "71230451")</f>
        <v>71230451</v>
      </c>
      <c r="F14" s="6" t="s">
        <v>72</v>
      </c>
      <c r="G14" s="6" t="s">
        <v>71</v>
      </c>
      <c r="H14" s="8" t="s">
        <v>73</v>
      </c>
      <c r="I14" s="14">
        <v>45043</v>
      </c>
    </row>
    <row r="15" spans="1:9" x14ac:dyDescent="0.15">
      <c r="A15" s="5">
        <v>14</v>
      </c>
      <c r="B15" s="6" t="s">
        <v>9</v>
      </c>
      <c r="C15" s="7">
        <v>1884</v>
      </c>
      <c r="D15" s="8">
        <v>45402</v>
      </c>
      <c r="E15" s="9" t="str">
        <f>+HYPERLINK("http://trademark.i-assist.jp/data/china/image_1884th/71357577.pdf", "71357577")</f>
        <v>71357577</v>
      </c>
      <c r="F15" s="6" t="s">
        <v>75</v>
      </c>
      <c r="G15" s="6" t="s">
        <v>74</v>
      </c>
      <c r="H15" s="8" t="s">
        <v>76</v>
      </c>
      <c r="I15" s="14">
        <v>45052</v>
      </c>
    </row>
    <row r="16" spans="1:9" x14ac:dyDescent="0.15">
      <c r="A16" s="5">
        <v>15</v>
      </c>
      <c r="B16" s="6" t="s">
        <v>9</v>
      </c>
      <c r="C16" s="7">
        <v>1884</v>
      </c>
      <c r="D16" s="8">
        <v>45402</v>
      </c>
      <c r="E16" s="9" t="str">
        <f>+HYPERLINK("http://trademark.i-assist.jp/data/china/image_1884th/71764043.pdf", "71764043")</f>
        <v>71764043</v>
      </c>
      <c r="F16" s="6" t="s">
        <v>78</v>
      </c>
      <c r="G16" s="6" t="s">
        <v>77</v>
      </c>
      <c r="H16" s="8" t="s">
        <v>79</v>
      </c>
      <c r="I16" s="14">
        <v>45070</v>
      </c>
    </row>
    <row r="17" spans="1:9" x14ac:dyDescent="0.15">
      <c r="A17" s="5">
        <v>16</v>
      </c>
      <c r="B17" s="6" t="s">
        <v>9</v>
      </c>
      <c r="C17" s="7">
        <v>1884</v>
      </c>
      <c r="D17" s="8">
        <v>45402</v>
      </c>
      <c r="E17" s="9" t="str">
        <f>+HYPERLINK("http://trademark.i-assist.jp/data/china/image_1884th/72052858.pdf", "72052858")</f>
        <v>72052858</v>
      </c>
      <c r="F17" s="6" t="s">
        <v>81</v>
      </c>
      <c r="G17" s="6" t="s">
        <v>80</v>
      </c>
      <c r="H17" s="8" t="s">
        <v>82</v>
      </c>
      <c r="I17" s="14">
        <v>45083</v>
      </c>
    </row>
    <row r="18" spans="1:9" x14ac:dyDescent="0.15">
      <c r="A18" s="5">
        <v>17</v>
      </c>
      <c r="B18" s="6" t="s">
        <v>9</v>
      </c>
      <c r="C18" s="7">
        <v>1884</v>
      </c>
      <c r="D18" s="8">
        <v>45402</v>
      </c>
      <c r="E18" s="9" t="str">
        <f>+HYPERLINK("http://trademark.i-assist.jp/data/china/image_1884th/72264408.pdf", "72264408")</f>
        <v>72264408</v>
      </c>
      <c r="F18" s="6" t="s">
        <v>84</v>
      </c>
      <c r="G18" s="6" t="s">
        <v>83</v>
      </c>
      <c r="H18" s="8" t="s">
        <v>85</v>
      </c>
      <c r="I18" s="14">
        <v>45093</v>
      </c>
    </row>
    <row r="19" spans="1:9" x14ac:dyDescent="0.15">
      <c r="A19" s="5">
        <v>18</v>
      </c>
      <c r="B19" s="6" t="s">
        <v>9</v>
      </c>
      <c r="C19" s="7">
        <v>1884</v>
      </c>
      <c r="D19" s="8">
        <v>45402</v>
      </c>
      <c r="E19" s="9" t="str">
        <f>+HYPERLINK("http://trademark.i-assist.jp/data/china/image_1884th/73166005.pdf", "73166005")</f>
        <v>73166005</v>
      </c>
      <c r="F19" s="6" t="s">
        <v>87</v>
      </c>
      <c r="G19" s="6" t="s">
        <v>86</v>
      </c>
      <c r="H19" s="8" t="s">
        <v>88</v>
      </c>
      <c r="I19" s="14">
        <v>45138</v>
      </c>
    </row>
    <row r="20" spans="1:9" x14ac:dyDescent="0.15">
      <c r="A20" s="5">
        <v>19</v>
      </c>
      <c r="B20" s="6" t="s">
        <v>9</v>
      </c>
      <c r="C20" s="7">
        <v>1884</v>
      </c>
      <c r="D20" s="8">
        <v>45402</v>
      </c>
      <c r="E20" s="9" t="str">
        <f>+HYPERLINK("http://trademark.i-assist.jp/data/china/image_1884th/73220166.pdf", "73220166")</f>
        <v>73220166</v>
      </c>
      <c r="F20" s="6" t="s">
        <v>90</v>
      </c>
      <c r="G20" s="6" t="s">
        <v>89</v>
      </c>
      <c r="H20" s="8" t="s">
        <v>91</v>
      </c>
      <c r="I20" s="14">
        <v>45140</v>
      </c>
    </row>
    <row r="21" spans="1:9" x14ac:dyDescent="0.15">
      <c r="A21" s="5">
        <v>20</v>
      </c>
      <c r="B21" s="6" t="s">
        <v>9</v>
      </c>
      <c r="C21" s="7">
        <v>1884</v>
      </c>
      <c r="D21" s="8">
        <v>45402</v>
      </c>
      <c r="E21" s="9" t="str">
        <f>+HYPERLINK("http://trademark.i-assist.jp/data/china/image_1884th/73226514.pdf", "73226514")</f>
        <v>73226514</v>
      </c>
      <c r="F21" s="6" t="s">
        <v>92</v>
      </c>
      <c r="G21" s="6" t="s">
        <v>89</v>
      </c>
      <c r="H21" s="8" t="s">
        <v>93</v>
      </c>
      <c r="I21" s="14">
        <v>45140</v>
      </c>
    </row>
    <row r="22" spans="1:9" x14ac:dyDescent="0.15">
      <c r="A22" s="5">
        <v>21</v>
      </c>
      <c r="B22" s="6" t="s">
        <v>9</v>
      </c>
      <c r="C22" s="7">
        <v>1884</v>
      </c>
      <c r="D22" s="8">
        <v>45402</v>
      </c>
      <c r="E22" s="9" t="str">
        <f>+HYPERLINK("http://trademark.i-assist.jp/data/china/image_1884th/73239407.pdf", "73239407")</f>
        <v>73239407</v>
      </c>
      <c r="F22" s="6" t="s">
        <v>94</v>
      </c>
      <c r="G22" s="6" t="s">
        <v>89</v>
      </c>
      <c r="H22" s="8" t="s">
        <v>95</v>
      </c>
      <c r="I22" s="14">
        <v>45140</v>
      </c>
    </row>
    <row r="23" spans="1:9" x14ac:dyDescent="0.15">
      <c r="A23" s="5">
        <v>22</v>
      </c>
      <c r="B23" s="6" t="s">
        <v>9</v>
      </c>
      <c r="C23" s="7">
        <v>1884</v>
      </c>
      <c r="D23" s="8">
        <v>45402</v>
      </c>
      <c r="E23" s="9" t="str">
        <f>+HYPERLINK("http://trademark.i-assist.jp/data/china/image_1884th/73256671.pdf", "73256671")</f>
        <v>73256671</v>
      </c>
      <c r="F23" s="6" t="s">
        <v>97</v>
      </c>
      <c r="G23" s="6" t="s">
        <v>96</v>
      </c>
      <c r="H23" s="8" t="s">
        <v>98</v>
      </c>
      <c r="I23" s="14">
        <v>45141</v>
      </c>
    </row>
    <row r="24" spans="1:9" x14ac:dyDescent="0.15">
      <c r="A24" s="5">
        <v>23</v>
      </c>
      <c r="B24" s="6" t="s">
        <v>9</v>
      </c>
      <c r="C24" s="7">
        <v>1884</v>
      </c>
      <c r="D24" s="8">
        <v>45402</v>
      </c>
      <c r="E24" s="9" t="str">
        <f>+HYPERLINK("http://trademark.i-assist.jp/data/china/image_1884th/73282126.pdf", "73282126")</f>
        <v>73282126</v>
      </c>
      <c r="F24" s="6" t="s">
        <v>100</v>
      </c>
      <c r="G24" s="6" t="s">
        <v>99</v>
      </c>
      <c r="H24" s="8" t="s">
        <v>101</v>
      </c>
      <c r="I24" s="14">
        <v>45142</v>
      </c>
    </row>
    <row r="25" spans="1:9" x14ac:dyDescent="0.15">
      <c r="A25" s="5">
        <v>24</v>
      </c>
      <c r="B25" s="6" t="s">
        <v>9</v>
      </c>
      <c r="C25" s="7">
        <v>1884</v>
      </c>
      <c r="D25" s="8">
        <v>45402</v>
      </c>
      <c r="E25" s="9" t="str">
        <f>+HYPERLINK("http://trademark.i-assist.jp/data/china/image_1884th/73414930.pdf", "73414930")</f>
        <v>73414930</v>
      </c>
      <c r="F25" s="6" t="s">
        <v>103</v>
      </c>
      <c r="G25" s="6" t="s">
        <v>102</v>
      </c>
      <c r="H25" s="8" t="s">
        <v>104</v>
      </c>
      <c r="I25" s="14">
        <v>45149</v>
      </c>
    </row>
    <row r="26" spans="1:9" x14ac:dyDescent="0.15">
      <c r="A26" s="5">
        <v>25</v>
      </c>
      <c r="B26" s="6" t="s">
        <v>9</v>
      </c>
      <c r="C26" s="7">
        <v>1884</v>
      </c>
      <c r="D26" s="8">
        <v>45402</v>
      </c>
      <c r="E26" s="9" t="str">
        <f>+HYPERLINK("http://trademark.i-assist.jp/data/china/image_1884th/73418310.pdf", "73418310")</f>
        <v>73418310</v>
      </c>
      <c r="F26" s="6" t="s">
        <v>103</v>
      </c>
      <c r="G26" s="6" t="s">
        <v>102</v>
      </c>
      <c r="H26" s="8" t="s">
        <v>105</v>
      </c>
      <c r="I26" s="14">
        <v>45149</v>
      </c>
    </row>
    <row r="27" spans="1:9" x14ac:dyDescent="0.15">
      <c r="A27" s="5">
        <v>26</v>
      </c>
      <c r="B27" s="6" t="s">
        <v>9</v>
      </c>
      <c r="C27" s="7">
        <v>1884</v>
      </c>
      <c r="D27" s="8">
        <v>45402</v>
      </c>
      <c r="E27" s="9" t="str">
        <f>+HYPERLINK("http://trademark.i-assist.jp/data/china/image_1884th/73701129.pdf", "73701129")</f>
        <v>73701129</v>
      </c>
      <c r="F27" s="6" t="s">
        <v>107</v>
      </c>
      <c r="G27" s="6" t="s">
        <v>106</v>
      </c>
      <c r="H27" s="8" t="s">
        <v>108</v>
      </c>
      <c r="I27" s="14">
        <v>45163</v>
      </c>
    </row>
    <row r="28" spans="1:9" x14ac:dyDescent="0.15">
      <c r="A28" s="5">
        <v>27</v>
      </c>
      <c r="B28" s="6" t="s">
        <v>9</v>
      </c>
      <c r="C28" s="7">
        <v>1884</v>
      </c>
      <c r="D28" s="8">
        <v>45402</v>
      </c>
      <c r="E28" s="9" t="str">
        <f>+HYPERLINK("http://trademark.i-assist.jp/data/china/image_1884th/73877765.pdf", "73877765")</f>
        <v>73877765</v>
      </c>
      <c r="F28" s="6" t="s">
        <v>110</v>
      </c>
      <c r="G28" s="6" t="s">
        <v>109</v>
      </c>
      <c r="H28" s="8" t="s">
        <v>111</v>
      </c>
      <c r="I28" s="14">
        <v>45173</v>
      </c>
    </row>
    <row r="29" spans="1:9" x14ac:dyDescent="0.15">
      <c r="A29" s="5">
        <v>28</v>
      </c>
      <c r="B29" s="6" t="s">
        <v>9</v>
      </c>
      <c r="C29" s="7">
        <v>1884</v>
      </c>
      <c r="D29" s="8">
        <v>45402</v>
      </c>
      <c r="E29" s="9" t="str">
        <f>+HYPERLINK("http://trademark.i-assist.jp/data/china/image_1884th/74022411.pdf", "74022411")</f>
        <v>74022411</v>
      </c>
      <c r="F29" s="6" t="s">
        <v>113</v>
      </c>
      <c r="G29" s="6" t="s">
        <v>112</v>
      </c>
      <c r="H29" s="8" t="s">
        <v>114</v>
      </c>
      <c r="I29" s="14">
        <v>45181</v>
      </c>
    </row>
    <row r="30" spans="1:9" x14ac:dyDescent="0.15">
      <c r="A30" s="5">
        <v>29</v>
      </c>
      <c r="B30" s="6" t="s">
        <v>9</v>
      </c>
      <c r="C30" s="7">
        <v>1884</v>
      </c>
      <c r="D30" s="8">
        <v>45402</v>
      </c>
      <c r="E30" s="9" t="str">
        <f>+HYPERLINK("http://trademark.i-assist.jp/data/china/image_1884th/74190788.pdf", "74190788")</f>
        <v>74190788</v>
      </c>
      <c r="F30" s="6" t="s">
        <v>116</v>
      </c>
      <c r="G30" s="6" t="s">
        <v>115</v>
      </c>
      <c r="H30" s="8" t="s">
        <v>117</v>
      </c>
      <c r="I30" s="14">
        <v>45189</v>
      </c>
    </row>
    <row r="31" spans="1:9" x14ac:dyDescent="0.15">
      <c r="A31" s="5">
        <v>30</v>
      </c>
      <c r="B31" s="6" t="s">
        <v>9</v>
      </c>
      <c r="C31" s="7">
        <v>1884</v>
      </c>
      <c r="D31" s="8">
        <v>45402</v>
      </c>
      <c r="E31" s="9" t="str">
        <f>+HYPERLINK("http://trademark.i-assist.jp/data/china/image_1884th/74285904.pdf", "74285904")</f>
        <v>74285904</v>
      </c>
      <c r="F31" s="6" t="s">
        <v>119</v>
      </c>
      <c r="G31" s="6" t="s">
        <v>118</v>
      </c>
      <c r="H31" s="8" t="s">
        <v>120</v>
      </c>
      <c r="I31" s="14">
        <v>45194</v>
      </c>
    </row>
    <row r="32" spans="1:9" x14ac:dyDescent="0.15">
      <c r="A32" s="5">
        <v>31</v>
      </c>
      <c r="B32" s="6" t="s">
        <v>9</v>
      </c>
      <c r="C32" s="7">
        <v>1884</v>
      </c>
      <c r="D32" s="8">
        <v>45402</v>
      </c>
      <c r="E32" s="9" t="str">
        <f>+HYPERLINK("http://trademark.i-assist.jp/data/china/image_1884th/74397795.pdf", "74397795")</f>
        <v>74397795</v>
      </c>
      <c r="F32" s="6" t="s">
        <v>122</v>
      </c>
      <c r="G32" s="6" t="s">
        <v>121</v>
      </c>
      <c r="H32" s="8" t="s">
        <v>123</v>
      </c>
      <c r="I32" s="14">
        <v>45206</v>
      </c>
    </row>
    <row r="33" spans="1:9" x14ac:dyDescent="0.15">
      <c r="A33" s="5">
        <v>32</v>
      </c>
      <c r="B33" s="6" t="s">
        <v>9</v>
      </c>
      <c r="C33" s="7">
        <v>1884</v>
      </c>
      <c r="D33" s="8">
        <v>45402</v>
      </c>
      <c r="E33" s="9" t="str">
        <f>+HYPERLINK("http://trademark.i-assist.jp/data/china/image_1884th/74524055.pdf", "74524055")</f>
        <v>74524055</v>
      </c>
      <c r="F33" s="6" t="s">
        <v>125</v>
      </c>
      <c r="G33" s="6" t="s">
        <v>124</v>
      </c>
      <c r="H33" s="8" t="s">
        <v>126</v>
      </c>
      <c r="I33" s="14">
        <v>45211</v>
      </c>
    </row>
    <row r="34" spans="1:9" x14ac:dyDescent="0.15">
      <c r="A34" s="5">
        <v>33</v>
      </c>
      <c r="B34" s="6" t="s">
        <v>9</v>
      </c>
      <c r="C34" s="7">
        <v>1884</v>
      </c>
      <c r="D34" s="8">
        <v>45402</v>
      </c>
      <c r="E34" s="9" t="str">
        <f>+HYPERLINK("http://trademark.i-assist.jp/data/china/image_1884th/74576356.pdf", "74576356")</f>
        <v>74576356</v>
      </c>
      <c r="F34" s="6" t="s">
        <v>127</v>
      </c>
      <c r="G34" s="6" t="s">
        <v>124</v>
      </c>
      <c r="H34" s="8" t="s">
        <v>128</v>
      </c>
      <c r="I34" s="14">
        <v>45215</v>
      </c>
    </row>
    <row r="35" spans="1:9" x14ac:dyDescent="0.15">
      <c r="A35" s="5">
        <v>34</v>
      </c>
      <c r="B35" s="6" t="s">
        <v>9</v>
      </c>
      <c r="C35" s="7">
        <v>1884</v>
      </c>
      <c r="D35" s="8">
        <v>45402</v>
      </c>
      <c r="E35" s="9" t="str">
        <f>+HYPERLINK("http://trademark.i-assist.jp/data/china/image_1884th/74599591.pdf", "74599591")</f>
        <v>74599591</v>
      </c>
      <c r="F35" s="6" t="s">
        <v>129</v>
      </c>
      <c r="G35" s="6" t="s">
        <v>124</v>
      </c>
      <c r="H35" s="8" t="s">
        <v>130</v>
      </c>
      <c r="I35" s="14">
        <v>45215</v>
      </c>
    </row>
    <row r="36" spans="1:9" x14ac:dyDescent="0.15">
      <c r="A36" s="5">
        <v>35</v>
      </c>
      <c r="B36" s="6" t="s">
        <v>9</v>
      </c>
      <c r="C36" s="7">
        <v>1884</v>
      </c>
      <c r="D36" s="8">
        <v>45402</v>
      </c>
      <c r="E36" s="9" t="str">
        <f>+HYPERLINK("http://trademark.i-assist.jp/data/china/image_1884th/74620863.pdf", "74620863")</f>
        <v>74620863</v>
      </c>
      <c r="F36" s="6" t="s">
        <v>131</v>
      </c>
      <c r="G36" s="6" t="s">
        <v>89</v>
      </c>
      <c r="H36" s="8" t="s">
        <v>132</v>
      </c>
      <c r="I36" s="14">
        <v>45216</v>
      </c>
    </row>
    <row r="37" spans="1:9" x14ac:dyDescent="0.15">
      <c r="A37" s="5">
        <v>36</v>
      </c>
      <c r="B37" s="6" t="s">
        <v>9</v>
      </c>
      <c r="C37" s="7">
        <v>1884</v>
      </c>
      <c r="D37" s="8">
        <v>45402</v>
      </c>
      <c r="E37" s="9" t="str">
        <f>+HYPERLINK("http://trademark.i-assist.jp/data/china/image_1884th/74623882.pdf", "74623882")</f>
        <v>74623882</v>
      </c>
      <c r="F37" s="6" t="s">
        <v>133</v>
      </c>
      <c r="G37" s="6" t="s">
        <v>89</v>
      </c>
      <c r="H37" s="8" t="s">
        <v>134</v>
      </c>
      <c r="I37" s="14">
        <v>45216</v>
      </c>
    </row>
    <row r="38" spans="1:9" x14ac:dyDescent="0.15">
      <c r="A38" s="5">
        <v>37</v>
      </c>
      <c r="B38" s="6" t="s">
        <v>9</v>
      </c>
      <c r="C38" s="7">
        <v>1884</v>
      </c>
      <c r="D38" s="8">
        <v>45402</v>
      </c>
      <c r="E38" s="9" t="str">
        <f>+HYPERLINK("http://trademark.i-assist.jp/data/china/image_1884th/74656079.pdf", "74656079")</f>
        <v>74656079</v>
      </c>
      <c r="F38" s="6" t="s">
        <v>136</v>
      </c>
      <c r="G38" s="6" t="s">
        <v>135</v>
      </c>
      <c r="H38" s="8" t="s">
        <v>137</v>
      </c>
      <c r="I38" s="14">
        <v>45218</v>
      </c>
    </row>
    <row r="39" spans="1:9" x14ac:dyDescent="0.15">
      <c r="A39" s="5">
        <v>38</v>
      </c>
      <c r="B39" s="6" t="s">
        <v>9</v>
      </c>
      <c r="C39" s="7">
        <v>1884</v>
      </c>
      <c r="D39" s="8">
        <v>45402</v>
      </c>
      <c r="E39" s="9" t="str">
        <f>+HYPERLINK("http://trademark.i-assist.jp/data/china/image_1884th/74656174.pdf", "74656174")</f>
        <v>74656174</v>
      </c>
      <c r="F39" s="6" t="s">
        <v>138</v>
      </c>
      <c r="G39" s="6" t="s">
        <v>135</v>
      </c>
      <c r="H39" s="8" t="s">
        <v>139</v>
      </c>
      <c r="I39" s="14">
        <v>45218</v>
      </c>
    </row>
    <row r="40" spans="1:9" x14ac:dyDescent="0.15">
      <c r="A40" s="5">
        <v>39</v>
      </c>
      <c r="B40" s="6" t="s">
        <v>9</v>
      </c>
      <c r="C40" s="7">
        <v>1884</v>
      </c>
      <c r="D40" s="8">
        <v>45402</v>
      </c>
      <c r="E40" s="9" t="str">
        <f>+HYPERLINK("http://trademark.i-assist.jp/data/china/image_1884th/74753063.pdf", "74753063")</f>
        <v>74753063</v>
      </c>
      <c r="F40" s="6" t="s">
        <v>141</v>
      </c>
      <c r="G40" s="6" t="s">
        <v>140</v>
      </c>
      <c r="H40" s="8" t="s">
        <v>142</v>
      </c>
      <c r="I40" s="14">
        <v>45223</v>
      </c>
    </row>
    <row r="41" spans="1:9" x14ac:dyDescent="0.15">
      <c r="A41" s="5">
        <v>40</v>
      </c>
      <c r="B41" s="6" t="s">
        <v>9</v>
      </c>
      <c r="C41" s="7">
        <v>1884</v>
      </c>
      <c r="D41" s="8">
        <v>45402</v>
      </c>
      <c r="E41" s="9" t="str">
        <f>+HYPERLINK("http://trademark.i-assist.jp/data/china/image_1884th/74798228.pdf", "74798228")</f>
        <v>74798228</v>
      </c>
      <c r="F41" s="6" t="s">
        <v>144</v>
      </c>
      <c r="G41" s="6" t="s">
        <v>143</v>
      </c>
      <c r="H41" s="8" t="s">
        <v>145</v>
      </c>
      <c r="I41" s="14">
        <v>45225</v>
      </c>
    </row>
    <row r="42" spans="1:9" x14ac:dyDescent="0.15">
      <c r="A42" s="5">
        <v>41</v>
      </c>
      <c r="B42" s="6" t="s">
        <v>9</v>
      </c>
      <c r="C42" s="7">
        <v>1884</v>
      </c>
      <c r="D42" s="8">
        <v>45402</v>
      </c>
      <c r="E42" s="9" t="str">
        <f>+HYPERLINK("http://trademark.i-assist.jp/data/china/image_1884th/74851576.pdf", "74851576")</f>
        <v>74851576</v>
      </c>
      <c r="F42" s="6" t="s">
        <v>147</v>
      </c>
      <c r="G42" s="6" t="s">
        <v>146</v>
      </c>
      <c r="H42" s="8" t="s">
        <v>148</v>
      </c>
      <c r="I42" s="14">
        <v>45229</v>
      </c>
    </row>
    <row r="43" spans="1:9" x14ac:dyDescent="0.15">
      <c r="A43" s="5">
        <v>42</v>
      </c>
      <c r="B43" s="6" t="s">
        <v>9</v>
      </c>
      <c r="C43" s="7">
        <v>1884</v>
      </c>
      <c r="D43" s="8">
        <v>45402</v>
      </c>
      <c r="E43" s="9" t="str">
        <f>+HYPERLINK("http://trademark.i-assist.jp/data/china/image_1884th/74884206.pdf", "74884206")</f>
        <v>74884206</v>
      </c>
      <c r="F43" s="6" t="s">
        <v>150</v>
      </c>
      <c r="G43" s="6" t="s">
        <v>149</v>
      </c>
      <c r="H43" s="8" t="s">
        <v>151</v>
      </c>
      <c r="I43" s="14">
        <v>45230</v>
      </c>
    </row>
    <row r="44" spans="1:9" x14ac:dyDescent="0.15">
      <c r="A44" s="5">
        <v>43</v>
      </c>
      <c r="B44" s="6" t="s">
        <v>9</v>
      </c>
      <c r="C44" s="7">
        <v>1884</v>
      </c>
      <c r="D44" s="8">
        <v>45402</v>
      </c>
      <c r="E44" s="9" t="str">
        <f>+HYPERLINK("http://trademark.i-assist.jp/data/china/image_1884th/74911759.pdf", "74911759")</f>
        <v>74911759</v>
      </c>
      <c r="F44" s="6" t="s">
        <v>103</v>
      </c>
      <c r="G44" s="6" t="s">
        <v>152</v>
      </c>
      <c r="H44" s="8" t="s">
        <v>153</v>
      </c>
      <c r="I44" s="14">
        <v>45231</v>
      </c>
    </row>
    <row r="45" spans="1:9" x14ac:dyDescent="0.15">
      <c r="A45" s="5">
        <v>44</v>
      </c>
      <c r="B45" s="6" t="s">
        <v>9</v>
      </c>
      <c r="C45" s="7">
        <v>1884</v>
      </c>
      <c r="D45" s="8">
        <v>45402</v>
      </c>
      <c r="E45" s="9" t="str">
        <f>+HYPERLINK("http://trademark.i-assist.jp/data/china/image_1884th/74989069.pdf", "74989069")</f>
        <v>74989069</v>
      </c>
      <c r="F45" s="6" t="s">
        <v>87</v>
      </c>
      <c r="G45" s="6" t="s">
        <v>86</v>
      </c>
      <c r="H45" s="8" t="s">
        <v>154</v>
      </c>
      <c r="I45" s="14">
        <v>45236</v>
      </c>
    </row>
    <row r="46" spans="1:9" x14ac:dyDescent="0.15">
      <c r="A46" s="5">
        <v>45</v>
      </c>
      <c r="B46" s="6" t="s">
        <v>9</v>
      </c>
      <c r="C46" s="7">
        <v>1884</v>
      </c>
      <c r="D46" s="8">
        <v>45402</v>
      </c>
      <c r="E46" s="9" t="str">
        <f>+HYPERLINK("http://trademark.i-assist.jp/data/china/image_1884th/75027463.pdf", "75027463")</f>
        <v>75027463</v>
      </c>
      <c r="F46" s="6" t="s">
        <v>156</v>
      </c>
      <c r="G46" s="6" t="s">
        <v>155</v>
      </c>
      <c r="H46" s="8" t="s">
        <v>157</v>
      </c>
      <c r="I46" s="14">
        <v>45237</v>
      </c>
    </row>
    <row r="47" spans="1:9" x14ac:dyDescent="0.15">
      <c r="A47" s="5">
        <v>46</v>
      </c>
      <c r="B47" s="6" t="s">
        <v>9</v>
      </c>
      <c r="C47" s="7">
        <v>1884</v>
      </c>
      <c r="D47" s="8">
        <v>45402</v>
      </c>
      <c r="E47" s="9" t="str">
        <f>+HYPERLINK("http://trademark.i-assist.jp/data/china/image_1884th/75042159.pdf", "75042159")</f>
        <v>75042159</v>
      </c>
      <c r="F47" s="6" t="s">
        <v>159</v>
      </c>
      <c r="G47" s="6" t="s">
        <v>158</v>
      </c>
      <c r="H47" s="8" t="s">
        <v>160</v>
      </c>
      <c r="I47" s="14">
        <v>45238</v>
      </c>
    </row>
    <row r="48" spans="1:9" x14ac:dyDescent="0.15">
      <c r="A48" s="5">
        <v>47</v>
      </c>
      <c r="B48" s="6" t="s">
        <v>9</v>
      </c>
      <c r="C48" s="7">
        <v>1884</v>
      </c>
      <c r="D48" s="8">
        <v>45402</v>
      </c>
      <c r="E48" s="9" t="str">
        <f>+HYPERLINK("http://trademark.i-assist.jp/data/china/image_1884th/75064823.pdf", "75064823")</f>
        <v>75064823</v>
      </c>
      <c r="F48" s="6" t="s">
        <v>162</v>
      </c>
      <c r="G48" s="6" t="s">
        <v>161</v>
      </c>
      <c r="H48" s="8" t="s">
        <v>163</v>
      </c>
      <c r="I48" s="14">
        <v>45239</v>
      </c>
    </row>
    <row r="49" spans="1:9" x14ac:dyDescent="0.15">
      <c r="A49" s="5">
        <v>48</v>
      </c>
      <c r="B49" s="6" t="s">
        <v>9</v>
      </c>
      <c r="C49" s="7">
        <v>1884</v>
      </c>
      <c r="D49" s="8">
        <v>45402</v>
      </c>
      <c r="E49" s="9" t="str">
        <f>+HYPERLINK("http://trademark.i-assist.jp/data/china/image_1884th/75064824.pdf", "75064824")</f>
        <v>75064824</v>
      </c>
      <c r="F49" s="6" t="s">
        <v>164</v>
      </c>
      <c r="G49" s="6" t="s">
        <v>161</v>
      </c>
      <c r="H49" s="8" t="s">
        <v>165</v>
      </c>
      <c r="I49" s="14">
        <v>45239</v>
      </c>
    </row>
    <row r="50" spans="1:9" x14ac:dyDescent="0.15">
      <c r="A50" s="5">
        <v>49</v>
      </c>
      <c r="B50" s="6" t="s">
        <v>9</v>
      </c>
      <c r="C50" s="7">
        <v>1884</v>
      </c>
      <c r="D50" s="8">
        <v>45402</v>
      </c>
      <c r="E50" s="9" t="str">
        <f>+HYPERLINK("http://trademark.i-assist.jp/data/china/image_1884th/75149367.pdf", "75149367")</f>
        <v>75149367</v>
      </c>
      <c r="F50" s="6" t="s">
        <v>167</v>
      </c>
      <c r="G50" s="6" t="s">
        <v>166</v>
      </c>
      <c r="H50" s="8" t="s">
        <v>168</v>
      </c>
      <c r="I50" s="14">
        <v>45244</v>
      </c>
    </row>
    <row r="51" spans="1:9" x14ac:dyDescent="0.15">
      <c r="A51" s="5">
        <v>50</v>
      </c>
      <c r="B51" s="6" t="s">
        <v>9</v>
      </c>
      <c r="C51" s="7">
        <v>1884</v>
      </c>
      <c r="D51" s="8">
        <v>45402</v>
      </c>
      <c r="E51" s="9" t="str">
        <f>+HYPERLINK("http://trademark.i-assist.jp/data/china/image_1884th/75209441.pdf", "75209441")</f>
        <v>75209441</v>
      </c>
      <c r="F51" s="6" t="s">
        <v>170</v>
      </c>
      <c r="G51" s="6" t="s">
        <v>169</v>
      </c>
      <c r="H51" s="8" t="s">
        <v>171</v>
      </c>
      <c r="I51" s="14">
        <v>45246</v>
      </c>
    </row>
    <row r="52" spans="1:9" x14ac:dyDescent="0.15">
      <c r="A52" s="5">
        <v>51</v>
      </c>
      <c r="B52" s="6" t="s">
        <v>9</v>
      </c>
      <c r="C52" s="7">
        <v>1884</v>
      </c>
      <c r="D52" s="8">
        <v>45402</v>
      </c>
      <c r="E52" s="9" t="str">
        <f>+HYPERLINK("http://trademark.i-assist.jp/data/china/image_1884th/75307374.pdf", "75307374")</f>
        <v>75307374</v>
      </c>
      <c r="F52" s="6" t="s">
        <v>173</v>
      </c>
      <c r="G52" s="6" t="s">
        <v>172</v>
      </c>
      <c r="H52" s="8" t="s">
        <v>174</v>
      </c>
      <c r="I52" s="14">
        <v>45251</v>
      </c>
    </row>
    <row r="53" spans="1:9" x14ac:dyDescent="0.15">
      <c r="A53" s="5">
        <v>52</v>
      </c>
      <c r="B53" s="6" t="s">
        <v>9</v>
      </c>
      <c r="C53" s="7">
        <v>1884</v>
      </c>
      <c r="D53" s="8">
        <v>45402</v>
      </c>
      <c r="E53" s="9" t="str">
        <f>+HYPERLINK("http://trademark.i-assist.jp/data/china/image_1884th/75310301.pdf", "75310301")</f>
        <v>75310301</v>
      </c>
      <c r="F53" s="6" t="s">
        <v>167</v>
      </c>
      <c r="G53" s="6" t="s">
        <v>89</v>
      </c>
      <c r="H53" s="8" t="s">
        <v>175</v>
      </c>
      <c r="I53" s="14">
        <v>45251</v>
      </c>
    </row>
    <row r="54" spans="1:9" x14ac:dyDescent="0.15">
      <c r="A54" s="5">
        <v>53</v>
      </c>
      <c r="B54" s="6" t="s">
        <v>9</v>
      </c>
      <c r="C54" s="7">
        <v>1884</v>
      </c>
      <c r="D54" s="8">
        <v>45402</v>
      </c>
      <c r="E54" s="9" t="str">
        <f>+HYPERLINK("http://trademark.i-assist.jp/data/china/image_1884th/75330846.pdf", "75330846")</f>
        <v>75330846</v>
      </c>
      <c r="F54" s="6" t="s">
        <v>177</v>
      </c>
      <c r="G54" s="6" t="s">
        <v>176</v>
      </c>
      <c r="H54" s="8" t="s">
        <v>178</v>
      </c>
      <c r="I54" s="14">
        <v>45252</v>
      </c>
    </row>
    <row r="55" spans="1:9" x14ac:dyDescent="0.15">
      <c r="A55" s="5">
        <v>54</v>
      </c>
      <c r="B55" s="6" t="s">
        <v>9</v>
      </c>
      <c r="C55" s="7">
        <v>1884</v>
      </c>
      <c r="D55" s="8">
        <v>45402</v>
      </c>
      <c r="E55" s="9" t="str">
        <f>+HYPERLINK("http://trademark.i-assist.jp/data/china/image_1884th/75344878.pdf", "75344878")</f>
        <v>75344878</v>
      </c>
      <c r="F55" s="6" t="s">
        <v>180</v>
      </c>
      <c r="G55" s="6" t="s">
        <v>179</v>
      </c>
      <c r="H55" s="8" t="s">
        <v>181</v>
      </c>
      <c r="I55" s="14">
        <v>45252</v>
      </c>
    </row>
    <row r="56" spans="1:9" x14ac:dyDescent="0.15">
      <c r="A56" s="5">
        <v>55</v>
      </c>
      <c r="B56" s="6" t="s">
        <v>9</v>
      </c>
      <c r="C56" s="7">
        <v>1884</v>
      </c>
      <c r="D56" s="8">
        <v>45402</v>
      </c>
      <c r="E56" s="9" t="str">
        <f>+HYPERLINK("http://trademark.i-assist.jp/data/china/image_1884th/75368031.pdf", "75368031")</f>
        <v>75368031</v>
      </c>
      <c r="F56" s="6" t="s">
        <v>183</v>
      </c>
      <c r="G56" s="6" t="s">
        <v>182</v>
      </c>
      <c r="H56" s="8" t="s">
        <v>184</v>
      </c>
      <c r="I56" s="14">
        <v>45253</v>
      </c>
    </row>
    <row r="57" spans="1:9" x14ac:dyDescent="0.15">
      <c r="A57" s="5">
        <v>56</v>
      </c>
      <c r="B57" s="6" t="s">
        <v>9</v>
      </c>
      <c r="C57" s="7">
        <v>1884</v>
      </c>
      <c r="D57" s="8">
        <v>45402</v>
      </c>
      <c r="E57" s="9" t="str">
        <f>+HYPERLINK("http://trademark.i-assist.jp/data/china/image_1884th/75398741.pdf", "75398741")</f>
        <v>75398741</v>
      </c>
      <c r="F57" s="6" t="s">
        <v>185</v>
      </c>
      <c r="G57" s="6" t="s">
        <v>161</v>
      </c>
      <c r="H57" s="8" t="s">
        <v>186</v>
      </c>
      <c r="I57" s="14">
        <v>45254</v>
      </c>
    </row>
    <row r="58" spans="1:9" x14ac:dyDescent="0.15">
      <c r="A58" s="5">
        <v>57</v>
      </c>
      <c r="B58" s="6" t="s">
        <v>9</v>
      </c>
      <c r="C58" s="7">
        <v>1884</v>
      </c>
      <c r="D58" s="8">
        <v>45402</v>
      </c>
      <c r="E58" s="9" t="str">
        <f>+HYPERLINK("http://trademark.i-assist.jp/data/china/image_1884th/75435530.pdf", "75435530")</f>
        <v>75435530</v>
      </c>
      <c r="F58" s="6" t="s">
        <v>188</v>
      </c>
      <c r="G58" s="6" t="s">
        <v>187</v>
      </c>
      <c r="H58" s="8" t="s">
        <v>189</v>
      </c>
      <c r="I58" s="14">
        <v>45257</v>
      </c>
    </row>
    <row r="59" spans="1:9" x14ac:dyDescent="0.15">
      <c r="A59" s="5">
        <v>58</v>
      </c>
      <c r="B59" s="6" t="s">
        <v>9</v>
      </c>
      <c r="C59" s="7">
        <v>1884</v>
      </c>
      <c r="D59" s="8">
        <v>45402</v>
      </c>
      <c r="E59" s="9" t="str">
        <f>+HYPERLINK("http://trademark.i-assist.jp/data/china/image_1884th/75488831.pdf", "75488831")</f>
        <v>75488831</v>
      </c>
      <c r="F59" s="6" t="s">
        <v>190</v>
      </c>
      <c r="G59" s="6" t="s">
        <v>86</v>
      </c>
      <c r="H59" s="8" t="s">
        <v>191</v>
      </c>
      <c r="I59" s="14">
        <v>45259</v>
      </c>
    </row>
    <row r="60" spans="1:9" x14ac:dyDescent="0.15">
      <c r="A60" s="5">
        <v>59</v>
      </c>
      <c r="B60" s="6" t="s">
        <v>9</v>
      </c>
      <c r="C60" s="7">
        <v>1884</v>
      </c>
      <c r="D60" s="8">
        <v>45402</v>
      </c>
      <c r="E60" s="9" t="str">
        <f>+HYPERLINK("http://trademark.i-assist.jp/data/china/image_1884th/75528809.pdf", "75528809")</f>
        <v>75528809</v>
      </c>
      <c r="F60" s="6" t="s">
        <v>193</v>
      </c>
      <c r="G60" s="6" t="s">
        <v>192</v>
      </c>
      <c r="H60" s="8" t="s">
        <v>194</v>
      </c>
      <c r="I60" s="14">
        <v>45261</v>
      </c>
    </row>
    <row r="61" spans="1:9" x14ac:dyDescent="0.15">
      <c r="A61" s="5">
        <v>60</v>
      </c>
      <c r="B61" s="6" t="s">
        <v>9</v>
      </c>
      <c r="C61" s="7">
        <v>1884</v>
      </c>
      <c r="D61" s="8">
        <v>45402</v>
      </c>
      <c r="E61" s="9" t="str">
        <f>+HYPERLINK("http://trademark.i-assist.jp/data/china/image_1884th/75534873.pdf", "75534873")</f>
        <v>75534873</v>
      </c>
      <c r="F61" s="6" t="s">
        <v>196</v>
      </c>
      <c r="G61" s="6" t="s">
        <v>195</v>
      </c>
      <c r="H61" s="8" t="s">
        <v>197</v>
      </c>
      <c r="I61" s="14">
        <v>45261</v>
      </c>
    </row>
    <row r="62" spans="1:9" x14ac:dyDescent="0.15">
      <c r="A62" s="5">
        <v>61</v>
      </c>
      <c r="B62" s="6" t="s">
        <v>9</v>
      </c>
      <c r="C62" s="7">
        <v>1884</v>
      </c>
      <c r="D62" s="8">
        <v>45402</v>
      </c>
      <c r="E62" s="9" t="str">
        <f>+HYPERLINK("http://trademark.i-assist.jp/data/china/image_1884th/75544070.pdf", "75544070")</f>
        <v>75544070</v>
      </c>
      <c r="F62" s="6" t="s">
        <v>199</v>
      </c>
      <c r="G62" s="6" t="s">
        <v>198</v>
      </c>
      <c r="H62" s="8" t="s">
        <v>200</v>
      </c>
      <c r="I62" s="14">
        <v>45261</v>
      </c>
    </row>
    <row r="63" spans="1:9" x14ac:dyDescent="0.15">
      <c r="A63" s="5">
        <v>62</v>
      </c>
      <c r="B63" s="6" t="s">
        <v>9</v>
      </c>
      <c r="C63" s="7">
        <v>1884</v>
      </c>
      <c r="D63" s="8">
        <v>45402</v>
      </c>
      <c r="E63" s="9" t="str">
        <f>+HYPERLINK("http://trademark.i-assist.jp/data/china/image_1884th/75545502.pdf", "75545502")</f>
        <v>75545502</v>
      </c>
      <c r="F63" s="6" t="s">
        <v>201</v>
      </c>
      <c r="G63" s="6" t="s">
        <v>195</v>
      </c>
      <c r="H63" s="8" t="s">
        <v>202</v>
      </c>
      <c r="I63" s="14">
        <v>45261</v>
      </c>
    </row>
    <row r="64" spans="1:9" x14ac:dyDescent="0.15">
      <c r="A64" s="5">
        <v>63</v>
      </c>
      <c r="B64" s="6" t="s">
        <v>9</v>
      </c>
      <c r="C64" s="7">
        <v>1884</v>
      </c>
      <c r="D64" s="8">
        <v>45402</v>
      </c>
      <c r="E64" s="9" t="str">
        <f>+HYPERLINK("http://trademark.i-assist.jp/data/china/image_1884th/75548579.pdf", "75548579")</f>
        <v>75548579</v>
      </c>
      <c r="F64" s="6" t="s">
        <v>203</v>
      </c>
      <c r="G64" s="6" t="s">
        <v>195</v>
      </c>
      <c r="H64" s="8" t="s">
        <v>204</v>
      </c>
      <c r="I64" s="14">
        <v>45261</v>
      </c>
    </row>
    <row r="65" spans="1:9" x14ac:dyDescent="0.15">
      <c r="A65" s="5">
        <v>64</v>
      </c>
      <c r="B65" s="6" t="s">
        <v>9</v>
      </c>
      <c r="C65" s="7">
        <v>1884</v>
      </c>
      <c r="D65" s="8">
        <v>45402</v>
      </c>
      <c r="E65" s="9" t="str">
        <f>+HYPERLINK("http://trademark.i-assist.jp/data/china/image_1884th/75591007.pdf", "75591007")</f>
        <v>75591007</v>
      </c>
      <c r="F65" s="6" t="s">
        <v>206</v>
      </c>
      <c r="G65" s="6" t="s">
        <v>205</v>
      </c>
      <c r="H65" s="8" t="s">
        <v>207</v>
      </c>
      <c r="I65" s="14">
        <v>45265</v>
      </c>
    </row>
    <row r="66" spans="1:9" x14ac:dyDescent="0.15">
      <c r="A66" s="5">
        <v>65</v>
      </c>
      <c r="B66" s="6" t="s">
        <v>9</v>
      </c>
      <c r="C66" s="7">
        <v>1884</v>
      </c>
      <c r="D66" s="8">
        <v>45402</v>
      </c>
      <c r="E66" s="9" t="str">
        <f>+HYPERLINK("http://trademark.i-assist.jp/data/china/image_1884th/75608678.pdf", "75608678")</f>
        <v>75608678</v>
      </c>
      <c r="F66" s="6" t="s">
        <v>209</v>
      </c>
      <c r="G66" s="6" t="s">
        <v>208</v>
      </c>
      <c r="H66" s="8" t="s">
        <v>210</v>
      </c>
      <c r="I66" s="14">
        <v>45265</v>
      </c>
    </row>
    <row r="67" spans="1:9" x14ac:dyDescent="0.15">
      <c r="A67" s="5">
        <v>66</v>
      </c>
      <c r="B67" s="6" t="s">
        <v>9</v>
      </c>
      <c r="C67" s="7">
        <v>1884</v>
      </c>
      <c r="D67" s="8">
        <v>45402</v>
      </c>
      <c r="E67" s="9" t="str">
        <f>+HYPERLINK("http://trademark.i-assist.jp/data/china/image_1884th/75644598.pdf", "75644598")</f>
        <v>75644598</v>
      </c>
      <c r="F67" s="6" t="s">
        <v>212</v>
      </c>
      <c r="G67" s="6" t="s">
        <v>211</v>
      </c>
      <c r="H67" s="8" t="s">
        <v>213</v>
      </c>
      <c r="I67" s="14">
        <v>45267</v>
      </c>
    </row>
    <row r="68" spans="1:9" x14ac:dyDescent="0.15">
      <c r="A68" s="5">
        <v>67</v>
      </c>
      <c r="B68" s="6" t="s">
        <v>9</v>
      </c>
      <c r="C68" s="7">
        <v>1884</v>
      </c>
      <c r="D68" s="8">
        <v>45402</v>
      </c>
      <c r="E68" s="9" t="str">
        <f>+HYPERLINK("http://trademark.i-assist.jp/data/china/image_1884th/75651856.pdf", "75651856")</f>
        <v>75651856</v>
      </c>
      <c r="F68" s="6" t="s">
        <v>215</v>
      </c>
      <c r="G68" s="6" t="s">
        <v>214</v>
      </c>
      <c r="H68" s="8" t="s">
        <v>216</v>
      </c>
      <c r="I68" s="14">
        <v>45267</v>
      </c>
    </row>
    <row r="69" spans="1:9" x14ac:dyDescent="0.15">
      <c r="A69" s="5">
        <v>68</v>
      </c>
      <c r="B69" s="6" t="s">
        <v>9</v>
      </c>
      <c r="C69" s="7">
        <v>1884</v>
      </c>
      <c r="D69" s="8">
        <v>45402</v>
      </c>
      <c r="E69" s="9" t="str">
        <f>+HYPERLINK("http://trademark.i-assist.jp/data/china/image_1884th/75655713.pdf", "75655713")</f>
        <v>75655713</v>
      </c>
      <c r="F69" s="6" t="s">
        <v>218</v>
      </c>
      <c r="G69" s="6" t="s">
        <v>217</v>
      </c>
      <c r="H69" s="8" t="s">
        <v>219</v>
      </c>
      <c r="I69" s="14">
        <v>45267</v>
      </c>
    </row>
    <row r="70" spans="1:9" x14ac:dyDescent="0.15">
      <c r="A70" s="5">
        <v>69</v>
      </c>
      <c r="B70" s="6" t="s">
        <v>9</v>
      </c>
      <c r="C70" s="7">
        <v>1884</v>
      </c>
      <c r="D70" s="8">
        <v>45402</v>
      </c>
      <c r="E70" s="9" t="str">
        <f>+HYPERLINK("http://trademark.i-assist.jp/data/china/image_1884th/75657990.pdf", "75657990")</f>
        <v>75657990</v>
      </c>
      <c r="F70" s="6" t="s">
        <v>167</v>
      </c>
      <c r="G70" s="6" t="s">
        <v>220</v>
      </c>
      <c r="H70" s="8" t="s">
        <v>221</v>
      </c>
      <c r="I70" s="14">
        <v>45267</v>
      </c>
    </row>
    <row r="71" spans="1:9" x14ac:dyDescent="0.15">
      <c r="A71" s="5">
        <v>70</v>
      </c>
      <c r="B71" s="6" t="s">
        <v>9</v>
      </c>
      <c r="C71" s="7">
        <v>1884</v>
      </c>
      <c r="D71" s="8">
        <v>45402</v>
      </c>
      <c r="E71" s="9" t="str">
        <f>+HYPERLINK("http://trademark.i-assist.jp/data/china/image_1884th/75659476.pdf", "75659476")</f>
        <v>75659476</v>
      </c>
      <c r="F71" s="6" t="s">
        <v>223</v>
      </c>
      <c r="G71" s="6" t="s">
        <v>222</v>
      </c>
      <c r="H71" s="8" t="s">
        <v>224</v>
      </c>
      <c r="I71" s="14">
        <v>45267</v>
      </c>
    </row>
    <row r="72" spans="1:9" x14ac:dyDescent="0.15">
      <c r="A72" s="5">
        <v>71</v>
      </c>
      <c r="B72" s="6" t="s">
        <v>9</v>
      </c>
      <c r="C72" s="7">
        <v>1884</v>
      </c>
      <c r="D72" s="8">
        <v>45402</v>
      </c>
      <c r="E72" s="9" t="str">
        <f>+HYPERLINK("http://trademark.i-assist.jp/data/china/image_1884th/75661110A.pdf", "75661110A")</f>
        <v>75661110A</v>
      </c>
      <c r="F72" s="6" t="s">
        <v>226</v>
      </c>
      <c r="G72" s="6" t="s">
        <v>225</v>
      </c>
      <c r="H72" s="8" t="s">
        <v>227</v>
      </c>
      <c r="I72" s="14">
        <v>45267</v>
      </c>
    </row>
    <row r="73" spans="1:9" x14ac:dyDescent="0.15">
      <c r="A73" s="5">
        <v>72</v>
      </c>
      <c r="B73" s="6" t="s">
        <v>9</v>
      </c>
      <c r="C73" s="7">
        <v>1884</v>
      </c>
      <c r="D73" s="8">
        <v>45402</v>
      </c>
      <c r="E73" s="9" t="str">
        <f>+HYPERLINK("http://trademark.i-assist.jp/data/china/image_1884th/75662659.pdf", "75662659")</f>
        <v>75662659</v>
      </c>
      <c r="F73" s="6" t="s">
        <v>229</v>
      </c>
      <c r="G73" s="6" t="s">
        <v>228</v>
      </c>
      <c r="H73" s="8" t="s">
        <v>230</v>
      </c>
      <c r="I73" s="14">
        <v>45267</v>
      </c>
    </row>
    <row r="74" spans="1:9" x14ac:dyDescent="0.15">
      <c r="A74" s="5">
        <v>73</v>
      </c>
      <c r="B74" s="6" t="s">
        <v>9</v>
      </c>
      <c r="C74" s="7">
        <v>1884</v>
      </c>
      <c r="D74" s="8">
        <v>45402</v>
      </c>
      <c r="E74" s="9" t="str">
        <f>+HYPERLINK("http://trademark.i-assist.jp/data/china/image_1884th/75668731.pdf", "75668731")</f>
        <v>75668731</v>
      </c>
      <c r="F74" s="6" t="s">
        <v>232</v>
      </c>
      <c r="G74" s="6" t="s">
        <v>231</v>
      </c>
      <c r="H74" s="8" t="s">
        <v>233</v>
      </c>
      <c r="I74" s="14">
        <v>45268</v>
      </c>
    </row>
    <row r="75" spans="1:9" x14ac:dyDescent="0.15">
      <c r="A75" s="5">
        <v>74</v>
      </c>
      <c r="B75" s="6" t="s">
        <v>9</v>
      </c>
      <c r="C75" s="7">
        <v>1884</v>
      </c>
      <c r="D75" s="8">
        <v>45402</v>
      </c>
      <c r="E75" s="9" t="str">
        <f>+HYPERLINK("http://trademark.i-assist.jp/data/china/image_1884th/75684400.pdf", "75684400")</f>
        <v>75684400</v>
      </c>
      <c r="F75" s="6" t="s">
        <v>235</v>
      </c>
      <c r="G75" s="6" t="s">
        <v>234</v>
      </c>
      <c r="H75" s="8" t="s">
        <v>236</v>
      </c>
      <c r="I75" s="14">
        <v>45268</v>
      </c>
    </row>
    <row r="76" spans="1:9" x14ac:dyDescent="0.15">
      <c r="A76" s="5">
        <v>75</v>
      </c>
      <c r="B76" s="6" t="s">
        <v>9</v>
      </c>
      <c r="C76" s="7">
        <v>1884</v>
      </c>
      <c r="D76" s="8">
        <v>45402</v>
      </c>
      <c r="E76" s="9" t="str">
        <f>+HYPERLINK("http://trademark.i-assist.jp/data/china/image_1884th/75701231.pdf", "75701231")</f>
        <v>75701231</v>
      </c>
      <c r="F76" s="6" t="s">
        <v>238</v>
      </c>
      <c r="G76" s="6" t="s">
        <v>237</v>
      </c>
      <c r="H76" s="8" t="s">
        <v>239</v>
      </c>
      <c r="I76" s="14">
        <v>45271</v>
      </c>
    </row>
    <row r="77" spans="1:9" x14ac:dyDescent="0.15">
      <c r="A77" s="5">
        <v>76</v>
      </c>
      <c r="B77" s="6" t="s">
        <v>9</v>
      </c>
      <c r="C77" s="7">
        <v>1884</v>
      </c>
      <c r="D77" s="8">
        <v>45402</v>
      </c>
      <c r="E77" s="9" t="str">
        <f>+HYPERLINK("http://trademark.i-assist.jp/data/china/image_1884th/75707540.pdf", "75707540")</f>
        <v>75707540</v>
      </c>
      <c r="F77" s="6" t="s">
        <v>241</v>
      </c>
      <c r="G77" s="6" t="s">
        <v>240</v>
      </c>
      <c r="H77" s="8" t="s">
        <v>242</v>
      </c>
      <c r="I77" s="14">
        <v>45271</v>
      </c>
    </row>
    <row r="78" spans="1:9" x14ac:dyDescent="0.15">
      <c r="A78" s="5">
        <v>77</v>
      </c>
      <c r="B78" s="6" t="s">
        <v>9</v>
      </c>
      <c r="C78" s="7">
        <v>1884</v>
      </c>
      <c r="D78" s="8">
        <v>45402</v>
      </c>
      <c r="E78" s="9" t="str">
        <f>+HYPERLINK("http://trademark.i-assist.jp/data/china/image_1884th/75716190.pdf", "75716190")</f>
        <v>75716190</v>
      </c>
      <c r="F78" s="6" t="s">
        <v>244</v>
      </c>
      <c r="G78" s="6" t="s">
        <v>243</v>
      </c>
      <c r="H78" s="8" t="s">
        <v>245</v>
      </c>
      <c r="I78" s="14">
        <v>45271</v>
      </c>
    </row>
    <row r="79" spans="1:9" x14ac:dyDescent="0.15">
      <c r="A79" s="5">
        <v>78</v>
      </c>
      <c r="B79" s="6" t="s">
        <v>9</v>
      </c>
      <c r="C79" s="7">
        <v>1884</v>
      </c>
      <c r="D79" s="8">
        <v>45402</v>
      </c>
      <c r="E79" s="9" t="str">
        <f>+HYPERLINK("http://trademark.i-assist.jp/data/china/image_1884th/75723633.pdf", "75723633")</f>
        <v>75723633</v>
      </c>
      <c r="F79" s="6" t="s">
        <v>246</v>
      </c>
      <c r="G79" s="6" t="s">
        <v>102</v>
      </c>
      <c r="H79" s="8" t="s">
        <v>247</v>
      </c>
      <c r="I79" s="14">
        <v>45271</v>
      </c>
    </row>
    <row r="80" spans="1:9" x14ac:dyDescent="0.15">
      <c r="A80" s="5">
        <v>79</v>
      </c>
      <c r="B80" s="6" t="s">
        <v>9</v>
      </c>
      <c r="C80" s="7">
        <v>1884</v>
      </c>
      <c r="D80" s="8">
        <v>45402</v>
      </c>
      <c r="E80" s="9" t="str">
        <f>+HYPERLINK("http://trademark.i-assist.jp/data/china/image_1884th/75724214.pdf", "75724214")</f>
        <v>75724214</v>
      </c>
      <c r="F80" s="6" t="s">
        <v>244</v>
      </c>
      <c r="G80" s="6" t="s">
        <v>243</v>
      </c>
      <c r="H80" s="8" t="s">
        <v>248</v>
      </c>
      <c r="I80" s="14">
        <v>45271</v>
      </c>
    </row>
    <row r="81" spans="1:9" x14ac:dyDescent="0.15">
      <c r="A81" s="5">
        <v>80</v>
      </c>
      <c r="B81" s="6" t="s">
        <v>9</v>
      </c>
      <c r="C81" s="7">
        <v>1884</v>
      </c>
      <c r="D81" s="8">
        <v>45402</v>
      </c>
      <c r="E81" s="9" t="str">
        <f>+HYPERLINK("http://trademark.i-assist.jp/data/china/image_1884th/75728195.pdf", "75728195")</f>
        <v>75728195</v>
      </c>
      <c r="F81" s="6" t="s">
        <v>249</v>
      </c>
      <c r="G81" s="6" t="s">
        <v>214</v>
      </c>
      <c r="H81" s="8" t="s">
        <v>250</v>
      </c>
      <c r="I81" s="14">
        <v>45271</v>
      </c>
    </row>
    <row r="82" spans="1:9" x14ac:dyDescent="0.15">
      <c r="A82" s="5">
        <v>81</v>
      </c>
      <c r="B82" s="6" t="s">
        <v>9</v>
      </c>
      <c r="C82" s="7">
        <v>1884</v>
      </c>
      <c r="D82" s="8">
        <v>45402</v>
      </c>
      <c r="E82" s="9" t="str">
        <f>+HYPERLINK("http://trademark.i-assist.jp/data/china/image_1884th/75736994.pdf", "75736994")</f>
        <v>75736994</v>
      </c>
      <c r="F82" s="6" t="s">
        <v>167</v>
      </c>
      <c r="G82" s="6" t="s">
        <v>251</v>
      </c>
      <c r="H82" s="8" t="s">
        <v>252</v>
      </c>
      <c r="I82" s="14">
        <v>45272</v>
      </c>
    </row>
    <row r="83" spans="1:9" x14ac:dyDescent="0.15">
      <c r="A83" s="5">
        <v>82</v>
      </c>
      <c r="B83" s="6" t="s">
        <v>9</v>
      </c>
      <c r="C83" s="7">
        <v>1884</v>
      </c>
      <c r="D83" s="8">
        <v>45402</v>
      </c>
      <c r="E83" s="9" t="str">
        <f>+HYPERLINK("http://trademark.i-assist.jp/data/china/image_1884th/75752147.pdf", "75752147")</f>
        <v>75752147</v>
      </c>
      <c r="F83" s="6" t="s">
        <v>254</v>
      </c>
      <c r="G83" s="6" t="s">
        <v>253</v>
      </c>
      <c r="H83" s="8" t="s">
        <v>255</v>
      </c>
      <c r="I83" s="14">
        <v>45272</v>
      </c>
    </row>
    <row r="84" spans="1:9" x14ac:dyDescent="0.15">
      <c r="A84" s="5">
        <v>83</v>
      </c>
      <c r="B84" s="6" t="s">
        <v>9</v>
      </c>
      <c r="C84" s="7">
        <v>1884</v>
      </c>
      <c r="D84" s="8">
        <v>45402</v>
      </c>
      <c r="E84" s="9" t="str">
        <f>+HYPERLINK("http://trademark.i-assist.jp/data/china/image_1884th/75765735.pdf", "75765735")</f>
        <v>75765735</v>
      </c>
      <c r="F84" s="6" t="s">
        <v>257</v>
      </c>
      <c r="G84" s="6" t="s">
        <v>256</v>
      </c>
      <c r="H84" s="8" t="s">
        <v>258</v>
      </c>
      <c r="I84" s="14">
        <v>45273</v>
      </c>
    </row>
    <row r="85" spans="1:9" x14ac:dyDescent="0.15">
      <c r="A85" s="5">
        <v>84</v>
      </c>
      <c r="B85" s="6" t="s">
        <v>9</v>
      </c>
      <c r="C85" s="7">
        <v>1884</v>
      </c>
      <c r="D85" s="8">
        <v>45402</v>
      </c>
      <c r="E85" s="9" t="str">
        <f>+HYPERLINK("http://trademark.i-assist.jp/data/china/image_1884th/75772996.pdf", "75772996")</f>
        <v>75772996</v>
      </c>
      <c r="F85" s="6" t="s">
        <v>260</v>
      </c>
      <c r="G85" s="6" t="s">
        <v>259</v>
      </c>
      <c r="H85" s="8" t="s">
        <v>261</v>
      </c>
      <c r="I85" s="14">
        <v>45273</v>
      </c>
    </row>
    <row r="86" spans="1:9" x14ac:dyDescent="0.15">
      <c r="A86" s="5">
        <v>85</v>
      </c>
      <c r="B86" s="6" t="s">
        <v>9</v>
      </c>
      <c r="C86" s="7">
        <v>1884</v>
      </c>
      <c r="D86" s="8">
        <v>45402</v>
      </c>
      <c r="E86" s="9" t="str">
        <f>+HYPERLINK("http://trademark.i-assist.jp/data/china/image_1884th/75773386.pdf", "75773386")</f>
        <v>75773386</v>
      </c>
      <c r="F86" s="6" t="s">
        <v>262</v>
      </c>
      <c r="G86" s="6" t="s">
        <v>214</v>
      </c>
      <c r="H86" s="8" t="s">
        <v>263</v>
      </c>
      <c r="I86" s="14">
        <v>45273</v>
      </c>
    </row>
    <row r="87" spans="1:9" x14ac:dyDescent="0.15">
      <c r="A87" s="5">
        <v>86</v>
      </c>
      <c r="B87" s="6" t="s">
        <v>9</v>
      </c>
      <c r="C87" s="7">
        <v>1884</v>
      </c>
      <c r="D87" s="8">
        <v>45402</v>
      </c>
      <c r="E87" s="9" t="str">
        <f>+HYPERLINK("http://trademark.i-assist.jp/data/china/image_1884th/75776201.pdf", "75776201")</f>
        <v>75776201</v>
      </c>
      <c r="F87" s="6" t="s">
        <v>265</v>
      </c>
      <c r="G87" s="6" t="s">
        <v>264</v>
      </c>
      <c r="H87" s="8" t="s">
        <v>266</v>
      </c>
      <c r="I87" s="14">
        <v>45273</v>
      </c>
    </row>
    <row r="88" spans="1:9" x14ac:dyDescent="0.15">
      <c r="A88" s="5">
        <v>87</v>
      </c>
      <c r="B88" s="6" t="s">
        <v>9</v>
      </c>
      <c r="C88" s="7">
        <v>1884</v>
      </c>
      <c r="D88" s="8">
        <v>45402</v>
      </c>
      <c r="E88" s="9" t="str">
        <f>+HYPERLINK("http://trademark.i-assist.jp/data/china/image_1884th/75780717.pdf", "75780717")</f>
        <v>75780717</v>
      </c>
      <c r="F88" s="6" t="s">
        <v>268</v>
      </c>
      <c r="G88" s="6" t="s">
        <v>267</v>
      </c>
      <c r="H88" s="8" t="s">
        <v>269</v>
      </c>
      <c r="I88" s="14">
        <v>45273</v>
      </c>
    </row>
    <row r="89" spans="1:9" x14ac:dyDescent="0.15">
      <c r="A89" s="5">
        <v>88</v>
      </c>
      <c r="B89" s="6" t="s">
        <v>9</v>
      </c>
      <c r="C89" s="7">
        <v>1884</v>
      </c>
      <c r="D89" s="8">
        <v>45402</v>
      </c>
      <c r="E89" s="9" t="str">
        <f>+HYPERLINK("http://trademark.i-assist.jp/data/china/image_1884th/75794379.pdf", "75794379")</f>
        <v>75794379</v>
      </c>
      <c r="F89" s="6" t="s">
        <v>271</v>
      </c>
      <c r="G89" s="6" t="s">
        <v>270</v>
      </c>
      <c r="H89" s="8" t="s">
        <v>272</v>
      </c>
      <c r="I89" s="14">
        <v>45274</v>
      </c>
    </row>
    <row r="90" spans="1:9" x14ac:dyDescent="0.15">
      <c r="A90" s="5">
        <v>89</v>
      </c>
      <c r="B90" s="6" t="s">
        <v>9</v>
      </c>
      <c r="C90" s="7">
        <v>1884</v>
      </c>
      <c r="D90" s="8">
        <v>45402</v>
      </c>
      <c r="E90" s="9" t="str">
        <f>+HYPERLINK("http://trademark.i-assist.jp/data/china/image_1884th/75799553.pdf", "75799553")</f>
        <v>75799553</v>
      </c>
      <c r="F90" s="6" t="s">
        <v>274</v>
      </c>
      <c r="G90" s="6" t="s">
        <v>273</v>
      </c>
      <c r="H90" s="8" t="s">
        <v>275</v>
      </c>
      <c r="I90" s="14">
        <v>45274</v>
      </c>
    </row>
    <row r="91" spans="1:9" x14ac:dyDescent="0.15">
      <c r="A91" s="5">
        <v>90</v>
      </c>
      <c r="B91" s="6" t="s">
        <v>9</v>
      </c>
      <c r="C91" s="7">
        <v>1884</v>
      </c>
      <c r="D91" s="8">
        <v>45402</v>
      </c>
      <c r="E91" s="9" t="str">
        <f>+HYPERLINK("http://trademark.i-assist.jp/data/china/image_1884th/75822222.pdf", "75822222")</f>
        <v>75822222</v>
      </c>
      <c r="F91" s="6" t="s">
        <v>277</v>
      </c>
      <c r="G91" s="6" t="s">
        <v>276</v>
      </c>
      <c r="H91" s="8" t="s">
        <v>278</v>
      </c>
      <c r="I91" s="14">
        <v>45276</v>
      </c>
    </row>
    <row r="92" spans="1:9" x14ac:dyDescent="0.15">
      <c r="A92" s="5">
        <v>91</v>
      </c>
      <c r="B92" s="6" t="s">
        <v>9</v>
      </c>
      <c r="C92" s="7">
        <v>1884</v>
      </c>
      <c r="D92" s="8">
        <v>45402</v>
      </c>
      <c r="E92" s="9" t="str">
        <f>+HYPERLINK("http://trademark.i-assist.jp/data/china/image_1884th/75835930.pdf", "75835930")</f>
        <v>75835930</v>
      </c>
      <c r="F92" s="6" t="s">
        <v>167</v>
      </c>
      <c r="G92" s="6" t="s">
        <v>279</v>
      </c>
      <c r="H92" s="8" t="s">
        <v>280</v>
      </c>
      <c r="I92" s="14">
        <v>45276</v>
      </c>
    </row>
    <row r="93" spans="1:9" x14ac:dyDescent="0.15">
      <c r="A93" s="5">
        <v>92</v>
      </c>
      <c r="B93" s="6" t="s">
        <v>9</v>
      </c>
      <c r="C93" s="7">
        <v>1884</v>
      </c>
      <c r="D93" s="8">
        <v>45402</v>
      </c>
      <c r="E93" s="9" t="str">
        <f>+HYPERLINK("http://trademark.i-assist.jp/data/china/image_1884th/75848863.pdf", "75848863")</f>
        <v>75848863</v>
      </c>
      <c r="F93" s="6" t="s">
        <v>282</v>
      </c>
      <c r="G93" s="6" t="s">
        <v>281</v>
      </c>
      <c r="H93" s="8" t="s">
        <v>283</v>
      </c>
      <c r="I93" s="14">
        <v>45278</v>
      </c>
    </row>
    <row r="94" spans="1:9" x14ac:dyDescent="0.15">
      <c r="A94" s="5">
        <v>93</v>
      </c>
      <c r="B94" s="6" t="s">
        <v>9</v>
      </c>
      <c r="C94" s="7">
        <v>1884</v>
      </c>
      <c r="D94" s="8">
        <v>45402</v>
      </c>
      <c r="E94" s="9" t="str">
        <f>+HYPERLINK("http://trademark.i-assist.jp/data/china/image_1884th/75850069.pdf", "75850069")</f>
        <v>75850069</v>
      </c>
      <c r="F94" s="6" t="s">
        <v>285</v>
      </c>
      <c r="G94" s="6" t="s">
        <v>284</v>
      </c>
      <c r="H94" s="8" t="s">
        <v>286</v>
      </c>
      <c r="I94" s="14">
        <v>45278</v>
      </c>
    </row>
    <row r="95" spans="1:9" x14ac:dyDescent="0.15">
      <c r="A95" s="5">
        <v>94</v>
      </c>
      <c r="B95" s="6" t="s">
        <v>9</v>
      </c>
      <c r="C95" s="7">
        <v>1884</v>
      </c>
      <c r="D95" s="8">
        <v>45402</v>
      </c>
      <c r="E95" s="9" t="str">
        <f>+HYPERLINK("http://trademark.i-assist.jp/data/china/image_1884th/75850072.pdf", "75850072")</f>
        <v>75850072</v>
      </c>
      <c r="F95" s="6" t="s">
        <v>287</v>
      </c>
      <c r="G95" s="6" t="s">
        <v>284</v>
      </c>
      <c r="H95" s="8" t="s">
        <v>288</v>
      </c>
      <c r="I95" s="14">
        <v>45278</v>
      </c>
    </row>
    <row r="96" spans="1:9" x14ac:dyDescent="0.15">
      <c r="A96" s="5">
        <v>95</v>
      </c>
      <c r="B96" s="6" t="s">
        <v>9</v>
      </c>
      <c r="C96" s="7">
        <v>1884</v>
      </c>
      <c r="D96" s="8">
        <v>45402</v>
      </c>
      <c r="E96" s="9" t="str">
        <f>+HYPERLINK("http://trademark.i-assist.jp/data/china/image_1884th/75857335.pdf", "75857335")</f>
        <v>75857335</v>
      </c>
      <c r="F96" s="6" t="s">
        <v>289</v>
      </c>
      <c r="G96" s="6" t="s">
        <v>284</v>
      </c>
      <c r="H96" s="8" t="s">
        <v>290</v>
      </c>
      <c r="I96" s="14">
        <v>45278</v>
      </c>
    </row>
    <row r="97" spans="1:9" x14ac:dyDescent="0.15">
      <c r="A97" s="5">
        <v>96</v>
      </c>
      <c r="B97" s="6" t="s">
        <v>9</v>
      </c>
      <c r="C97" s="7">
        <v>1884</v>
      </c>
      <c r="D97" s="8">
        <v>45402</v>
      </c>
      <c r="E97" s="9" t="str">
        <f>+HYPERLINK("http://trademark.i-assist.jp/data/china/image_1884th/75857841.pdf", "75857841")</f>
        <v>75857841</v>
      </c>
      <c r="F97" s="6" t="s">
        <v>292</v>
      </c>
      <c r="G97" s="6" t="s">
        <v>291</v>
      </c>
      <c r="H97" s="8" t="s">
        <v>293</v>
      </c>
      <c r="I97" s="14">
        <v>45278</v>
      </c>
    </row>
    <row r="98" spans="1:9" x14ac:dyDescent="0.15">
      <c r="A98" s="5">
        <v>97</v>
      </c>
      <c r="B98" s="6" t="s">
        <v>9</v>
      </c>
      <c r="C98" s="7">
        <v>1884</v>
      </c>
      <c r="D98" s="8">
        <v>45402</v>
      </c>
      <c r="E98" s="9" t="str">
        <f>+HYPERLINK("http://trademark.i-assist.jp/data/china/image_1884th/75873270.pdf", "75873270")</f>
        <v>75873270</v>
      </c>
      <c r="F98" s="6" t="s">
        <v>295</v>
      </c>
      <c r="G98" s="6" t="s">
        <v>294</v>
      </c>
      <c r="H98" s="8" t="s">
        <v>296</v>
      </c>
      <c r="I98" s="14">
        <v>45279</v>
      </c>
    </row>
    <row r="99" spans="1:9" x14ac:dyDescent="0.15">
      <c r="A99" s="5">
        <v>98</v>
      </c>
      <c r="B99" s="6" t="s">
        <v>9</v>
      </c>
      <c r="C99" s="7">
        <v>1884</v>
      </c>
      <c r="D99" s="8">
        <v>45402</v>
      </c>
      <c r="E99" s="9" t="str">
        <f>+HYPERLINK("http://trademark.i-assist.jp/data/china/image_1884th/75873540.pdf", "75873540")</f>
        <v>75873540</v>
      </c>
      <c r="F99" s="6" t="s">
        <v>298</v>
      </c>
      <c r="G99" s="6" t="s">
        <v>297</v>
      </c>
      <c r="H99" s="8" t="s">
        <v>299</v>
      </c>
      <c r="I99" s="14">
        <v>45279</v>
      </c>
    </row>
    <row r="100" spans="1:9" x14ac:dyDescent="0.15">
      <c r="A100" s="5">
        <v>99</v>
      </c>
      <c r="B100" s="6" t="s">
        <v>9</v>
      </c>
      <c r="C100" s="7">
        <v>1884</v>
      </c>
      <c r="D100" s="8">
        <v>45402</v>
      </c>
      <c r="E100" s="9" t="str">
        <f>+HYPERLINK("http://trademark.i-assist.jp/data/china/image_1884th/75874937.pdf", "75874937")</f>
        <v>75874937</v>
      </c>
      <c r="F100" s="6" t="s">
        <v>301</v>
      </c>
      <c r="G100" s="6" t="s">
        <v>300</v>
      </c>
      <c r="H100" s="8" t="s">
        <v>302</v>
      </c>
      <c r="I100" s="14">
        <v>45279</v>
      </c>
    </row>
    <row r="101" spans="1:9" x14ac:dyDescent="0.15">
      <c r="A101" s="5">
        <v>100</v>
      </c>
      <c r="B101" s="6" t="s">
        <v>9</v>
      </c>
      <c r="C101" s="7">
        <v>1884</v>
      </c>
      <c r="D101" s="8">
        <v>45402</v>
      </c>
      <c r="E101" s="9" t="str">
        <f>+HYPERLINK("http://trademark.i-assist.jp/data/china/image_1884th/75877204.pdf", "75877204")</f>
        <v>75877204</v>
      </c>
      <c r="F101" s="6" t="s">
        <v>301</v>
      </c>
      <c r="G101" s="6" t="s">
        <v>300</v>
      </c>
      <c r="H101" s="8" t="s">
        <v>303</v>
      </c>
      <c r="I101" s="14">
        <v>45279</v>
      </c>
    </row>
    <row r="102" spans="1:9" x14ac:dyDescent="0.15">
      <c r="A102" s="5">
        <v>101</v>
      </c>
      <c r="B102" s="6" t="s">
        <v>9</v>
      </c>
      <c r="C102" s="7">
        <v>1884</v>
      </c>
      <c r="D102" s="8">
        <v>45402</v>
      </c>
      <c r="E102" s="9" t="str">
        <f>+HYPERLINK("http://trademark.i-assist.jp/data/china/image_1884th/75879373.pdf", "75879373")</f>
        <v>75879373</v>
      </c>
      <c r="F102" s="6" t="s">
        <v>305</v>
      </c>
      <c r="G102" s="6" t="s">
        <v>304</v>
      </c>
      <c r="H102" s="8" t="s">
        <v>306</v>
      </c>
      <c r="I102" s="14">
        <v>45279</v>
      </c>
    </row>
    <row r="103" spans="1:9" x14ac:dyDescent="0.15">
      <c r="A103" s="5">
        <v>102</v>
      </c>
      <c r="B103" s="6" t="s">
        <v>9</v>
      </c>
      <c r="C103" s="7">
        <v>1884</v>
      </c>
      <c r="D103" s="8">
        <v>45402</v>
      </c>
      <c r="E103" s="9" t="str">
        <f>+HYPERLINK("http://trademark.i-assist.jp/data/china/image_1884th/75879385.pdf", "75879385")</f>
        <v>75879385</v>
      </c>
      <c r="F103" s="6" t="s">
        <v>307</v>
      </c>
      <c r="G103" s="6" t="s">
        <v>304</v>
      </c>
      <c r="H103" s="8" t="s">
        <v>308</v>
      </c>
      <c r="I103" s="14">
        <v>45279</v>
      </c>
    </row>
    <row r="104" spans="1:9" x14ac:dyDescent="0.15">
      <c r="A104" s="5">
        <v>103</v>
      </c>
      <c r="B104" s="6" t="s">
        <v>9</v>
      </c>
      <c r="C104" s="7">
        <v>1884</v>
      </c>
      <c r="D104" s="8">
        <v>45402</v>
      </c>
      <c r="E104" s="9" t="str">
        <f>+HYPERLINK("http://trademark.i-assist.jp/data/china/image_1884th/75882738.pdf", "75882738")</f>
        <v>75882738</v>
      </c>
      <c r="F104" s="6" t="s">
        <v>301</v>
      </c>
      <c r="G104" s="6" t="s">
        <v>300</v>
      </c>
      <c r="H104" s="8" t="s">
        <v>309</v>
      </c>
      <c r="I104" s="14">
        <v>45279</v>
      </c>
    </row>
    <row r="105" spans="1:9" x14ac:dyDescent="0.15">
      <c r="A105" s="5">
        <v>104</v>
      </c>
      <c r="B105" s="6" t="s">
        <v>9</v>
      </c>
      <c r="C105" s="7">
        <v>1884</v>
      </c>
      <c r="D105" s="8">
        <v>45402</v>
      </c>
      <c r="E105" s="9" t="str">
        <f>+HYPERLINK("http://trademark.i-assist.jp/data/china/image_1884th/75882750A.pdf", "75882750A")</f>
        <v>75882750A</v>
      </c>
      <c r="F105" s="6" t="s">
        <v>311</v>
      </c>
      <c r="G105" s="6" t="s">
        <v>310</v>
      </c>
      <c r="H105" s="8" t="s">
        <v>312</v>
      </c>
      <c r="I105" s="14">
        <v>45279</v>
      </c>
    </row>
    <row r="106" spans="1:9" x14ac:dyDescent="0.15">
      <c r="A106" s="5">
        <v>105</v>
      </c>
      <c r="B106" s="6" t="s">
        <v>9</v>
      </c>
      <c r="C106" s="7">
        <v>1884</v>
      </c>
      <c r="D106" s="8">
        <v>45402</v>
      </c>
      <c r="E106" s="9" t="str">
        <f>+HYPERLINK("http://trademark.i-assist.jp/data/china/image_1884th/75883258.pdf", "75883258")</f>
        <v>75883258</v>
      </c>
      <c r="F106" s="6" t="s">
        <v>314</v>
      </c>
      <c r="G106" s="6" t="s">
        <v>313</v>
      </c>
      <c r="H106" s="8" t="s">
        <v>315</v>
      </c>
      <c r="I106" s="14">
        <v>45279</v>
      </c>
    </row>
    <row r="107" spans="1:9" x14ac:dyDescent="0.15">
      <c r="A107" s="5">
        <v>106</v>
      </c>
      <c r="B107" s="6" t="s">
        <v>9</v>
      </c>
      <c r="C107" s="7">
        <v>1884</v>
      </c>
      <c r="D107" s="8">
        <v>45402</v>
      </c>
      <c r="E107" s="9" t="str">
        <f>+HYPERLINK("http://trademark.i-assist.jp/data/china/image_1884th/75888239.pdf", "75888239")</f>
        <v>75888239</v>
      </c>
      <c r="F107" s="6" t="s">
        <v>317</v>
      </c>
      <c r="G107" s="6" t="s">
        <v>316</v>
      </c>
      <c r="H107" s="8" t="s">
        <v>318</v>
      </c>
      <c r="I107" s="14">
        <v>45279</v>
      </c>
    </row>
    <row r="108" spans="1:9" x14ac:dyDescent="0.15">
      <c r="A108" s="5">
        <v>107</v>
      </c>
      <c r="B108" s="6" t="s">
        <v>9</v>
      </c>
      <c r="C108" s="7">
        <v>1884</v>
      </c>
      <c r="D108" s="8">
        <v>45402</v>
      </c>
      <c r="E108" s="9" t="str">
        <f>+HYPERLINK("http://trademark.i-assist.jp/data/china/image_1884th/75888876.pdf", "75888876")</f>
        <v>75888876</v>
      </c>
      <c r="F108" s="6" t="s">
        <v>320</v>
      </c>
      <c r="G108" s="6" t="s">
        <v>319</v>
      </c>
      <c r="H108" s="8" t="s">
        <v>321</v>
      </c>
      <c r="I108" s="14">
        <v>45279</v>
      </c>
    </row>
    <row r="109" spans="1:9" x14ac:dyDescent="0.15">
      <c r="A109" s="5">
        <v>108</v>
      </c>
      <c r="B109" s="6" t="s">
        <v>9</v>
      </c>
      <c r="C109" s="7">
        <v>1884</v>
      </c>
      <c r="D109" s="8">
        <v>45402</v>
      </c>
      <c r="E109" s="9" t="str">
        <f>+HYPERLINK("http://trademark.i-assist.jp/data/china/image_1884th/75889788.pdf", "75889788")</f>
        <v>75889788</v>
      </c>
      <c r="F109" s="6" t="s">
        <v>323</v>
      </c>
      <c r="G109" s="6" t="s">
        <v>322</v>
      </c>
      <c r="H109" s="8" t="s">
        <v>324</v>
      </c>
      <c r="I109" s="14">
        <v>45279</v>
      </c>
    </row>
    <row r="110" spans="1:9" x14ac:dyDescent="0.15">
      <c r="A110" s="5">
        <v>109</v>
      </c>
      <c r="B110" s="6" t="s">
        <v>9</v>
      </c>
      <c r="C110" s="7">
        <v>1884</v>
      </c>
      <c r="D110" s="8">
        <v>45402</v>
      </c>
      <c r="E110" s="9" t="str">
        <f>+HYPERLINK("http://trademark.i-assist.jp/data/china/image_1884th/75891997.pdf", "75891997")</f>
        <v>75891997</v>
      </c>
      <c r="F110" s="6" t="s">
        <v>326</v>
      </c>
      <c r="G110" s="6" t="s">
        <v>325</v>
      </c>
      <c r="H110" s="8" t="s">
        <v>327</v>
      </c>
      <c r="I110" s="14">
        <v>45279</v>
      </c>
    </row>
    <row r="111" spans="1:9" x14ac:dyDescent="0.15">
      <c r="A111" s="5">
        <v>110</v>
      </c>
      <c r="B111" s="6" t="s">
        <v>9</v>
      </c>
      <c r="C111" s="7">
        <v>1884</v>
      </c>
      <c r="D111" s="8">
        <v>45402</v>
      </c>
      <c r="E111" s="9" t="str">
        <f>+HYPERLINK("http://trademark.i-assist.jp/data/china/image_1884th/75893234.pdf", "75893234")</f>
        <v>75893234</v>
      </c>
      <c r="F111" s="6" t="s">
        <v>329</v>
      </c>
      <c r="G111" s="6" t="s">
        <v>328</v>
      </c>
      <c r="H111" s="8" t="s">
        <v>330</v>
      </c>
      <c r="I111" s="14">
        <v>45279</v>
      </c>
    </row>
    <row r="112" spans="1:9" x14ac:dyDescent="0.15">
      <c r="A112" s="5">
        <v>111</v>
      </c>
      <c r="B112" s="6" t="s">
        <v>9</v>
      </c>
      <c r="C112" s="7">
        <v>1884</v>
      </c>
      <c r="D112" s="8">
        <v>45402</v>
      </c>
      <c r="E112" s="9" t="str">
        <f>+HYPERLINK("http://trademark.i-assist.jp/data/china/image_1884th/75917044.pdf", "75917044")</f>
        <v>75917044</v>
      </c>
      <c r="F112" s="6" t="s">
        <v>332</v>
      </c>
      <c r="G112" s="6" t="s">
        <v>331</v>
      </c>
      <c r="H112" s="8" t="s">
        <v>333</v>
      </c>
      <c r="I112" s="14">
        <v>45280</v>
      </c>
    </row>
    <row r="113" spans="1:9" x14ac:dyDescent="0.15">
      <c r="A113" s="5">
        <v>112</v>
      </c>
      <c r="B113" s="6" t="s">
        <v>9</v>
      </c>
      <c r="C113" s="7">
        <v>1884</v>
      </c>
      <c r="D113" s="8">
        <v>45402</v>
      </c>
      <c r="E113" s="9" t="str">
        <f>+HYPERLINK("http://trademark.i-assist.jp/data/china/image_1884th/75932526.pdf", "75932526")</f>
        <v>75932526</v>
      </c>
      <c r="F113" s="6" t="s">
        <v>335</v>
      </c>
      <c r="G113" s="6" t="s">
        <v>334</v>
      </c>
      <c r="H113" s="8" t="s">
        <v>336</v>
      </c>
      <c r="I113" s="14">
        <v>45281</v>
      </c>
    </row>
    <row r="114" spans="1:9" x14ac:dyDescent="0.15">
      <c r="A114" s="5">
        <v>113</v>
      </c>
      <c r="B114" s="6" t="s">
        <v>9</v>
      </c>
      <c r="C114" s="7">
        <v>1884</v>
      </c>
      <c r="D114" s="8">
        <v>45402</v>
      </c>
      <c r="E114" s="9" t="str">
        <f>+HYPERLINK("http://trademark.i-assist.jp/data/china/image_1884th/75943592.pdf", "75943592")</f>
        <v>75943592</v>
      </c>
      <c r="F114" s="6" t="s">
        <v>338</v>
      </c>
      <c r="G114" s="6" t="s">
        <v>337</v>
      </c>
      <c r="H114" s="8" t="s">
        <v>339</v>
      </c>
      <c r="I114" s="14">
        <v>45281</v>
      </c>
    </row>
    <row r="115" spans="1:9" x14ac:dyDescent="0.15">
      <c r="A115" s="5">
        <v>114</v>
      </c>
      <c r="B115" s="6" t="s">
        <v>9</v>
      </c>
      <c r="C115" s="7">
        <v>1884</v>
      </c>
      <c r="D115" s="8">
        <v>45402</v>
      </c>
      <c r="E115" s="9" t="str">
        <f>+HYPERLINK("http://trademark.i-assist.jp/data/china/image_1884th/75948774.pdf", "75948774")</f>
        <v>75948774</v>
      </c>
      <c r="F115" s="6" t="s">
        <v>167</v>
      </c>
      <c r="G115" s="6" t="s">
        <v>340</v>
      </c>
      <c r="H115" s="8" t="s">
        <v>341</v>
      </c>
      <c r="I115" s="14">
        <v>45282</v>
      </c>
    </row>
    <row r="116" spans="1:9" x14ac:dyDescent="0.15">
      <c r="A116" s="5">
        <v>115</v>
      </c>
      <c r="B116" s="6" t="s">
        <v>9</v>
      </c>
      <c r="C116" s="7">
        <v>1884</v>
      </c>
      <c r="D116" s="8">
        <v>45402</v>
      </c>
      <c r="E116" s="9" t="str">
        <f>+HYPERLINK("http://trademark.i-assist.jp/data/china/image_1884th/75949180.pdf", "75949180")</f>
        <v>75949180</v>
      </c>
      <c r="F116" s="6" t="s">
        <v>343</v>
      </c>
      <c r="G116" s="6" t="s">
        <v>342</v>
      </c>
      <c r="H116" s="8" t="s">
        <v>344</v>
      </c>
      <c r="I116" s="14">
        <v>45282</v>
      </c>
    </row>
    <row r="117" spans="1:9" x14ac:dyDescent="0.15">
      <c r="A117" s="5">
        <v>116</v>
      </c>
      <c r="B117" s="6" t="s">
        <v>9</v>
      </c>
      <c r="C117" s="7">
        <v>1884</v>
      </c>
      <c r="D117" s="8">
        <v>45402</v>
      </c>
      <c r="E117" s="9" t="str">
        <f>+HYPERLINK("http://trademark.i-assist.jp/data/china/image_1884th/75961076.pdf", "75961076")</f>
        <v>75961076</v>
      </c>
      <c r="F117" s="6" t="s">
        <v>346</v>
      </c>
      <c r="G117" s="6" t="s">
        <v>345</v>
      </c>
      <c r="H117" s="8" t="s">
        <v>347</v>
      </c>
      <c r="I117" s="14">
        <v>45282</v>
      </c>
    </row>
    <row r="118" spans="1:9" x14ac:dyDescent="0.15">
      <c r="A118" s="5">
        <v>117</v>
      </c>
      <c r="B118" s="6" t="s">
        <v>9</v>
      </c>
      <c r="C118" s="7">
        <v>1884</v>
      </c>
      <c r="D118" s="8">
        <v>45402</v>
      </c>
      <c r="E118" s="9" t="str">
        <f>+HYPERLINK("http://trademark.i-assist.jp/data/china/image_1884th/75963542.pdf", "75963542")</f>
        <v>75963542</v>
      </c>
      <c r="F118" s="6" t="s">
        <v>349</v>
      </c>
      <c r="G118" s="6" t="s">
        <v>348</v>
      </c>
      <c r="H118" s="8" t="s">
        <v>350</v>
      </c>
      <c r="I118" s="14">
        <v>45282</v>
      </c>
    </row>
    <row r="119" spans="1:9" x14ac:dyDescent="0.15">
      <c r="A119" s="5">
        <v>118</v>
      </c>
      <c r="B119" s="6" t="s">
        <v>9</v>
      </c>
      <c r="C119" s="7">
        <v>1884</v>
      </c>
      <c r="D119" s="8">
        <v>45402</v>
      </c>
      <c r="E119" s="9" t="str">
        <f>+HYPERLINK("http://trademark.i-assist.jp/data/china/image_1884th/75965540.pdf", "75965540")</f>
        <v>75965540</v>
      </c>
      <c r="F119" s="6" t="s">
        <v>351</v>
      </c>
      <c r="G119" s="6" t="s">
        <v>348</v>
      </c>
      <c r="H119" s="8" t="s">
        <v>352</v>
      </c>
      <c r="I119" s="14">
        <v>45282</v>
      </c>
    </row>
    <row r="120" spans="1:9" x14ac:dyDescent="0.15">
      <c r="A120" s="5">
        <v>119</v>
      </c>
      <c r="B120" s="6" t="s">
        <v>9</v>
      </c>
      <c r="C120" s="7">
        <v>1884</v>
      </c>
      <c r="D120" s="8">
        <v>45402</v>
      </c>
      <c r="E120" s="9" t="str">
        <f>+HYPERLINK("http://trademark.i-assist.jp/data/china/image_1884th/75968946.pdf", "75968946")</f>
        <v>75968946</v>
      </c>
      <c r="F120" s="6" t="s">
        <v>354</v>
      </c>
      <c r="G120" s="6" t="s">
        <v>353</v>
      </c>
      <c r="H120" s="8" t="s">
        <v>355</v>
      </c>
      <c r="I120" s="14">
        <v>45282</v>
      </c>
    </row>
    <row r="121" spans="1:9" x14ac:dyDescent="0.15">
      <c r="A121" s="5">
        <v>120</v>
      </c>
      <c r="B121" s="6" t="s">
        <v>9</v>
      </c>
      <c r="C121" s="7">
        <v>1884</v>
      </c>
      <c r="D121" s="8">
        <v>45402</v>
      </c>
      <c r="E121" s="9" t="str">
        <f>+HYPERLINK("http://trademark.i-assist.jp/data/china/image_1884th/75969096.pdf", "75969096")</f>
        <v>75969096</v>
      </c>
      <c r="F121" s="6" t="s">
        <v>356</v>
      </c>
      <c r="G121" s="6" t="s">
        <v>348</v>
      </c>
      <c r="H121" s="8" t="s">
        <v>357</v>
      </c>
      <c r="I121" s="14">
        <v>45282</v>
      </c>
    </row>
    <row r="122" spans="1:9" x14ac:dyDescent="0.15">
      <c r="A122" s="5">
        <v>121</v>
      </c>
      <c r="B122" s="6" t="s">
        <v>9</v>
      </c>
      <c r="C122" s="7">
        <v>1884</v>
      </c>
      <c r="D122" s="8">
        <v>45402</v>
      </c>
      <c r="E122" s="9" t="str">
        <f>+HYPERLINK("http://trademark.i-assist.jp/data/china/image_1884th/75977972.pdf", "75977972")</f>
        <v>75977972</v>
      </c>
      <c r="F122" s="6" t="s">
        <v>359</v>
      </c>
      <c r="G122" s="6" t="s">
        <v>358</v>
      </c>
      <c r="H122" s="8" t="s">
        <v>360</v>
      </c>
      <c r="I122" s="14">
        <v>45283</v>
      </c>
    </row>
    <row r="123" spans="1:9" x14ac:dyDescent="0.15">
      <c r="A123" s="5">
        <v>122</v>
      </c>
      <c r="B123" s="6" t="s">
        <v>9</v>
      </c>
      <c r="C123" s="7">
        <v>1884</v>
      </c>
      <c r="D123" s="8">
        <v>45402</v>
      </c>
      <c r="E123" s="9" t="str">
        <f>+HYPERLINK("http://trademark.i-assist.jp/data/china/image_1884th/75983499.pdf", "75983499")</f>
        <v>75983499</v>
      </c>
      <c r="F123" s="6" t="s">
        <v>362</v>
      </c>
      <c r="G123" s="6" t="s">
        <v>361</v>
      </c>
      <c r="H123" s="8" t="s">
        <v>363</v>
      </c>
      <c r="I123" s="14">
        <v>45284</v>
      </c>
    </row>
    <row r="124" spans="1:9" x14ac:dyDescent="0.15">
      <c r="A124" s="5">
        <v>123</v>
      </c>
      <c r="B124" s="6" t="s">
        <v>9</v>
      </c>
      <c r="C124" s="7">
        <v>1884</v>
      </c>
      <c r="D124" s="8">
        <v>45402</v>
      </c>
      <c r="E124" s="9" t="str">
        <f>+HYPERLINK("http://trademark.i-assist.jp/data/china/image_1884th/75986204.pdf", "75986204")</f>
        <v>75986204</v>
      </c>
      <c r="F124" s="6" t="s">
        <v>365</v>
      </c>
      <c r="G124" s="6" t="s">
        <v>364</v>
      </c>
      <c r="H124" s="8" t="s">
        <v>366</v>
      </c>
      <c r="I124" s="14">
        <v>45285</v>
      </c>
    </row>
    <row r="125" spans="1:9" x14ac:dyDescent="0.15">
      <c r="A125" s="5">
        <v>124</v>
      </c>
      <c r="B125" s="6" t="s">
        <v>9</v>
      </c>
      <c r="C125" s="7">
        <v>1884</v>
      </c>
      <c r="D125" s="8">
        <v>45402</v>
      </c>
      <c r="E125" s="9" t="str">
        <f>+HYPERLINK("http://trademark.i-assist.jp/data/china/image_1884th/75991013.pdf", "75991013")</f>
        <v>75991013</v>
      </c>
      <c r="F125" s="6" t="s">
        <v>368</v>
      </c>
      <c r="G125" s="6" t="s">
        <v>367</v>
      </c>
      <c r="H125" s="8" t="s">
        <v>369</v>
      </c>
      <c r="I125" s="14">
        <v>45285</v>
      </c>
    </row>
    <row r="126" spans="1:9" x14ac:dyDescent="0.15">
      <c r="A126" s="5">
        <v>125</v>
      </c>
      <c r="B126" s="6" t="s">
        <v>9</v>
      </c>
      <c r="C126" s="7">
        <v>1884</v>
      </c>
      <c r="D126" s="8">
        <v>45402</v>
      </c>
      <c r="E126" s="9" t="str">
        <f>+HYPERLINK("http://trademark.i-assist.jp/data/china/image_1884th/75996156.pdf", "75996156")</f>
        <v>75996156</v>
      </c>
      <c r="F126" s="6" t="s">
        <v>371</v>
      </c>
      <c r="G126" s="6" t="s">
        <v>370</v>
      </c>
      <c r="H126" s="8" t="s">
        <v>372</v>
      </c>
      <c r="I126" s="14">
        <v>45285</v>
      </c>
    </row>
    <row r="127" spans="1:9" x14ac:dyDescent="0.15">
      <c r="A127" s="5">
        <v>126</v>
      </c>
      <c r="B127" s="6" t="s">
        <v>9</v>
      </c>
      <c r="C127" s="7">
        <v>1884</v>
      </c>
      <c r="D127" s="8">
        <v>45402</v>
      </c>
      <c r="E127" s="9" t="str">
        <f>+HYPERLINK("http://trademark.i-assist.jp/data/china/image_1884th/76011131.pdf", "76011131")</f>
        <v>76011131</v>
      </c>
      <c r="F127" s="6" t="s">
        <v>374</v>
      </c>
      <c r="G127" s="6" t="s">
        <v>373</v>
      </c>
      <c r="H127" s="8" t="s">
        <v>375</v>
      </c>
      <c r="I127" s="14">
        <v>45286</v>
      </c>
    </row>
    <row r="128" spans="1:9" x14ac:dyDescent="0.15">
      <c r="A128" s="5">
        <v>127</v>
      </c>
      <c r="B128" s="6" t="s">
        <v>9</v>
      </c>
      <c r="C128" s="7">
        <v>1884</v>
      </c>
      <c r="D128" s="8">
        <v>45402</v>
      </c>
      <c r="E128" s="9" t="str">
        <f>+HYPERLINK("http://trademark.i-assist.jp/data/china/image_1884th/76016109.pdf", "76016109")</f>
        <v>76016109</v>
      </c>
      <c r="F128" s="6" t="s">
        <v>377</v>
      </c>
      <c r="G128" s="6" t="s">
        <v>376</v>
      </c>
      <c r="H128" s="8" t="s">
        <v>378</v>
      </c>
      <c r="I128" s="14">
        <v>45286</v>
      </c>
    </row>
    <row r="129" spans="1:9" x14ac:dyDescent="0.15">
      <c r="A129" s="5">
        <v>128</v>
      </c>
      <c r="B129" s="6" t="s">
        <v>9</v>
      </c>
      <c r="C129" s="7">
        <v>1884</v>
      </c>
      <c r="D129" s="8">
        <v>45402</v>
      </c>
      <c r="E129" s="9" t="str">
        <f>+HYPERLINK("http://trademark.i-assist.jp/data/china/image_1884th/76016298.pdf", "76016298")</f>
        <v>76016298</v>
      </c>
      <c r="F129" s="6" t="s">
        <v>380</v>
      </c>
      <c r="G129" s="6" t="s">
        <v>379</v>
      </c>
      <c r="H129" s="8" t="s">
        <v>381</v>
      </c>
      <c r="I129" s="14">
        <v>45286</v>
      </c>
    </row>
    <row r="130" spans="1:9" x14ac:dyDescent="0.15">
      <c r="A130" s="5">
        <v>129</v>
      </c>
      <c r="B130" s="6" t="s">
        <v>9</v>
      </c>
      <c r="C130" s="7">
        <v>1884</v>
      </c>
      <c r="D130" s="8">
        <v>45402</v>
      </c>
      <c r="E130" s="9" t="str">
        <f>+HYPERLINK("http://trademark.i-assist.jp/data/china/image_1884th/76019616.pdf", "76019616")</f>
        <v>76019616</v>
      </c>
      <c r="F130" s="6" t="s">
        <v>383</v>
      </c>
      <c r="G130" s="6" t="s">
        <v>382</v>
      </c>
      <c r="H130" s="8" t="s">
        <v>384</v>
      </c>
      <c r="I130" s="14">
        <v>45286</v>
      </c>
    </row>
    <row r="131" spans="1:9" x14ac:dyDescent="0.15">
      <c r="A131" s="5">
        <v>130</v>
      </c>
      <c r="B131" s="6" t="s">
        <v>9</v>
      </c>
      <c r="C131" s="7">
        <v>1884</v>
      </c>
      <c r="D131" s="8">
        <v>45402</v>
      </c>
      <c r="E131" s="9" t="str">
        <f>+HYPERLINK("http://trademark.i-assist.jp/data/china/image_1884th/76021845.pdf", "76021845")</f>
        <v>76021845</v>
      </c>
      <c r="F131" s="6" t="s">
        <v>386</v>
      </c>
      <c r="G131" s="6" t="s">
        <v>385</v>
      </c>
      <c r="H131" s="8" t="s">
        <v>387</v>
      </c>
      <c r="I131" s="14">
        <v>45286</v>
      </c>
    </row>
    <row r="132" spans="1:9" x14ac:dyDescent="0.15">
      <c r="A132" s="5">
        <v>131</v>
      </c>
      <c r="B132" s="6" t="s">
        <v>9</v>
      </c>
      <c r="C132" s="7">
        <v>1884</v>
      </c>
      <c r="D132" s="8">
        <v>45402</v>
      </c>
      <c r="E132" s="9" t="str">
        <f>+HYPERLINK("http://trademark.i-assist.jp/data/china/image_1884th/76024359.pdf", "76024359")</f>
        <v>76024359</v>
      </c>
      <c r="F132" s="6" t="s">
        <v>388</v>
      </c>
      <c r="G132" s="6" t="s">
        <v>276</v>
      </c>
      <c r="H132" s="8" t="s">
        <v>389</v>
      </c>
      <c r="I132" s="14">
        <v>45286</v>
      </c>
    </row>
    <row r="133" spans="1:9" x14ac:dyDescent="0.15">
      <c r="A133" s="5">
        <v>132</v>
      </c>
      <c r="B133" s="6" t="s">
        <v>9</v>
      </c>
      <c r="C133" s="7">
        <v>1884</v>
      </c>
      <c r="D133" s="8">
        <v>45402</v>
      </c>
      <c r="E133" s="9" t="str">
        <f>+HYPERLINK("http://trademark.i-assist.jp/data/china/image_1884th/76025426.pdf", "76025426")</f>
        <v>76025426</v>
      </c>
      <c r="F133" s="6" t="s">
        <v>390</v>
      </c>
      <c r="G133" s="6" t="s">
        <v>342</v>
      </c>
      <c r="H133" s="8" t="s">
        <v>391</v>
      </c>
      <c r="I133" s="14">
        <v>45286</v>
      </c>
    </row>
    <row r="134" spans="1:9" x14ac:dyDescent="0.15">
      <c r="A134" s="5">
        <v>133</v>
      </c>
      <c r="B134" s="6" t="s">
        <v>9</v>
      </c>
      <c r="C134" s="7">
        <v>1884</v>
      </c>
      <c r="D134" s="8">
        <v>45402</v>
      </c>
      <c r="E134" s="9" t="str">
        <f>+HYPERLINK("http://trademark.i-assist.jp/data/china/image_1884th/76028659.pdf", "76028659")</f>
        <v>76028659</v>
      </c>
      <c r="F134" s="6" t="s">
        <v>393</v>
      </c>
      <c r="G134" s="6" t="s">
        <v>392</v>
      </c>
      <c r="H134" s="8" t="s">
        <v>394</v>
      </c>
      <c r="I134" s="14">
        <v>45286</v>
      </c>
    </row>
    <row r="135" spans="1:9" x14ac:dyDescent="0.15">
      <c r="A135" s="5">
        <v>134</v>
      </c>
      <c r="B135" s="6" t="s">
        <v>9</v>
      </c>
      <c r="C135" s="7">
        <v>1884</v>
      </c>
      <c r="D135" s="8">
        <v>45402</v>
      </c>
      <c r="E135" s="9" t="str">
        <f>+HYPERLINK("http://trademark.i-assist.jp/data/china/image_1884th/76031527.pdf", "76031527")</f>
        <v>76031527</v>
      </c>
      <c r="F135" s="6" t="s">
        <v>396</v>
      </c>
      <c r="G135" s="6" t="s">
        <v>395</v>
      </c>
      <c r="H135" s="8" t="s">
        <v>397</v>
      </c>
      <c r="I135" s="14">
        <v>45286</v>
      </c>
    </row>
    <row r="136" spans="1:9" x14ac:dyDescent="0.15">
      <c r="A136" s="5">
        <v>135</v>
      </c>
      <c r="B136" s="6" t="s">
        <v>9</v>
      </c>
      <c r="C136" s="7">
        <v>1884</v>
      </c>
      <c r="D136" s="8">
        <v>45402</v>
      </c>
      <c r="E136" s="9" t="str">
        <f>+HYPERLINK("http://trademark.i-assist.jp/data/china/image_1884th/76035036.pdf", "76035036")</f>
        <v>76035036</v>
      </c>
      <c r="F136" s="6" t="s">
        <v>398</v>
      </c>
      <c r="G136" s="6" t="s">
        <v>392</v>
      </c>
      <c r="H136" s="8" t="s">
        <v>399</v>
      </c>
      <c r="I136" s="14">
        <v>45286</v>
      </c>
    </row>
    <row r="137" spans="1:9" x14ac:dyDescent="0.15">
      <c r="A137" s="5">
        <v>136</v>
      </c>
      <c r="B137" s="6" t="s">
        <v>9</v>
      </c>
      <c r="C137" s="7">
        <v>1884</v>
      </c>
      <c r="D137" s="8">
        <v>45402</v>
      </c>
      <c r="E137" s="9" t="str">
        <f>+HYPERLINK("http://trademark.i-assist.jp/data/china/image_1884th/76035698.pdf", "76035698")</f>
        <v>76035698</v>
      </c>
      <c r="F137" s="6" t="s">
        <v>400</v>
      </c>
      <c r="G137" s="6" t="s">
        <v>395</v>
      </c>
      <c r="H137" s="8" t="s">
        <v>401</v>
      </c>
      <c r="I137" s="14">
        <v>45286</v>
      </c>
    </row>
    <row r="138" spans="1:9" x14ac:dyDescent="0.15">
      <c r="A138" s="5">
        <v>137</v>
      </c>
      <c r="B138" s="6" t="s">
        <v>9</v>
      </c>
      <c r="C138" s="7">
        <v>1884</v>
      </c>
      <c r="D138" s="8">
        <v>45402</v>
      </c>
      <c r="E138" s="9" t="str">
        <f>+HYPERLINK("http://trademark.i-assist.jp/data/china/image_1884th/76035801.pdf", "76035801")</f>
        <v>76035801</v>
      </c>
      <c r="F138" s="6" t="s">
        <v>403</v>
      </c>
      <c r="G138" s="6" t="s">
        <v>402</v>
      </c>
      <c r="H138" s="8" t="s">
        <v>404</v>
      </c>
      <c r="I138" s="14">
        <v>45286</v>
      </c>
    </row>
    <row r="139" spans="1:9" x14ac:dyDescent="0.15">
      <c r="A139" s="5">
        <v>138</v>
      </c>
      <c r="B139" s="6" t="s">
        <v>9</v>
      </c>
      <c r="C139" s="7">
        <v>1884</v>
      </c>
      <c r="D139" s="8">
        <v>45402</v>
      </c>
      <c r="E139" s="9" t="str">
        <f>+HYPERLINK("http://trademark.i-assist.jp/data/china/image_1884th/76037198.pdf", "76037198")</f>
        <v>76037198</v>
      </c>
      <c r="F139" s="6" t="s">
        <v>406</v>
      </c>
      <c r="G139" s="6" t="s">
        <v>405</v>
      </c>
      <c r="H139" s="8" t="s">
        <v>407</v>
      </c>
      <c r="I139" s="14">
        <v>45286</v>
      </c>
    </row>
    <row r="140" spans="1:9" x14ac:dyDescent="0.15">
      <c r="A140" s="5">
        <v>139</v>
      </c>
      <c r="B140" s="6" t="s">
        <v>9</v>
      </c>
      <c r="C140" s="7">
        <v>1884</v>
      </c>
      <c r="D140" s="8">
        <v>45402</v>
      </c>
      <c r="E140" s="9" t="str">
        <f>+HYPERLINK("http://trademark.i-assist.jp/data/china/image_1884th/76037508.pdf", "76037508")</f>
        <v>76037508</v>
      </c>
      <c r="F140" s="6" t="s">
        <v>409</v>
      </c>
      <c r="G140" s="6" t="s">
        <v>408</v>
      </c>
      <c r="H140" s="8" t="s">
        <v>410</v>
      </c>
      <c r="I140" s="14">
        <v>45287</v>
      </c>
    </row>
    <row r="141" spans="1:9" x14ac:dyDescent="0.15">
      <c r="A141" s="5">
        <v>140</v>
      </c>
      <c r="B141" s="6" t="s">
        <v>9</v>
      </c>
      <c r="C141" s="7">
        <v>1884</v>
      </c>
      <c r="D141" s="8">
        <v>45402</v>
      </c>
      <c r="E141" s="9" t="str">
        <f>+HYPERLINK("http://trademark.i-assist.jp/data/china/image_1884th/76049069.pdf", "76049069")</f>
        <v>76049069</v>
      </c>
      <c r="F141" s="6" t="s">
        <v>412</v>
      </c>
      <c r="G141" s="6" t="s">
        <v>411</v>
      </c>
      <c r="H141" s="8" t="s">
        <v>413</v>
      </c>
      <c r="I141" s="14">
        <v>45287</v>
      </c>
    </row>
    <row r="142" spans="1:9" x14ac:dyDescent="0.15">
      <c r="A142" s="5">
        <v>141</v>
      </c>
      <c r="B142" s="6" t="s">
        <v>9</v>
      </c>
      <c r="C142" s="7">
        <v>1884</v>
      </c>
      <c r="D142" s="8">
        <v>45402</v>
      </c>
      <c r="E142" s="9" t="str">
        <f>+HYPERLINK("http://trademark.i-assist.jp/data/china/image_1884th/76055509.pdf", "76055509")</f>
        <v>76055509</v>
      </c>
      <c r="F142" s="6" t="s">
        <v>415</v>
      </c>
      <c r="G142" s="6" t="s">
        <v>414</v>
      </c>
      <c r="H142" s="8" t="s">
        <v>416</v>
      </c>
      <c r="I142" s="14">
        <v>45287</v>
      </c>
    </row>
    <row r="143" spans="1:9" x14ac:dyDescent="0.15">
      <c r="A143" s="5">
        <v>142</v>
      </c>
      <c r="B143" s="6" t="s">
        <v>9</v>
      </c>
      <c r="C143" s="7">
        <v>1884</v>
      </c>
      <c r="D143" s="8">
        <v>45402</v>
      </c>
      <c r="E143" s="9" t="str">
        <f>+HYPERLINK("http://trademark.i-assist.jp/data/china/image_1884th/76063373.pdf", "76063373")</f>
        <v>76063373</v>
      </c>
      <c r="F143" s="6" t="s">
        <v>418</v>
      </c>
      <c r="G143" s="6" t="s">
        <v>417</v>
      </c>
      <c r="H143" s="8" t="s">
        <v>419</v>
      </c>
      <c r="I143" s="14">
        <v>45287</v>
      </c>
    </row>
    <row r="144" spans="1:9" x14ac:dyDescent="0.15">
      <c r="A144" s="5">
        <v>143</v>
      </c>
      <c r="B144" s="6" t="s">
        <v>9</v>
      </c>
      <c r="C144" s="7">
        <v>1884</v>
      </c>
      <c r="D144" s="8">
        <v>45402</v>
      </c>
      <c r="E144" s="9" t="str">
        <f>+HYPERLINK("http://trademark.i-assist.jp/data/china/image_1884th/76069156.pdf", "76069156")</f>
        <v>76069156</v>
      </c>
      <c r="F144" s="6" t="s">
        <v>421</v>
      </c>
      <c r="G144" s="6" t="s">
        <v>420</v>
      </c>
      <c r="H144" s="8" t="s">
        <v>422</v>
      </c>
      <c r="I144" s="14">
        <v>45288</v>
      </c>
    </row>
    <row r="145" spans="1:9" x14ac:dyDescent="0.15">
      <c r="A145" s="5">
        <v>144</v>
      </c>
      <c r="B145" s="6" t="s">
        <v>9</v>
      </c>
      <c r="C145" s="7">
        <v>1884</v>
      </c>
      <c r="D145" s="8">
        <v>45402</v>
      </c>
      <c r="E145" s="9" t="str">
        <f>+HYPERLINK("http://trademark.i-assist.jp/data/china/image_1884th/76077295.pdf", "76077295")</f>
        <v>76077295</v>
      </c>
      <c r="F145" s="6" t="s">
        <v>424</v>
      </c>
      <c r="G145" s="6" t="s">
        <v>423</v>
      </c>
      <c r="H145" s="8" t="s">
        <v>425</v>
      </c>
      <c r="I145" s="14">
        <v>45288</v>
      </c>
    </row>
    <row r="146" spans="1:9" x14ac:dyDescent="0.15">
      <c r="A146" s="5">
        <v>145</v>
      </c>
      <c r="B146" s="6" t="s">
        <v>9</v>
      </c>
      <c r="C146" s="7">
        <v>1884</v>
      </c>
      <c r="D146" s="8">
        <v>45402</v>
      </c>
      <c r="E146" s="9" t="str">
        <f>+HYPERLINK("http://trademark.i-assist.jp/data/china/image_1884th/76080136.pdf", "76080136")</f>
        <v>76080136</v>
      </c>
      <c r="F146" s="6" t="s">
        <v>427</v>
      </c>
      <c r="G146" s="6" t="s">
        <v>426</v>
      </c>
      <c r="H146" s="8" t="s">
        <v>428</v>
      </c>
      <c r="I146" s="14">
        <v>45288</v>
      </c>
    </row>
    <row r="147" spans="1:9" x14ac:dyDescent="0.15">
      <c r="A147" s="5">
        <v>146</v>
      </c>
      <c r="B147" s="6" t="s">
        <v>9</v>
      </c>
      <c r="C147" s="7">
        <v>1884</v>
      </c>
      <c r="D147" s="8">
        <v>45402</v>
      </c>
      <c r="E147" s="9" t="str">
        <f>+HYPERLINK("http://trademark.i-assist.jp/data/china/image_1884th/76081000.pdf", "76081000")</f>
        <v>76081000</v>
      </c>
      <c r="F147" s="6" t="s">
        <v>430</v>
      </c>
      <c r="G147" s="6" t="s">
        <v>429</v>
      </c>
      <c r="H147" s="8" t="s">
        <v>431</v>
      </c>
      <c r="I147" s="14">
        <v>45288</v>
      </c>
    </row>
    <row r="148" spans="1:9" x14ac:dyDescent="0.15">
      <c r="A148" s="5">
        <v>147</v>
      </c>
      <c r="B148" s="6" t="s">
        <v>9</v>
      </c>
      <c r="C148" s="7">
        <v>1884</v>
      </c>
      <c r="D148" s="8">
        <v>45402</v>
      </c>
      <c r="E148" s="9" t="str">
        <f>+HYPERLINK("http://trademark.i-assist.jp/data/china/image_1884th/76081138.pdf", "76081138")</f>
        <v>76081138</v>
      </c>
      <c r="F148" s="6" t="s">
        <v>432</v>
      </c>
      <c r="G148" s="6" t="s">
        <v>423</v>
      </c>
      <c r="H148" s="8" t="s">
        <v>433</v>
      </c>
      <c r="I148" s="14">
        <v>45288</v>
      </c>
    </row>
    <row r="149" spans="1:9" x14ac:dyDescent="0.15">
      <c r="A149" s="5">
        <v>148</v>
      </c>
      <c r="B149" s="6" t="s">
        <v>9</v>
      </c>
      <c r="C149" s="7">
        <v>1884</v>
      </c>
      <c r="D149" s="8">
        <v>45402</v>
      </c>
      <c r="E149" s="9" t="str">
        <f>+HYPERLINK("http://trademark.i-assist.jp/data/china/image_1884th/76082266.pdf", "76082266")</f>
        <v>76082266</v>
      </c>
      <c r="F149" s="6" t="s">
        <v>167</v>
      </c>
      <c r="G149" s="6" t="s">
        <v>434</v>
      </c>
      <c r="H149" s="8" t="s">
        <v>435</v>
      </c>
      <c r="I149" s="14">
        <v>45288</v>
      </c>
    </row>
    <row r="150" spans="1:9" x14ac:dyDescent="0.15">
      <c r="A150" s="5">
        <v>149</v>
      </c>
      <c r="B150" s="6" t="s">
        <v>9</v>
      </c>
      <c r="C150" s="7">
        <v>1884</v>
      </c>
      <c r="D150" s="8">
        <v>45402</v>
      </c>
      <c r="E150" s="9" t="str">
        <f>+HYPERLINK("http://trademark.i-assist.jp/data/china/image_1884th/76087349.pdf", "76087349")</f>
        <v>76087349</v>
      </c>
      <c r="F150" s="6" t="s">
        <v>437</v>
      </c>
      <c r="G150" s="6" t="s">
        <v>436</v>
      </c>
      <c r="H150" s="8" t="s">
        <v>438</v>
      </c>
      <c r="I150" s="14">
        <v>45288</v>
      </c>
    </row>
    <row r="151" spans="1:9" x14ac:dyDescent="0.15">
      <c r="A151" s="5">
        <v>150</v>
      </c>
      <c r="B151" s="6" t="s">
        <v>9</v>
      </c>
      <c r="C151" s="7">
        <v>1884</v>
      </c>
      <c r="D151" s="8">
        <v>45402</v>
      </c>
      <c r="E151" s="9" t="str">
        <f>+HYPERLINK("http://trademark.i-assist.jp/data/china/image_1884th/76088145.pdf", "76088145")</f>
        <v>76088145</v>
      </c>
      <c r="F151" s="6" t="s">
        <v>440</v>
      </c>
      <c r="G151" s="6" t="s">
        <v>439</v>
      </c>
      <c r="H151" s="8" t="s">
        <v>441</v>
      </c>
      <c r="I151" s="14">
        <v>45288</v>
      </c>
    </row>
    <row r="152" spans="1:9" x14ac:dyDescent="0.15">
      <c r="A152" s="5">
        <v>151</v>
      </c>
      <c r="B152" s="6" t="s">
        <v>9</v>
      </c>
      <c r="C152" s="7">
        <v>1884</v>
      </c>
      <c r="D152" s="8">
        <v>45402</v>
      </c>
      <c r="E152" s="9" t="str">
        <f>+HYPERLINK("http://trademark.i-assist.jp/data/china/image_1884th/76088955.pdf", "76088955")</f>
        <v>76088955</v>
      </c>
      <c r="F152" s="6" t="s">
        <v>443</v>
      </c>
      <c r="G152" s="6" t="s">
        <v>442</v>
      </c>
      <c r="H152" s="8" t="s">
        <v>444</v>
      </c>
      <c r="I152" s="14">
        <v>45288</v>
      </c>
    </row>
    <row r="153" spans="1:9" x14ac:dyDescent="0.15">
      <c r="A153" s="5">
        <v>152</v>
      </c>
      <c r="B153" s="6" t="s">
        <v>9</v>
      </c>
      <c r="C153" s="7">
        <v>1884</v>
      </c>
      <c r="D153" s="8">
        <v>45402</v>
      </c>
      <c r="E153" s="9" t="str">
        <f>+HYPERLINK("http://trademark.i-assist.jp/data/china/image_1884th/76089414.pdf", "76089414")</f>
        <v>76089414</v>
      </c>
      <c r="F153" s="6" t="s">
        <v>446</v>
      </c>
      <c r="G153" s="6" t="s">
        <v>445</v>
      </c>
      <c r="H153" s="8" t="s">
        <v>447</v>
      </c>
      <c r="I153" s="14">
        <v>45288</v>
      </c>
    </row>
    <row r="154" spans="1:9" x14ac:dyDescent="0.15">
      <c r="A154" s="5">
        <v>153</v>
      </c>
      <c r="B154" s="6" t="s">
        <v>9</v>
      </c>
      <c r="C154" s="7">
        <v>1884</v>
      </c>
      <c r="D154" s="8">
        <v>45402</v>
      </c>
      <c r="E154" s="9" t="str">
        <f>+HYPERLINK("http://trademark.i-assist.jp/data/china/image_1884th/76091031.pdf", "76091031")</f>
        <v>76091031</v>
      </c>
      <c r="F154" s="6" t="s">
        <v>449</v>
      </c>
      <c r="G154" s="6" t="s">
        <v>448</v>
      </c>
      <c r="H154" s="8" t="s">
        <v>450</v>
      </c>
      <c r="I154" s="14">
        <v>45288</v>
      </c>
    </row>
    <row r="155" spans="1:9" x14ac:dyDescent="0.15">
      <c r="A155" s="5">
        <v>154</v>
      </c>
      <c r="B155" s="6" t="s">
        <v>9</v>
      </c>
      <c r="C155" s="7">
        <v>1884</v>
      </c>
      <c r="D155" s="8">
        <v>45402</v>
      </c>
      <c r="E155" s="9" t="str">
        <f>+HYPERLINK("http://trademark.i-assist.jp/data/china/image_1884th/76096659.pdf", "76096659")</f>
        <v>76096659</v>
      </c>
      <c r="F155" s="6" t="s">
        <v>452</v>
      </c>
      <c r="G155" s="6" t="s">
        <v>451</v>
      </c>
      <c r="H155" s="8" t="s">
        <v>453</v>
      </c>
      <c r="I155" s="14">
        <v>45289</v>
      </c>
    </row>
    <row r="156" spans="1:9" x14ac:dyDescent="0.15">
      <c r="A156" s="5">
        <v>155</v>
      </c>
      <c r="B156" s="6" t="s">
        <v>9</v>
      </c>
      <c r="C156" s="7">
        <v>1884</v>
      </c>
      <c r="D156" s="8">
        <v>45402</v>
      </c>
      <c r="E156" s="9" t="str">
        <f>+HYPERLINK("http://trademark.i-assist.jp/data/china/image_1884th/76096754.pdf", "76096754")</f>
        <v>76096754</v>
      </c>
      <c r="F156" s="6" t="s">
        <v>455</v>
      </c>
      <c r="G156" s="6" t="s">
        <v>454</v>
      </c>
      <c r="H156" s="8" t="s">
        <v>456</v>
      </c>
      <c r="I156" s="14">
        <v>45289</v>
      </c>
    </row>
    <row r="157" spans="1:9" x14ac:dyDescent="0.15">
      <c r="A157" s="5">
        <v>156</v>
      </c>
      <c r="B157" s="6" t="s">
        <v>9</v>
      </c>
      <c r="C157" s="7">
        <v>1884</v>
      </c>
      <c r="D157" s="8">
        <v>45402</v>
      </c>
      <c r="E157" s="9" t="str">
        <f>+HYPERLINK("http://trademark.i-assist.jp/data/china/image_1884th/76104569.pdf", "76104569")</f>
        <v>76104569</v>
      </c>
      <c r="F157" s="6" t="s">
        <v>458</v>
      </c>
      <c r="G157" s="6" t="s">
        <v>457</v>
      </c>
      <c r="H157" s="8" t="s">
        <v>459</v>
      </c>
      <c r="I157" s="14">
        <v>45289</v>
      </c>
    </row>
    <row r="158" spans="1:9" x14ac:dyDescent="0.15">
      <c r="A158" s="5">
        <v>157</v>
      </c>
      <c r="B158" s="6" t="s">
        <v>9</v>
      </c>
      <c r="C158" s="7">
        <v>1884</v>
      </c>
      <c r="D158" s="8">
        <v>45402</v>
      </c>
      <c r="E158" s="9" t="str">
        <f>+HYPERLINK("http://trademark.i-assist.jp/data/china/image_1884th/76106270.pdf", "76106270")</f>
        <v>76106270</v>
      </c>
      <c r="F158" s="6" t="s">
        <v>461</v>
      </c>
      <c r="G158" s="6" t="s">
        <v>460</v>
      </c>
      <c r="H158" s="8" t="s">
        <v>462</v>
      </c>
      <c r="I158" s="14">
        <v>45289</v>
      </c>
    </row>
    <row r="159" spans="1:9" x14ac:dyDescent="0.15">
      <c r="A159" s="5">
        <v>158</v>
      </c>
      <c r="B159" s="6" t="s">
        <v>9</v>
      </c>
      <c r="C159" s="7">
        <v>1884</v>
      </c>
      <c r="D159" s="8">
        <v>45402</v>
      </c>
      <c r="E159" s="9" t="str">
        <f>+HYPERLINK("http://trademark.i-assist.jp/data/china/image_1884th/76108439.pdf", "76108439")</f>
        <v>76108439</v>
      </c>
      <c r="F159" s="6" t="s">
        <v>167</v>
      </c>
      <c r="G159" s="6" t="s">
        <v>463</v>
      </c>
      <c r="H159" s="8" t="s">
        <v>464</v>
      </c>
      <c r="I159" s="14">
        <v>45289</v>
      </c>
    </row>
    <row r="160" spans="1:9" x14ac:dyDescent="0.15">
      <c r="A160" s="5">
        <v>159</v>
      </c>
      <c r="B160" s="6" t="s">
        <v>9</v>
      </c>
      <c r="C160" s="7">
        <v>1884</v>
      </c>
      <c r="D160" s="8">
        <v>45402</v>
      </c>
      <c r="E160" s="9" t="str">
        <f>+HYPERLINK("http://trademark.i-assist.jp/data/china/image_1884th/76110931.pdf", "76110931")</f>
        <v>76110931</v>
      </c>
      <c r="F160" s="6" t="s">
        <v>466</v>
      </c>
      <c r="G160" s="6" t="s">
        <v>465</v>
      </c>
      <c r="H160" s="8" t="s">
        <v>467</v>
      </c>
      <c r="I160" s="14">
        <v>45289</v>
      </c>
    </row>
    <row r="161" spans="1:9" x14ac:dyDescent="0.15">
      <c r="A161" s="5">
        <v>160</v>
      </c>
      <c r="B161" s="6" t="s">
        <v>9</v>
      </c>
      <c r="C161" s="7">
        <v>1884</v>
      </c>
      <c r="D161" s="8">
        <v>45402</v>
      </c>
      <c r="E161" s="9" t="str">
        <f>+HYPERLINK("http://trademark.i-assist.jp/data/china/image_1884th/76111832.pdf", "76111832")</f>
        <v>76111832</v>
      </c>
      <c r="F161" s="6" t="s">
        <v>469</v>
      </c>
      <c r="G161" s="6" t="s">
        <v>468</v>
      </c>
      <c r="H161" s="8" t="s">
        <v>470</v>
      </c>
      <c r="I161" s="14">
        <v>45289</v>
      </c>
    </row>
    <row r="162" spans="1:9" x14ac:dyDescent="0.15">
      <c r="A162" s="5">
        <v>161</v>
      </c>
      <c r="B162" s="6" t="s">
        <v>9</v>
      </c>
      <c r="C162" s="7">
        <v>1884</v>
      </c>
      <c r="D162" s="8">
        <v>45402</v>
      </c>
      <c r="E162" s="9" t="str">
        <f>+HYPERLINK("http://trademark.i-assist.jp/data/china/image_1884th/76112522.pdf", "76112522")</f>
        <v>76112522</v>
      </c>
      <c r="F162" s="6" t="s">
        <v>472</v>
      </c>
      <c r="G162" s="6" t="s">
        <v>471</v>
      </c>
      <c r="H162" s="8" t="s">
        <v>473</v>
      </c>
      <c r="I162" s="14">
        <v>45289</v>
      </c>
    </row>
    <row r="163" spans="1:9" x14ac:dyDescent="0.15">
      <c r="A163" s="5">
        <v>162</v>
      </c>
      <c r="B163" s="6" t="s">
        <v>9</v>
      </c>
      <c r="C163" s="7">
        <v>1884</v>
      </c>
      <c r="D163" s="8">
        <v>45402</v>
      </c>
      <c r="E163" s="9" t="str">
        <f>+HYPERLINK("http://trademark.i-assist.jp/data/china/image_1884th/76114936.pdf", "76114936")</f>
        <v>76114936</v>
      </c>
      <c r="F163" s="6" t="s">
        <v>475</v>
      </c>
      <c r="G163" s="6" t="s">
        <v>474</v>
      </c>
      <c r="H163" s="8" t="s">
        <v>476</v>
      </c>
      <c r="I163" s="14">
        <v>45288</v>
      </c>
    </row>
    <row r="164" spans="1:9" x14ac:dyDescent="0.15">
      <c r="A164" s="5">
        <v>163</v>
      </c>
      <c r="B164" s="6" t="s">
        <v>9</v>
      </c>
      <c r="C164" s="7">
        <v>1884</v>
      </c>
      <c r="D164" s="8">
        <v>45402</v>
      </c>
      <c r="E164" s="9" t="str">
        <f>+HYPERLINK("http://trademark.i-assist.jp/data/china/image_1884th/76116840.pdf", "76116840")</f>
        <v>76116840</v>
      </c>
      <c r="F164" s="6" t="s">
        <v>478</v>
      </c>
      <c r="G164" s="6" t="s">
        <v>477</v>
      </c>
      <c r="H164" s="8" t="s">
        <v>479</v>
      </c>
      <c r="I164" s="14">
        <v>45289</v>
      </c>
    </row>
    <row r="165" spans="1:9" x14ac:dyDescent="0.15">
      <c r="A165" s="5">
        <v>164</v>
      </c>
      <c r="B165" s="6" t="s">
        <v>9</v>
      </c>
      <c r="C165" s="7">
        <v>1884</v>
      </c>
      <c r="D165" s="8">
        <v>45402</v>
      </c>
      <c r="E165" s="9" t="str">
        <f>+HYPERLINK("http://trademark.i-assist.jp/data/china/image_1884th/76124225.pdf", "76124225")</f>
        <v>76124225</v>
      </c>
      <c r="F165" s="6" t="s">
        <v>481</v>
      </c>
      <c r="G165" s="6" t="s">
        <v>480</v>
      </c>
      <c r="H165" s="8" t="s">
        <v>482</v>
      </c>
      <c r="I165" s="14">
        <v>45290</v>
      </c>
    </row>
    <row r="166" spans="1:9" x14ac:dyDescent="0.15">
      <c r="A166" s="5">
        <v>165</v>
      </c>
      <c r="B166" s="6" t="s">
        <v>9</v>
      </c>
      <c r="C166" s="7">
        <v>1884</v>
      </c>
      <c r="D166" s="8">
        <v>45402</v>
      </c>
      <c r="E166" s="9" t="str">
        <f>+HYPERLINK("http://trademark.i-assist.jp/data/china/image_1884th/76127724.pdf", "76127724")</f>
        <v>76127724</v>
      </c>
      <c r="F166" s="6" t="s">
        <v>483</v>
      </c>
      <c r="G166" s="6" t="s">
        <v>13</v>
      </c>
      <c r="H166" s="8" t="s">
        <v>484</v>
      </c>
      <c r="I166" s="14">
        <v>45291</v>
      </c>
    </row>
    <row r="167" spans="1:9" x14ac:dyDescent="0.15">
      <c r="A167" s="5">
        <v>166</v>
      </c>
      <c r="B167" s="6" t="s">
        <v>9</v>
      </c>
      <c r="C167" s="7">
        <v>1884</v>
      </c>
      <c r="D167" s="8">
        <v>45402</v>
      </c>
      <c r="E167" s="9" t="str">
        <f>+HYPERLINK("http://trademark.i-assist.jp/data/china/image_1884th/76133214.pdf", "76133214")</f>
        <v>76133214</v>
      </c>
      <c r="F167" s="6" t="s">
        <v>167</v>
      </c>
      <c r="G167" s="6" t="s">
        <v>485</v>
      </c>
      <c r="H167" s="8" t="s">
        <v>486</v>
      </c>
      <c r="I167" s="14">
        <v>45293</v>
      </c>
    </row>
    <row r="168" spans="1:9" x14ac:dyDescent="0.15">
      <c r="A168" s="5">
        <v>167</v>
      </c>
      <c r="B168" s="6" t="s">
        <v>9</v>
      </c>
      <c r="C168" s="7">
        <v>1884</v>
      </c>
      <c r="D168" s="8">
        <v>45402</v>
      </c>
      <c r="E168" s="9" t="str">
        <f>+HYPERLINK("http://trademark.i-assist.jp/data/china/image_1884th/76135885.pdf", "76135885")</f>
        <v>76135885</v>
      </c>
      <c r="F168" s="6" t="s">
        <v>488</v>
      </c>
      <c r="G168" s="6" t="s">
        <v>487</v>
      </c>
      <c r="H168" s="8" t="s">
        <v>489</v>
      </c>
      <c r="I168" s="14">
        <v>45293</v>
      </c>
    </row>
    <row r="169" spans="1:9" x14ac:dyDescent="0.15">
      <c r="A169" s="5">
        <v>168</v>
      </c>
      <c r="B169" s="6" t="s">
        <v>9</v>
      </c>
      <c r="C169" s="7">
        <v>1884</v>
      </c>
      <c r="D169" s="8">
        <v>45402</v>
      </c>
      <c r="E169" s="9" t="str">
        <f>+HYPERLINK("http://trademark.i-assist.jp/data/china/image_1884th/76142684.pdf", "76142684")</f>
        <v>76142684</v>
      </c>
      <c r="F169" s="6" t="s">
        <v>491</v>
      </c>
      <c r="G169" s="6" t="s">
        <v>490</v>
      </c>
      <c r="H169" s="8" t="s">
        <v>492</v>
      </c>
      <c r="I169" s="14">
        <v>45293</v>
      </c>
    </row>
    <row r="170" spans="1:9" x14ac:dyDescent="0.15">
      <c r="A170" s="5">
        <v>169</v>
      </c>
      <c r="B170" s="6" t="s">
        <v>9</v>
      </c>
      <c r="C170" s="7">
        <v>1884</v>
      </c>
      <c r="D170" s="8">
        <v>45402</v>
      </c>
      <c r="E170" s="9" t="str">
        <f>+HYPERLINK("http://trademark.i-assist.jp/data/china/image_1884th/76144658.pdf", "76144658")</f>
        <v>76144658</v>
      </c>
      <c r="F170" s="6" t="s">
        <v>494</v>
      </c>
      <c r="G170" s="6" t="s">
        <v>493</v>
      </c>
      <c r="H170" s="8" t="s">
        <v>495</v>
      </c>
      <c r="I170" s="14">
        <v>45293</v>
      </c>
    </row>
    <row r="171" spans="1:9" x14ac:dyDescent="0.15">
      <c r="A171" s="5">
        <v>170</v>
      </c>
      <c r="B171" s="6" t="s">
        <v>9</v>
      </c>
      <c r="C171" s="7">
        <v>1884</v>
      </c>
      <c r="D171" s="8">
        <v>45402</v>
      </c>
      <c r="E171" s="9" t="str">
        <f>+HYPERLINK("http://trademark.i-assist.jp/data/china/image_1884th/76145220.pdf", "76145220")</f>
        <v>76145220</v>
      </c>
      <c r="F171" s="6" t="s">
        <v>497</v>
      </c>
      <c r="G171" s="6" t="s">
        <v>496</v>
      </c>
      <c r="H171" s="8" t="s">
        <v>498</v>
      </c>
      <c r="I171" s="14">
        <v>45293</v>
      </c>
    </row>
    <row r="172" spans="1:9" x14ac:dyDescent="0.15">
      <c r="A172" s="5">
        <v>171</v>
      </c>
      <c r="B172" s="6" t="s">
        <v>9</v>
      </c>
      <c r="C172" s="7">
        <v>1884</v>
      </c>
      <c r="D172" s="8">
        <v>45402</v>
      </c>
      <c r="E172" s="9" t="str">
        <f>+HYPERLINK("http://trademark.i-assist.jp/data/china/image_1884th/76145700.pdf", "76145700")</f>
        <v>76145700</v>
      </c>
      <c r="F172" s="6" t="s">
        <v>500</v>
      </c>
      <c r="G172" s="6" t="s">
        <v>499</v>
      </c>
      <c r="H172" s="8" t="s">
        <v>501</v>
      </c>
      <c r="I172" s="14">
        <v>45293</v>
      </c>
    </row>
    <row r="173" spans="1:9" x14ac:dyDescent="0.15">
      <c r="A173" s="5">
        <v>172</v>
      </c>
      <c r="B173" s="6" t="s">
        <v>9</v>
      </c>
      <c r="C173" s="7">
        <v>1884</v>
      </c>
      <c r="D173" s="8">
        <v>45402</v>
      </c>
      <c r="E173" s="9" t="str">
        <f>+HYPERLINK("http://trademark.i-assist.jp/data/china/image_1884th/76146485.pdf", "76146485")</f>
        <v>76146485</v>
      </c>
      <c r="F173" s="6" t="s">
        <v>503</v>
      </c>
      <c r="G173" s="6" t="s">
        <v>502</v>
      </c>
      <c r="H173" s="8" t="s">
        <v>504</v>
      </c>
      <c r="I173" s="14">
        <v>45293</v>
      </c>
    </row>
    <row r="174" spans="1:9" x14ac:dyDescent="0.15">
      <c r="A174" s="5">
        <v>173</v>
      </c>
      <c r="B174" s="6" t="s">
        <v>9</v>
      </c>
      <c r="C174" s="7">
        <v>1884</v>
      </c>
      <c r="D174" s="8">
        <v>45402</v>
      </c>
      <c r="E174" s="9" t="str">
        <f>+HYPERLINK("http://trademark.i-assist.jp/data/china/image_1884th/76150869.pdf", "76150869")</f>
        <v>76150869</v>
      </c>
      <c r="F174" s="6" t="s">
        <v>505</v>
      </c>
      <c r="G174" s="6" t="s">
        <v>487</v>
      </c>
      <c r="H174" s="8" t="s">
        <v>506</v>
      </c>
      <c r="I174" s="14">
        <v>45293</v>
      </c>
    </row>
    <row r="175" spans="1:9" x14ac:dyDescent="0.15">
      <c r="A175" s="5">
        <v>174</v>
      </c>
      <c r="B175" s="6" t="s">
        <v>9</v>
      </c>
      <c r="C175" s="7">
        <v>1884</v>
      </c>
      <c r="D175" s="8">
        <v>45402</v>
      </c>
      <c r="E175" s="9" t="str">
        <f>+HYPERLINK("http://trademark.i-assist.jp/data/china/image_1884th/76151077.pdf", "76151077")</f>
        <v>76151077</v>
      </c>
      <c r="F175" s="6" t="s">
        <v>508</v>
      </c>
      <c r="G175" s="6" t="s">
        <v>507</v>
      </c>
      <c r="H175" s="8" t="s">
        <v>509</v>
      </c>
      <c r="I175" s="14">
        <v>45293</v>
      </c>
    </row>
    <row r="176" spans="1:9" x14ac:dyDescent="0.15">
      <c r="A176" s="5">
        <v>175</v>
      </c>
      <c r="B176" s="6" t="s">
        <v>9</v>
      </c>
      <c r="C176" s="7">
        <v>1884</v>
      </c>
      <c r="D176" s="8">
        <v>45402</v>
      </c>
      <c r="E176" s="9" t="str">
        <f>+HYPERLINK("http://trademark.i-assist.jp/data/china/image_1884th/76152528.pdf", "76152528")</f>
        <v>76152528</v>
      </c>
      <c r="F176" s="6" t="s">
        <v>511</v>
      </c>
      <c r="G176" s="6" t="s">
        <v>510</v>
      </c>
      <c r="H176" s="8" t="s">
        <v>512</v>
      </c>
      <c r="I176" s="14">
        <v>45293</v>
      </c>
    </row>
    <row r="177" spans="1:9" x14ac:dyDescent="0.15">
      <c r="A177" s="5">
        <v>176</v>
      </c>
      <c r="B177" s="6" t="s">
        <v>9</v>
      </c>
      <c r="C177" s="7">
        <v>1884</v>
      </c>
      <c r="D177" s="8">
        <v>45402</v>
      </c>
      <c r="E177" s="9" t="str">
        <f>+HYPERLINK("http://trademark.i-assist.jp/data/china/image_1884th/76153016.pdf", "76153016")</f>
        <v>76153016</v>
      </c>
      <c r="F177" s="6" t="s">
        <v>514</v>
      </c>
      <c r="G177" s="6" t="s">
        <v>513</v>
      </c>
      <c r="H177" s="8" t="s">
        <v>515</v>
      </c>
      <c r="I177" s="14">
        <v>45293</v>
      </c>
    </row>
    <row r="178" spans="1:9" x14ac:dyDescent="0.15">
      <c r="A178" s="5">
        <v>177</v>
      </c>
      <c r="B178" s="6" t="s">
        <v>9</v>
      </c>
      <c r="C178" s="7">
        <v>1884</v>
      </c>
      <c r="D178" s="8">
        <v>45402</v>
      </c>
      <c r="E178" s="9" t="str">
        <f>+HYPERLINK("http://trademark.i-assist.jp/data/china/image_1884th/76153522.pdf", "76153522")</f>
        <v>76153522</v>
      </c>
      <c r="F178" s="6" t="s">
        <v>167</v>
      </c>
      <c r="G178" s="6" t="s">
        <v>485</v>
      </c>
      <c r="H178" s="8" t="s">
        <v>516</v>
      </c>
      <c r="I178" s="14">
        <v>45293</v>
      </c>
    </row>
    <row r="179" spans="1:9" x14ac:dyDescent="0.15">
      <c r="A179" s="5">
        <v>178</v>
      </c>
      <c r="B179" s="6" t="s">
        <v>9</v>
      </c>
      <c r="C179" s="7">
        <v>1884</v>
      </c>
      <c r="D179" s="8">
        <v>45402</v>
      </c>
      <c r="E179" s="9" t="str">
        <f>+HYPERLINK("http://trademark.i-assist.jp/data/china/image_1884th/76154075.pdf", "76154075")</f>
        <v>76154075</v>
      </c>
      <c r="F179" s="6" t="s">
        <v>517</v>
      </c>
      <c r="G179" s="6" t="s">
        <v>14</v>
      </c>
      <c r="H179" s="8" t="s">
        <v>518</v>
      </c>
      <c r="I179" s="14">
        <v>45293</v>
      </c>
    </row>
    <row r="180" spans="1:9" x14ac:dyDescent="0.15">
      <c r="A180" s="5">
        <v>179</v>
      </c>
      <c r="B180" s="6" t="s">
        <v>9</v>
      </c>
      <c r="C180" s="7">
        <v>1884</v>
      </c>
      <c r="D180" s="8">
        <v>45402</v>
      </c>
      <c r="E180" s="9" t="str">
        <f>+HYPERLINK("http://trademark.i-assist.jp/data/china/image_1884th/76155192.pdf", "76155192")</f>
        <v>76155192</v>
      </c>
      <c r="F180" s="6" t="s">
        <v>520</v>
      </c>
      <c r="G180" s="6" t="s">
        <v>519</v>
      </c>
      <c r="H180" s="8" t="s">
        <v>521</v>
      </c>
      <c r="I180" s="14">
        <v>45294</v>
      </c>
    </row>
    <row r="181" spans="1:9" x14ac:dyDescent="0.15">
      <c r="A181" s="5">
        <v>180</v>
      </c>
      <c r="B181" s="6" t="s">
        <v>9</v>
      </c>
      <c r="C181" s="7">
        <v>1884</v>
      </c>
      <c r="D181" s="8">
        <v>45402</v>
      </c>
      <c r="E181" s="9" t="str">
        <f>+HYPERLINK("http://trademark.i-assist.jp/data/china/image_1884th/76155759.pdf", "76155759")</f>
        <v>76155759</v>
      </c>
      <c r="F181" s="6" t="s">
        <v>523</v>
      </c>
      <c r="G181" s="6" t="s">
        <v>522</v>
      </c>
      <c r="H181" s="8" t="s">
        <v>524</v>
      </c>
      <c r="I181" s="14">
        <v>45294</v>
      </c>
    </row>
    <row r="182" spans="1:9" x14ac:dyDescent="0.15">
      <c r="A182" s="5">
        <v>181</v>
      </c>
      <c r="B182" s="6" t="s">
        <v>9</v>
      </c>
      <c r="C182" s="7">
        <v>1884</v>
      </c>
      <c r="D182" s="8">
        <v>45402</v>
      </c>
      <c r="E182" s="9" t="str">
        <f>+HYPERLINK("http://trademark.i-assist.jp/data/china/image_1884th/76159974.pdf", "76159974")</f>
        <v>76159974</v>
      </c>
      <c r="F182" s="6" t="s">
        <v>526</v>
      </c>
      <c r="G182" s="6" t="s">
        <v>525</v>
      </c>
      <c r="H182" s="8" t="s">
        <v>527</v>
      </c>
      <c r="I182" s="14">
        <v>45294</v>
      </c>
    </row>
    <row r="183" spans="1:9" x14ac:dyDescent="0.15">
      <c r="A183" s="5">
        <v>182</v>
      </c>
      <c r="B183" s="6" t="s">
        <v>9</v>
      </c>
      <c r="C183" s="7">
        <v>1884</v>
      </c>
      <c r="D183" s="8">
        <v>45402</v>
      </c>
      <c r="E183" s="9" t="str">
        <f>+HYPERLINK("http://trademark.i-assist.jp/data/china/image_1884th/76163609.pdf", "76163609")</f>
        <v>76163609</v>
      </c>
      <c r="F183" s="6" t="s">
        <v>529</v>
      </c>
      <c r="G183" s="6" t="s">
        <v>528</v>
      </c>
      <c r="H183" s="8" t="s">
        <v>530</v>
      </c>
      <c r="I183" s="14">
        <v>45294</v>
      </c>
    </row>
    <row r="184" spans="1:9" x14ac:dyDescent="0.15">
      <c r="A184" s="5">
        <v>183</v>
      </c>
      <c r="B184" s="6" t="s">
        <v>9</v>
      </c>
      <c r="C184" s="7">
        <v>1884</v>
      </c>
      <c r="D184" s="8">
        <v>45402</v>
      </c>
      <c r="E184" s="9" t="str">
        <f>+HYPERLINK("http://trademark.i-assist.jp/data/china/image_1884th/76167234.pdf", "76167234")</f>
        <v>76167234</v>
      </c>
      <c r="F184" s="6" t="s">
        <v>532</v>
      </c>
      <c r="G184" s="6" t="s">
        <v>531</v>
      </c>
      <c r="H184" s="8" t="s">
        <v>533</v>
      </c>
      <c r="I184" s="14">
        <v>45294</v>
      </c>
    </row>
    <row r="185" spans="1:9" x14ac:dyDescent="0.15">
      <c r="A185" s="5">
        <v>184</v>
      </c>
      <c r="B185" s="6" t="s">
        <v>9</v>
      </c>
      <c r="C185" s="7">
        <v>1884</v>
      </c>
      <c r="D185" s="8">
        <v>45402</v>
      </c>
      <c r="E185" s="9" t="str">
        <f>+HYPERLINK("http://trademark.i-assist.jp/data/china/image_1884th/76171504.pdf", "76171504")</f>
        <v>76171504</v>
      </c>
      <c r="F185" s="6" t="s">
        <v>535</v>
      </c>
      <c r="G185" s="6" t="s">
        <v>534</v>
      </c>
      <c r="H185" s="8" t="s">
        <v>536</v>
      </c>
      <c r="I185" s="14">
        <v>45294</v>
      </c>
    </row>
    <row r="186" spans="1:9" x14ac:dyDescent="0.15">
      <c r="A186" s="5">
        <v>185</v>
      </c>
      <c r="B186" s="6" t="s">
        <v>9</v>
      </c>
      <c r="C186" s="7">
        <v>1884</v>
      </c>
      <c r="D186" s="8">
        <v>45402</v>
      </c>
      <c r="E186" s="9" t="str">
        <f>+HYPERLINK("http://trademark.i-assist.jp/data/china/image_1884th/76171591.pdf", "76171591")</f>
        <v>76171591</v>
      </c>
      <c r="F186" s="6" t="s">
        <v>538</v>
      </c>
      <c r="G186" s="6" t="s">
        <v>537</v>
      </c>
      <c r="H186" s="8" t="s">
        <v>539</v>
      </c>
      <c r="I186" s="14">
        <v>45294</v>
      </c>
    </row>
    <row r="187" spans="1:9" x14ac:dyDescent="0.15">
      <c r="A187" s="5">
        <v>186</v>
      </c>
      <c r="B187" s="6" t="s">
        <v>9</v>
      </c>
      <c r="C187" s="7">
        <v>1884</v>
      </c>
      <c r="D187" s="8">
        <v>45402</v>
      </c>
      <c r="E187" s="9" t="str">
        <f>+HYPERLINK("http://trademark.i-assist.jp/data/china/image_1884th/76172124.pdf", "76172124")</f>
        <v>76172124</v>
      </c>
      <c r="F187" s="6" t="s">
        <v>541</v>
      </c>
      <c r="G187" s="6" t="s">
        <v>540</v>
      </c>
      <c r="H187" s="8" t="s">
        <v>542</v>
      </c>
      <c r="I187" s="14">
        <v>45294</v>
      </c>
    </row>
    <row r="188" spans="1:9" x14ac:dyDescent="0.15">
      <c r="A188" s="5">
        <v>187</v>
      </c>
      <c r="B188" s="6" t="s">
        <v>9</v>
      </c>
      <c r="C188" s="7">
        <v>1884</v>
      </c>
      <c r="D188" s="8">
        <v>45402</v>
      </c>
      <c r="E188" s="9" t="str">
        <f>+HYPERLINK("http://trademark.i-assist.jp/data/china/image_1884th/76172762.pdf", "76172762")</f>
        <v>76172762</v>
      </c>
      <c r="F188" s="6" t="s">
        <v>544</v>
      </c>
      <c r="G188" s="6" t="s">
        <v>543</v>
      </c>
      <c r="H188" s="8" t="s">
        <v>545</v>
      </c>
      <c r="I188" s="14">
        <v>45294</v>
      </c>
    </row>
    <row r="189" spans="1:9" x14ac:dyDescent="0.15">
      <c r="A189" s="5">
        <v>188</v>
      </c>
      <c r="B189" s="6" t="s">
        <v>9</v>
      </c>
      <c r="C189" s="7">
        <v>1884</v>
      </c>
      <c r="D189" s="8">
        <v>45402</v>
      </c>
      <c r="E189" s="9" t="str">
        <f>+HYPERLINK("http://trademark.i-assist.jp/data/china/image_1884th/76173457.pdf", "76173457")</f>
        <v>76173457</v>
      </c>
      <c r="F189" s="6" t="s">
        <v>547</v>
      </c>
      <c r="G189" s="6" t="s">
        <v>546</v>
      </c>
      <c r="H189" s="8" t="s">
        <v>548</v>
      </c>
      <c r="I189" s="14">
        <v>45294</v>
      </c>
    </row>
    <row r="190" spans="1:9" x14ac:dyDescent="0.15">
      <c r="A190" s="5">
        <v>189</v>
      </c>
      <c r="B190" s="6" t="s">
        <v>9</v>
      </c>
      <c r="C190" s="7">
        <v>1884</v>
      </c>
      <c r="D190" s="8">
        <v>45402</v>
      </c>
      <c r="E190" s="9" t="str">
        <f>+HYPERLINK("http://trademark.i-assist.jp/data/china/image_1884th/76173643.pdf", "76173643")</f>
        <v>76173643</v>
      </c>
      <c r="F190" s="6" t="s">
        <v>550</v>
      </c>
      <c r="G190" s="6" t="s">
        <v>549</v>
      </c>
      <c r="H190" s="8" t="s">
        <v>551</v>
      </c>
      <c r="I190" s="14">
        <v>45294</v>
      </c>
    </row>
    <row r="191" spans="1:9" x14ac:dyDescent="0.15">
      <c r="A191" s="5">
        <v>190</v>
      </c>
      <c r="B191" s="6" t="s">
        <v>9</v>
      </c>
      <c r="C191" s="7">
        <v>1884</v>
      </c>
      <c r="D191" s="8">
        <v>45402</v>
      </c>
      <c r="E191" s="9" t="str">
        <f>+HYPERLINK("http://trademark.i-assist.jp/data/china/image_1884th/76175798.pdf", "76175798")</f>
        <v>76175798</v>
      </c>
      <c r="F191" s="6" t="s">
        <v>553</v>
      </c>
      <c r="G191" s="6" t="s">
        <v>552</v>
      </c>
      <c r="H191" s="8" t="s">
        <v>554</v>
      </c>
      <c r="I191" s="14">
        <v>45294</v>
      </c>
    </row>
    <row r="192" spans="1:9" x14ac:dyDescent="0.15">
      <c r="A192" s="5">
        <v>191</v>
      </c>
      <c r="B192" s="6" t="s">
        <v>9</v>
      </c>
      <c r="C192" s="7">
        <v>1884</v>
      </c>
      <c r="D192" s="8">
        <v>45402</v>
      </c>
      <c r="E192" s="9" t="str">
        <f>+HYPERLINK("http://trademark.i-assist.jp/data/china/image_1884th/76176287.pdf", "76176287")</f>
        <v>76176287</v>
      </c>
      <c r="F192" s="6" t="s">
        <v>556</v>
      </c>
      <c r="G192" s="6" t="s">
        <v>555</v>
      </c>
      <c r="H192" s="8" t="s">
        <v>557</v>
      </c>
      <c r="I192" s="14">
        <v>45294</v>
      </c>
    </row>
    <row r="193" spans="1:9" x14ac:dyDescent="0.15">
      <c r="A193" s="5">
        <v>192</v>
      </c>
      <c r="B193" s="6" t="s">
        <v>9</v>
      </c>
      <c r="C193" s="7">
        <v>1884</v>
      </c>
      <c r="D193" s="8">
        <v>45402</v>
      </c>
      <c r="E193" s="9" t="str">
        <f>+HYPERLINK("http://trademark.i-assist.jp/data/china/image_1884th/76176445.pdf", "76176445")</f>
        <v>76176445</v>
      </c>
      <c r="F193" s="6" t="s">
        <v>559</v>
      </c>
      <c r="G193" s="6" t="s">
        <v>558</v>
      </c>
      <c r="H193" s="8" t="s">
        <v>560</v>
      </c>
      <c r="I193" s="14">
        <v>45294</v>
      </c>
    </row>
    <row r="194" spans="1:9" x14ac:dyDescent="0.15">
      <c r="A194" s="5">
        <v>193</v>
      </c>
      <c r="B194" s="6" t="s">
        <v>9</v>
      </c>
      <c r="C194" s="7">
        <v>1884</v>
      </c>
      <c r="D194" s="8">
        <v>45402</v>
      </c>
      <c r="E194" s="9" t="str">
        <f>+HYPERLINK("http://trademark.i-assist.jp/data/china/image_1884th/76176934.pdf", "76176934")</f>
        <v>76176934</v>
      </c>
      <c r="F194" s="6" t="s">
        <v>562</v>
      </c>
      <c r="G194" s="6" t="s">
        <v>561</v>
      </c>
      <c r="H194" s="8" t="s">
        <v>563</v>
      </c>
      <c r="I194" s="14">
        <v>45294</v>
      </c>
    </row>
    <row r="195" spans="1:9" x14ac:dyDescent="0.15">
      <c r="A195" s="5">
        <v>194</v>
      </c>
      <c r="B195" s="6" t="s">
        <v>9</v>
      </c>
      <c r="C195" s="7">
        <v>1884</v>
      </c>
      <c r="D195" s="8">
        <v>45402</v>
      </c>
      <c r="E195" s="9" t="str">
        <f>+HYPERLINK("http://trademark.i-assist.jp/data/china/image_1884th/76183718.pdf", "76183718")</f>
        <v>76183718</v>
      </c>
      <c r="F195" s="6" t="s">
        <v>167</v>
      </c>
      <c r="G195" s="6" t="s">
        <v>564</v>
      </c>
      <c r="H195" s="8" t="s">
        <v>565</v>
      </c>
      <c r="I195" s="14">
        <v>45295</v>
      </c>
    </row>
    <row r="196" spans="1:9" x14ac:dyDescent="0.15">
      <c r="A196" s="5">
        <v>195</v>
      </c>
      <c r="B196" s="6" t="s">
        <v>9</v>
      </c>
      <c r="C196" s="7">
        <v>1884</v>
      </c>
      <c r="D196" s="8">
        <v>45402</v>
      </c>
      <c r="E196" s="9" t="str">
        <f>+HYPERLINK("http://trademark.i-assist.jp/data/china/image_1884th/76184133.pdf", "76184133")</f>
        <v>76184133</v>
      </c>
      <c r="F196" s="6" t="s">
        <v>567</v>
      </c>
      <c r="G196" s="6" t="s">
        <v>566</v>
      </c>
      <c r="H196" s="8" t="s">
        <v>568</v>
      </c>
      <c r="I196" s="14">
        <v>45295</v>
      </c>
    </row>
    <row r="197" spans="1:9" x14ac:dyDescent="0.15">
      <c r="A197" s="5">
        <v>196</v>
      </c>
      <c r="B197" s="6" t="s">
        <v>9</v>
      </c>
      <c r="C197" s="7">
        <v>1884</v>
      </c>
      <c r="D197" s="8">
        <v>45402</v>
      </c>
      <c r="E197" s="9" t="str">
        <f>+HYPERLINK("http://trademark.i-assist.jp/data/china/image_1884th/76185846.pdf", "76185846")</f>
        <v>76185846</v>
      </c>
      <c r="F197" s="6" t="s">
        <v>570</v>
      </c>
      <c r="G197" s="6" t="s">
        <v>569</v>
      </c>
      <c r="H197" s="8" t="s">
        <v>571</v>
      </c>
      <c r="I197" s="14">
        <v>45295</v>
      </c>
    </row>
    <row r="198" spans="1:9" x14ac:dyDescent="0.15">
      <c r="A198" s="5">
        <v>197</v>
      </c>
      <c r="B198" s="6" t="s">
        <v>9</v>
      </c>
      <c r="C198" s="7">
        <v>1884</v>
      </c>
      <c r="D198" s="8">
        <v>45402</v>
      </c>
      <c r="E198" s="9" t="str">
        <f>+HYPERLINK("http://trademark.i-assist.jp/data/china/image_1884th/76190761.pdf", "76190761")</f>
        <v>76190761</v>
      </c>
      <c r="F198" s="6" t="s">
        <v>573</v>
      </c>
      <c r="G198" s="6" t="s">
        <v>572</v>
      </c>
      <c r="H198" s="8" t="s">
        <v>574</v>
      </c>
      <c r="I198" s="14">
        <v>45295</v>
      </c>
    </row>
    <row r="199" spans="1:9" x14ac:dyDescent="0.15">
      <c r="A199" s="5">
        <v>198</v>
      </c>
      <c r="B199" s="6" t="s">
        <v>9</v>
      </c>
      <c r="C199" s="7">
        <v>1884</v>
      </c>
      <c r="D199" s="8">
        <v>45402</v>
      </c>
      <c r="E199" s="9" t="str">
        <f>+HYPERLINK("http://trademark.i-assist.jp/data/china/image_1884th/76191607.pdf", "76191607")</f>
        <v>76191607</v>
      </c>
      <c r="F199" s="6" t="s">
        <v>576</v>
      </c>
      <c r="G199" s="6" t="s">
        <v>575</v>
      </c>
      <c r="H199" s="8" t="s">
        <v>577</v>
      </c>
      <c r="I199" s="14">
        <v>45295</v>
      </c>
    </row>
    <row r="200" spans="1:9" x14ac:dyDescent="0.15">
      <c r="A200" s="5">
        <v>199</v>
      </c>
      <c r="B200" s="6" t="s">
        <v>9</v>
      </c>
      <c r="C200" s="7">
        <v>1884</v>
      </c>
      <c r="D200" s="8">
        <v>45402</v>
      </c>
      <c r="E200" s="9" t="str">
        <f>+HYPERLINK("http://trademark.i-assist.jp/data/china/image_1884th/76193425.pdf", "76193425")</f>
        <v>76193425</v>
      </c>
      <c r="F200" s="6" t="s">
        <v>579</v>
      </c>
      <c r="G200" s="6" t="s">
        <v>578</v>
      </c>
      <c r="H200" s="8" t="s">
        <v>580</v>
      </c>
      <c r="I200" s="14">
        <v>45295</v>
      </c>
    </row>
    <row r="201" spans="1:9" x14ac:dyDescent="0.15">
      <c r="A201" s="5">
        <v>200</v>
      </c>
      <c r="B201" s="6" t="s">
        <v>9</v>
      </c>
      <c r="C201" s="7">
        <v>1884</v>
      </c>
      <c r="D201" s="8">
        <v>45402</v>
      </c>
      <c r="E201" s="9" t="str">
        <f>+HYPERLINK("http://trademark.i-assist.jp/data/china/image_1884th/76194283.pdf", "76194283")</f>
        <v>76194283</v>
      </c>
      <c r="F201" s="6" t="s">
        <v>582</v>
      </c>
      <c r="G201" s="6" t="s">
        <v>581</v>
      </c>
      <c r="H201" s="8" t="s">
        <v>583</v>
      </c>
      <c r="I201" s="14">
        <v>45295</v>
      </c>
    </row>
    <row r="202" spans="1:9" x14ac:dyDescent="0.15">
      <c r="A202" s="5">
        <v>201</v>
      </c>
      <c r="B202" s="6" t="s">
        <v>9</v>
      </c>
      <c r="C202" s="7">
        <v>1884</v>
      </c>
      <c r="D202" s="8">
        <v>45402</v>
      </c>
      <c r="E202" s="9" t="str">
        <f>+HYPERLINK("http://trademark.i-assist.jp/data/china/image_1884th/76197988.pdf", "76197988")</f>
        <v>76197988</v>
      </c>
      <c r="F202" s="6" t="s">
        <v>18</v>
      </c>
      <c r="G202" s="6" t="s">
        <v>584</v>
      </c>
      <c r="H202" s="8" t="s">
        <v>585</v>
      </c>
      <c r="I202" s="14">
        <v>45295</v>
      </c>
    </row>
    <row r="203" spans="1:9" x14ac:dyDescent="0.15">
      <c r="A203" s="5">
        <v>202</v>
      </c>
      <c r="B203" s="6" t="s">
        <v>9</v>
      </c>
      <c r="C203" s="7">
        <v>1884</v>
      </c>
      <c r="D203" s="8">
        <v>45402</v>
      </c>
      <c r="E203" s="9" t="str">
        <f>+HYPERLINK("http://trademark.i-assist.jp/data/china/image_1884th/76198485.pdf", "76198485")</f>
        <v>76198485</v>
      </c>
      <c r="F203" s="6" t="s">
        <v>587</v>
      </c>
      <c r="G203" s="6" t="s">
        <v>586</v>
      </c>
      <c r="H203" s="8" t="s">
        <v>588</v>
      </c>
      <c r="I203" s="14">
        <v>45295</v>
      </c>
    </row>
    <row r="204" spans="1:9" x14ac:dyDescent="0.15">
      <c r="A204" s="5">
        <v>203</v>
      </c>
      <c r="B204" s="6" t="s">
        <v>9</v>
      </c>
      <c r="C204" s="7">
        <v>1884</v>
      </c>
      <c r="D204" s="8">
        <v>45402</v>
      </c>
      <c r="E204" s="9" t="str">
        <f>+HYPERLINK("http://trademark.i-assist.jp/data/china/image_1884th/76201098.pdf", "76201098")</f>
        <v>76201098</v>
      </c>
      <c r="F204" s="6" t="s">
        <v>590</v>
      </c>
      <c r="G204" s="6" t="s">
        <v>589</v>
      </c>
      <c r="H204" s="8" t="s">
        <v>467</v>
      </c>
      <c r="I204" s="14">
        <v>45295</v>
      </c>
    </row>
    <row r="205" spans="1:9" x14ac:dyDescent="0.15">
      <c r="A205" s="5">
        <v>204</v>
      </c>
      <c r="B205" s="6" t="s">
        <v>9</v>
      </c>
      <c r="C205" s="7">
        <v>1884</v>
      </c>
      <c r="D205" s="8">
        <v>45402</v>
      </c>
      <c r="E205" s="9" t="str">
        <f>+HYPERLINK("http://trademark.i-assist.jp/data/china/image_1884th/76204723.pdf", "76204723")</f>
        <v>76204723</v>
      </c>
      <c r="F205" s="6" t="s">
        <v>592</v>
      </c>
      <c r="G205" s="6" t="s">
        <v>591</v>
      </c>
      <c r="H205" s="8" t="s">
        <v>593</v>
      </c>
      <c r="I205" s="14">
        <v>45296</v>
      </c>
    </row>
    <row r="206" spans="1:9" x14ac:dyDescent="0.15">
      <c r="A206" s="5">
        <v>205</v>
      </c>
      <c r="B206" s="6" t="s">
        <v>9</v>
      </c>
      <c r="C206" s="7">
        <v>1884</v>
      </c>
      <c r="D206" s="8">
        <v>45402</v>
      </c>
      <c r="E206" s="9" t="str">
        <f>+HYPERLINK("http://trademark.i-assist.jp/data/china/image_1884th/76206649.pdf", "76206649")</f>
        <v>76206649</v>
      </c>
      <c r="F206" s="6" t="s">
        <v>595</v>
      </c>
      <c r="G206" s="6" t="s">
        <v>594</v>
      </c>
      <c r="H206" s="8" t="s">
        <v>596</v>
      </c>
      <c r="I206" s="14">
        <v>45296</v>
      </c>
    </row>
    <row r="207" spans="1:9" x14ac:dyDescent="0.15">
      <c r="A207" s="5">
        <v>206</v>
      </c>
      <c r="B207" s="6" t="s">
        <v>9</v>
      </c>
      <c r="C207" s="7">
        <v>1884</v>
      </c>
      <c r="D207" s="8">
        <v>45402</v>
      </c>
      <c r="E207" s="9" t="str">
        <f>+HYPERLINK("http://trademark.i-assist.jp/data/china/image_1884th/76206772.pdf", "76206772")</f>
        <v>76206772</v>
      </c>
      <c r="F207" s="6" t="s">
        <v>598</v>
      </c>
      <c r="G207" s="6" t="s">
        <v>597</v>
      </c>
      <c r="H207" s="8" t="s">
        <v>599</v>
      </c>
      <c r="I207" s="14">
        <v>45296</v>
      </c>
    </row>
    <row r="208" spans="1:9" x14ac:dyDescent="0.15">
      <c r="A208" s="5">
        <v>207</v>
      </c>
      <c r="B208" s="6" t="s">
        <v>9</v>
      </c>
      <c r="C208" s="7">
        <v>1884</v>
      </c>
      <c r="D208" s="8">
        <v>45402</v>
      </c>
      <c r="E208" s="9" t="str">
        <f>+HYPERLINK("http://trademark.i-assist.jp/data/china/image_1884th/76208610.pdf", "76208610")</f>
        <v>76208610</v>
      </c>
      <c r="F208" s="6" t="s">
        <v>601</v>
      </c>
      <c r="G208" s="6" t="s">
        <v>600</v>
      </c>
      <c r="H208" s="8" t="s">
        <v>602</v>
      </c>
      <c r="I208" s="14">
        <v>45296</v>
      </c>
    </row>
    <row r="209" spans="1:9" x14ac:dyDescent="0.15">
      <c r="A209" s="5">
        <v>208</v>
      </c>
      <c r="B209" s="6" t="s">
        <v>9</v>
      </c>
      <c r="C209" s="7">
        <v>1884</v>
      </c>
      <c r="D209" s="8">
        <v>45402</v>
      </c>
      <c r="E209" s="9" t="str">
        <f>+HYPERLINK("http://trademark.i-assist.jp/data/china/image_1884th/76208998.pdf", "76208998")</f>
        <v>76208998</v>
      </c>
      <c r="F209" s="6" t="s">
        <v>167</v>
      </c>
      <c r="G209" s="6" t="s">
        <v>603</v>
      </c>
      <c r="H209" s="8" t="s">
        <v>604</v>
      </c>
      <c r="I209" s="14">
        <v>45296</v>
      </c>
    </row>
    <row r="210" spans="1:9" x14ac:dyDescent="0.15">
      <c r="A210" s="5">
        <v>209</v>
      </c>
      <c r="B210" s="6" t="s">
        <v>9</v>
      </c>
      <c r="C210" s="7">
        <v>1884</v>
      </c>
      <c r="D210" s="8">
        <v>45402</v>
      </c>
      <c r="E210" s="9" t="str">
        <f>+HYPERLINK("http://trademark.i-assist.jp/data/china/image_1884th/76211327.pdf", "76211327")</f>
        <v>76211327</v>
      </c>
      <c r="F210" s="6" t="s">
        <v>606</v>
      </c>
      <c r="G210" s="6" t="s">
        <v>605</v>
      </c>
      <c r="H210" s="8" t="s">
        <v>607</v>
      </c>
      <c r="I210" s="14">
        <v>45296</v>
      </c>
    </row>
    <row r="211" spans="1:9" x14ac:dyDescent="0.15">
      <c r="A211" s="5">
        <v>210</v>
      </c>
      <c r="B211" s="6" t="s">
        <v>9</v>
      </c>
      <c r="C211" s="7">
        <v>1884</v>
      </c>
      <c r="D211" s="8">
        <v>45402</v>
      </c>
      <c r="E211" s="9" t="str">
        <f>+HYPERLINK("http://trademark.i-assist.jp/data/china/image_1884th/76213571.pdf", "76213571")</f>
        <v>76213571</v>
      </c>
      <c r="F211" s="6" t="s">
        <v>609</v>
      </c>
      <c r="G211" s="6" t="s">
        <v>608</v>
      </c>
      <c r="H211" s="8" t="s">
        <v>610</v>
      </c>
      <c r="I211" s="14">
        <v>45296</v>
      </c>
    </row>
    <row r="212" spans="1:9" x14ac:dyDescent="0.15">
      <c r="A212" s="5">
        <v>211</v>
      </c>
      <c r="B212" s="6" t="s">
        <v>9</v>
      </c>
      <c r="C212" s="7">
        <v>1884</v>
      </c>
      <c r="D212" s="8">
        <v>45402</v>
      </c>
      <c r="E212" s="9" t="str">
        <f>+HYPERLINK("http://trademark.i-assist.jp/data/china/image_1884th/76215052.pdf", "76215052")</f>
        <v>76215052</v>
      </c>
      <c r="F212" s="6" t="s">
        <v>612</v>
      </c>
      <c r="G212" s="6" t="s">
        <v>611</v>
      </c>
      <c r="H212" s="8" t="s">
        <v>613</v>
      </c>
      <c r="I212" s="14">
        <v>45296</v>
      </c>
    </row>
    <row r="213" spans="1:9" x14ac:dyDescent="0.15">
      <c r="A213" s="5">
        <v>212</v>
      </c>
      <c r="B213" s="6" t="s">
        <v>9</v>
      </c>
      <c r="C213" s="7">
        <v>1884</v>
      </c>
      <c r="D213" s="8">
        <v>45402</v>
      </c>
      <c r="E213" s="9" t="str">
        <f>+HYPERLINK("http://trademark.i-assist.jp/data/china/image_1884th/76217147.pdf", "76217147")</f>
        <v>76217147</v>
      </c>
      <c r="F213" s="6" t="s">
        <v>615</v>
      </c>
      <c r="G213" s="6" t="s">
        <v>614</v>
      </c>
      <c r="H213" s="8" t="s">
        <v>616</v>
      </c>
      <c r="I213" s="14">
        <v>45296</v>
      </c>
    </row>
    <row r="214" spans="1:9" x14ac:dyDescent="0.15">
      <c r="A214" s="5">
        <v>213</v>
      </c>
      <c r="B214" s="6" t="s">
        <v>9</v>
      </c>
      <c r="C214" s="7">
        <v>1884</v>
      </c>
      <c r="D214" s="8">
        <v>45402</v>
      </c>
      <c r="E214" s="9" t="str">
        <f>+HYPERLINK("http://trademark.i-assist.jp/data/china/image_1884th/76217561.pdf", "76217561")</f>
        <v>76217561</v>
      </c>
      <c r="F214" s="6" t="s">
        <v>617</v>
      </c>
      <c r="G214" s="6" t="s">
        <v>594</v>
      </c>
      <c r="H214" s="8" t="s">
        <v>618</v>
      </c>
      <c r="I214" s="14">
        <v>45296</v>
      </c>
    </row>
    <row r="215" spans="1:9" x14ac:dyDescent="0.15">
      <c r="A215" s="5">
        <v>214</v>
      </c>
      <c r="B215" s="6" t="s">
        <v>9</v>
      </c>
      <c r="C215" s="7">
        <v>1884</v>
      </c>
      <c r="D215" s="8">
        <v>45402</v>
      </c>
      <c r="E215" s="9" t="str">
        <f>+HYPERLINK("http://trademark.i-assist.jp/data/china/image_1884th/76220051.pdf", "76220051")</f>
        <v>76220051</v>
      </c>
      <c r="F215" s="6" t="s">
        <v>620</v>
      </c>
      <c r="G215" s="6" t="s">
        <v>619</v>
      </c>
      <c r="H215" s="8" t="s">
        <v>621</v>
      </c>
      <c r="I215" s="14">
        <v>45296</v>
      </c>
    </row>
    <row r="216" spans="1:9" x14ac:dyDescent="0.15">
      <c r="A216" s="5">
        <v>215</v>
      </c>
      <c r="B216" s="6" t="s">
        <v>9</v>
      </c>
      <c r="C216" s="7">
        <v>1884</v>
      </c>
      <c r="D216" s="8">
        <v>45402</v>
      </c>
      <c r="E216" s="9" t="str">
        <f>+HYPERLINK("http://trademark.i-assist.jp/data/china/image_1884th/76221468.pdf", "76221468")</f>
        <v>76221468</v>
      </c>
      <c r="F216" s="6" t="s">
        <v>623</v>
      </c>
      <c r="G216" s="6" t="s">
        <v>622</v>
      </c>
      <c r="H216" s="8" t="s">
        <v>624</v>
      </c>
      <c r="I216" s="14">
        <v>45296</v>
      </c>
    </row>
    <row r="217" spans="1:9" x14ac:dyDescent="0.15">
      <c r="A217" s="5">
        <v>216</v>
      </c>
      <c r="B217" s="6" t="s">
        <v>9</v>
      </c>
      <c r="C217" s="7">
        <v>1884</v>
      </c>
      <c r="D217" s="8">
        <v>45402</v>
      </c>
      <c r="E217" s="9" t="str">
        <f>+HYPERLINK("http://trademark.i-assist.jp/data/china/image_1884th/76222253.pdf", "76222253")</f>
        <v>76222253</v>
      </c>
      <c r="F217" s="6" t="s">
        <v>626</v>
      </c>
      <c r="G217" s="6" t="s">
        <v>625</v>
      </c>
      <c r="H217" s="8" t="s">
        <v>627</v>
      </c>
      <c r="I217" s="14">
        <v>45296</v>
      </c>
    </row>
    <row r="218" spans="1:9" x14ac:dyDescent="0.15">
      <c r="A218" s="5">
        <v>217</v>
      </c>
      <c r="B218" s="6" t="s">
        <v>9</v>
      </c>
      <c r="C218" s="7">
        <v>1884</v>
      </c>
      <c r="D218" s="8">
        <v>45402</v>
      </c>
      <c r="E218" s="9" t="str">
        <f>+HYPERLINK("http://trademark.i-assist.jp/data/china/image_1884th/76225170.pdf", "76225170")</f>
        <v>76225170</v>
      </c>
      <c r="F218" s="6" t="s">
        <v>628</v>
      </c>
      <c r="G218" s="6" t="s">
        <v>608</v>
      </c>
      <c r="H218" s="8" t="s">
        <v>629</v>
      </c>
      <c r="I218" s="14">
        <v>45296</v>
      </c>
    </row>
    <row r="219" spans="1:9" x14ac:dyDescent="0.15">
      <c r="A219" s="5">
        <v>218</v>
      </c>
      <c r="B219" s="6" t="s">
        <v>9</v>
      </c>
      <c r="C219" s="7">
        <v>1884</v>
      </c>
      <c r="D219" s="8">
        <v>45402</v>
      </c>
      <c r="E219" s="9" t="str">
        <f>+HYPERLINK("http://trademark.i-assist.jp/data/china/image_1884th/76228947.pdf", "76228947")</f>
        <v>76228947</v>
      </c>
      <c r="F219" s="6" t="s">
        <v>631</v>
      </c>
      <c r="G219" s="6" t="s">
        <v>630</v>
      </c>
      <c r="H219" s="8" t="s">
        <v>632</v>
      </c>
      <c r="I219" s="14">
        <v>45296</v>
      </c>
    </row>
    <row r="220" spans="1:9" x14ac:dyDescent="0.15">
      <c r="A220" s="5">
        <v>219</v>
      </c>
      <c r="B220" s="6" t="s">
        <v>9</v>
      </c>
      <c r="C220" s="7">
        <v>1884</v>
      </c>
      <c r="D220" s="8">
        <v>45402</v>
      </c>
      <c r="E220" s="9" t="str">
        <f>+HYPERLINK("http://trademark.i-assist.jp/data/china/image_1884th/76229978.pdf", "76229978")</f>
        <v>76229978</v>
      </c>
      <c r="F220" s="6" t="s">
        <v>167</v>
      </c>
      <c r="G220" s="6" t="s">
        <v>603</v>
      </c>
      <c r="H220" s="8" t="s">
        <v>633</v>
      </c>
      <c r="I220" s="14">
        <v>45296</v>
      </c>
    </row>
    <row r="221" spans="1:9" x14ac:dyDescent="0.15">
      <c r="A221" s="5">
        <v>220</v>
      </c>
      <c r="B221" s="6" t="s">
        <v>9</v>
      </c>
      <c r="C221" s="7">
        <v>1884</v>
      </c>
      <c r="D221" s="8">
        <v>45402</v>
      </c>
      <c r="E221" s="9" t="str">
        <f>+HYPERLINK("http://trademark.i-assist.jp/data/china/image_1884th/76230172.pdf", "76230172")</f>
        <v>76230172</v>
      </c>
      <c r="F221" s="6" t="s">
        <v>635</v>
      </c>
      <c r="G221" s="6" t="s">
        <v>634</v>
      </c>
      <c r="H221" s="8" t="s">
        <v>636</v>
      </c>
      <c r="I221" s="14">
        <v>45296</v>
      </c>
    </row>
    <row r="222" spans="1:9" x14ac:dyDescent="0.15">
      <c r="A222" s="5">
        <v>221</v>
      </c>
      <c r="B222" s="6" t="s">
        <v>9</v>
      </c>
      <c r="C222" s="7">
        <v>1884</v>
      </c>
      <c r="D222" s="8">
        <v>45402</v>
      </c>
      <c r="E222" s="9" t="str">
        <f>+HYPERLINK("http://trademark.i-assist.jp/data/china/image_1884th/76230265.pdf", "76230265")</f>
        <v>76230265</v>
      </c>
      <c r="F222" s="6" t="s">
        <v>638</v>
      </c>
      <c r="G222" s="6" t="s">
        <v>637</v>
      </c>
      <c r="H222" s="8" t="s">
        <v>639</v>
      </c>
      <c r="I222" s="14">
        <v>45296</v>
      </c>
    </row>
    <row r="223" spans="1:9" x14ac:dyDescent="0.15">
      <c r="A223" s="5">
        <v>222</v>
      </c>
      <c r="B223" s="6" t="s">
        <v>9</v>
      </c>
      <c r="C223" s="7">
        <v>1884</v>
      </c>
      <c r="D223" s="8">
        <v>45402</v>
      </c>
      <c r="E223" s="9" t="str">
        <f>+HYPERLINK("http://trademark.i-assist.jp/data/china/image_1884th/76232240.pdf", "76232240")</f>
        <v>76232240</v>
      </c>
      <c r="F223" s="6" t="s">
        <v>641</v>
      </c>
      <c r="G223" s="6" t="s">
        <v>640</v>
      </c>
      <c r="H223" s="8" t="s">
        <v>642</v>
      </c>
      <c r="I223" s="14">
        <v>45297</v>
      </c>
    </row>
    <row r="224" spans="1:9" x14ac:dyDescent="0.15">
      <c r="A224" s="5">
        <v>223</v>
      </c>
      <c r="B224" s="6" t="s">
        <v>9</v>
      </c>
      <c r="C224" s="7">
        <v>1884</v>
      </c>
      <c r="D224" s="8">
        <v>45402</v>
      </c>
      <c r="E224" s="9" t="str">
        <f>+HYPERLINK("http://trademark.i-assist.jp/data/china/image_1884th/76232622.pdf", "76232622")</f>
        <v>76232622</v>
      </c>
      <c r="F224" s="6" t="s">
        <v>644</v>
      </c>
      <c r="G224" s="6" t="s">
        <v>643</v>
      </c>
      <c r="H224" s="8" t="s">
        <v>645</v>
      </c>
      <c r="I224" s="14">
        <v>45297</v>
      </c>
    </row>
    <row r="225" spans="1:9" x14ac:dyDescent="0.15">
      <c r="A225" s="5">
        <v>224</v>
      </c>
      <c r="B225" s="6" t="s">
        <v>9</v>
      </c>
      <c r="C225" s="7">
        <v>1884</v>
      </c>
      <c r="D225" s="8">
        <v>45402</v>
      </c>
      <c r="E225" s="9" t="str">
        <f>+HYPERLINK("http://trademark.i-assist.jp/data/china/image_1884th/76233490.pdf", "76233490")</f>
        <v>76233490</v>
      </c>
      <c r="F225" s="6" t="s">
        <v>647</v>
      </c>
      <c r="G225" s="6" t="s">
        <v>646</v>
      </c>
      <c r="H225" s="8" t="s">
        <v>648</v>
      </c>
      <c r="I225" s="14">
        <v>45297</v>
      </c>
    </row>
    <row r="226" spans="1:9" x14ac:dyDescent="0.15">
      <c r="A226" s="5">
        <v>225</v>
      </c>
      <c r="B226" s="6" t="s">
        <v>9</v>
      </c>
      <c r="C226" s="7">
        <v>1884</v>
      </c>
      <c r="D226" s="8">
        <v>45402</v>
      </c>
      <c r="E226" s="9" t="str">
        <f>+HYPERLINK("http://trademark.i-assist.jp/data/china/image_1884th/76236826.pdf", "76236826")</f>
        <v>76236826</v>
      </c>
      <c r="F226" s="6" t="s">
        <v>650</v>
      </c>
      <c r="G226" s="6" t="s">
        <v>649</v>
      </c>
      <c r="H226" s="8" t="s">
        <v>651</v>
      </c>
      <c r="I226" s="14">
        <v>45297</v>
      </c>
    </row>
    <row r="227" spans="1:9" x14ac:dyDescent="0.15">
      <c r="A227" s="5">
        <v>226</v>
      </c>
      <c r="B227" s="6" t="s">
        <v>9</v>
      </c>
      <c r="C227" s="7">
        <v>1884</v>
      </c>
      <c r="D227" s="8">
        <v>45402</v>
      </c>
      <c r="E227" s="9" t="str">
        <f>+HYPERLINK("http://trademark.i-assist.jp/data/china/image_1884th/76239496.pdf", "76239496")</f>
        <v>76239496</v>
      </c>
      <c r="F227" s="6" t="s">
        <v>653</v>
      </c>
      <c r="G227" s="6" t="s">
        <v>652</v>
      </c>
      <c r="H227" s="8" t="s">
        <v>654</v>
      </c>
      <c r="I227" s="14">
        <v>45298</v>
      </c>
    </row>
    <row r="228" spans="1:9" x14ac:dyDescent="0.15">
      <c r="A228" s="5">
        <v>227</v>
      </c>
      <c r="B228" s="6" t="s">
        <v>9</v>
      </c>
      <c r="C228" s="7">
        <v>1884</v>
      </c>
      <c r="D228" s="8">
        <v>45402</v>
      </c>
      <c r="E228" s="9" t="str">
        <f>+HYPERLINK("http://trademark.i-assist.jp/data/china/image_1884th/76242327.pdf", "76242327")</f>
        <v>76242327</v>
      </c>
      <c r="F228" s="6" t="s">
        <v>656</v>
      </c>
      <c r="G228" s="6" t="s">
        <v>655</v>
      </c>
      <c r="H228" s="8" t="s">
        <v>657</v>
      </c>
      <c r="I228" s="14">
        <v>45299</v>
      </c>
    </row>
    <row r="229" spans="1:9" x14ac:dyDescent="0.15">
      <c r="A229" s="5">
        <v>228</v>
      </c>
      <c r="B229" s="6" t="s">
        <v>9</v>
      </c>
      <c r="C229" s="7">
        <v>1884</v>
      </c>
      <c r="D229" s="8">
        <v>45402</v>
      </c>
      <c r="E229" s="9" t="str">
        <f>+HYPERLINK("http://trademark.i-assist.jp/data/china/image_1884th/76242724.pdf", "76242724")</f>
        <v>76242724</v>
      </c>
      <c r="F229" s="6" t="s">
        <v>659</v>
      </c>
      <c r="G229" s="6" t="s">
        <v>658</v>
      </c>
      <c r="H229" s="8" t="s">
        <v>660</v>
      </c>
      <c r="I229" s="14">
        <v>45299</v>
      </c>
    </row>
    <row r="230" spans="1:9" x14ac:dyDescent="0.15">
      <c r="A230" s="5">
        <v>229</v>
      </c>
      <c r="B230" s="6" t="s">
        <v>9</v>
      </c>
      <c r="C230" s="7">
        <v>1884</v>
      </c>
      <c r="D230" s="8">
        <v>45402</v>
      </c>
      <c r="E230" s="9" t="str">
        <f>+HYPERLINK("http://trademark.i-assist.jp/data/china/image_1884th/76245374.pdf", "76245374")</f>
        <v>76245374</v>
      </c>
      <c r="F230" s="6" t="s">
        <v>662</v>
      </c>
      <c r="G230" s="6" t="s">
        <v>661</v>
      </c>
      <c r="H230" s="8" t="s">
        <v>663</v>
      </c>
      <c r="I230" s="14">
        <v>45299</v>
      </c>
    </row>
    <row r="231" spans="1:9" x14ac:dyDescent="0.15">
      <c r="A231" s="5">
        <v>230</v>
      </c>
      <c r="B231" s="6" t="s">
        <v>9</v>
      </c>
      <c r="C231" s="7">
        <v>1884</v>
      </c>
      <c r="D231" s="8">
        <v>45402</v>
      </c>
      <c r="E231" s="9" t="str">
        <f>+HYPERLINK("http://trademark.i-assist.jp/data/china/image_1884th/76245457.pdf", "76245457")</f>
        <v>76245457</v>
      </c>
      <c r="F231" s="6" t="s">
        <v>665</v>
      </c>
      <c r="G231" s="6" t="s">
        <v>664</v>
      </c>
      <c r="H231" s="8" t="s">
        <v>666</v>
      </c>
      <c r="I231" s="14">
        <v>45299</v>
      </c>
    </row>
    <row r="232" spans="1:9" x14ac:dyDescent="0.15">
      <c r="A232" s="5">
        <v>231</v>
      </c>
      <c r="B232" s="6" t="s">
        <v>9</v>
      </c>
      <c r="C232" s="7">
        <v>1884</v>
      </c>
      <c r="D232" s="8">
        <v>45402</v>
      </c>
      <c r="E232" s="9" t="str">
        <f>+HYPERLINK("http://trademark.i-assist.jp/data/china/image_1884th/76246772.pdf", "76246772")</f>
        <v>76246772</v>
      </c>
      <c r="F232" s="6" t="s">
        <v>668</v>
      </c>
      <c r="G232" s="6" t="s">
        <v>667</v>
      </c>
      <c r="H232" s="8" t="s">
        <v>669</v>
      </c>
      <c r="I232" s="14">
        <v>45299</v>
      </c>
    </row>
    <row r="233" spans="1:9" x14ac:dyDescent="0.15">
      <c r="A233" s="5">
        <v>232</v>
      </c>
      <c r="B233" s="6" t="s">
        <v>9</v>
      </c>
      <c r="C233" s="7">
        <v>1884</v>
      </c>
      <c r="D233" s="8">
        <v>45402</v>
      </c>
      <c r="E233" s="9" t="str">
        <f>+HYPERLINK("http://trademark.i-assist.jp/data/china/image_1884th/76247323.pdf", "76247323")</f>
        <v>76247323</v>
      </c>
      <c r="F233" s="6" t="s">
        <v>670</v>
      </c>
      <c r="G233" s="6" t="s">
        <v>655</v>
      </c>
      <c r="H233" s="8" t="s">
        <v>671</v>
      </c>
      <c r="I233" s="14">
        <v>45299</v>
      </c>
    </row>
    <row r="234" spans="1:9" x14ac:dyDescent="0.15">
      <c r="A234" s="5">
        <v>233</v>
      </c>
      <c r="B234" s="6" t="s">
        <v>9</v>
      </c>
      <c r="C234" s="7">
        <v>1884</v>
      </c>
      <c r="D234" s="8">
        <v>45402</v>
      </c>
      <c r="E234" s="9" t="str">
        <f>+HYPERLINK("http://trademark.i-assist.jp/data/china/image_1884th/76247684.pdf", "76247684")</f>
        <v>76247684</v>
      </c>
      <c r="F234" s="6" t="s">
        <v>673</v>
      </c>
      <c r="G234" s="6" t="s">
        <v>672</v>
      </c>
      <c r="H234" s="8" t="s">
        <v>674</v>
      </c>
      <c r="I234" s="14">
        <v>45299</v>
      </c>
    </row>
    <row r="235" spans="1:9" x14ac:dyDescent="0.15">
      <c r="A235" s="5">
        <v>234</v>
      </c>
      <c r="B235" s="6" t="s">
        <v>9</v>
      </c>
      <c r="C235" s="7">
        <v>1884</v>
      </c>
      <c r="D235" s="8">
        <v>45402</v>
      </c>
      <c r="E235" s="9" t="str">
        <f>+HYPERLINK("http://trademark.i-assist.jp/data/china/image_1884th/76247827.pdf", "76247827")</f>
        <v>76247827</v>
      </c>
      <c r="F235" s="6" t="s">
        <v>676</v>
      </c>
      <c r="G235" s="6" t="s">
        <v>675</v>
      </c>
      <c r="H235" s="8" t="s">
        <v>677</v>
      </c>
      <c r="I235" s="14">
        <v>45299</v>
      </c>
    </row>
    <row r="236" spans="1:9" x14ac:dyDescent="0.15">
      <c r="A236" s="5">
        <v>235</v>
      </c>
      <c r="B236" s="6" t="s">
        <v>9</v>
      </c>
      <c r="C236" s="7">
        <v>1884</v>
      </c>
      <c r="D236" s="8">
        <v>45402</v>
      </c>
      <c r="E236" s="9" t="str">
        <f>+HYPERLINK("http://trademark.i-assist.jp/data/china/image_1884th/76248277.pdf", "76248277")</f>
        <v>76248277</v>
      </c>
      <c r="F236" s="6" t="s">
        <v>167</v>
      </c>
      <c r="G236" s="6" t="s">
        <v>678</v>
      </c>
      <c r="H236" s="8" t="s">
        <v>679</v>
      </c>
      <c r="I236" s="14">
        <v>45299</v>
      </c>
    </row>
    <row r="237" spans="1:9" x14ac:dyDescent="0.15">
      <c r="A237" s="5">
        <v>236</v>
      </c>
      <c r="B237" s="6" t="s">
        <v>9</v>
      </c>
      <c r="C237" s="7">
        <v>1884</v>
      </c>
      <c r="D237" s="8">
        <v>45402</v>
      </c>
      <c r="E237" s="9" t="str">
        <f>+HYPERLINK("http://trademark.i-assist.jp/data/china/image_1884th/76249166.pdf", "76249166")</f>
        <v>76249166</v>
      </c>
      <c r="F237" s="6" t="s">
        <v>681</v>
      </c>
      <c r="G237" s="6" t="s">
        <v>680</v>
      </c>
      <c r="H237" s="8" t="s">
        <v>682</v>
      </c>
      <c r="I237" s="14">
        <v>45299</v>
      </c>
    </row>
    <row r="238" spans="1:9" x14ac:dyDescent="0.15">
      <c r="A238" s="5">
        <v>237</v>
      </c>
      <c r="B238" s="6" t="s">
        <v>9</v>
      </c>
      <c r="C238" s="7">
        <v>1884</v>
      </c>
      <c r="D238" s="8">
        <v>45402</v>
      </c>
      <c r="E238" s="9" t="str">
        <f>+HYPERLINK("http://trademark.i-assist.jp/data/china/image_1884th/76250647.pdf", "76250647")</f>
        <v>76250647</v>
      </c>
      <c r="F238" s="6" t="s">
        <v>167</v>
      </c>
      <c r="G238" s="6" t="s">
        <v>683</v>
      </c>
      <c r="H238" s="8" t="s">
        <v>684</v>
      </c>
      <c r="I238" s="14">
        <v>45299</v>
      </c>
    </row>
    <row r="239" spans="1:9" x14ac:dyDescent="0.15">
      <c r="A239" s="5">
        <v>238</v>
      </c>
      <c r="B239" s="6" t="s">
        <v>9</v>
      </c>
      <c r="C239" s="7">
        <v>1884</v>
      </c>
      <c r="D239" s="8">
        <v>45402</v>
      </c>
      <c r="E239" s="9" t="str">
        <f>+HYPERLINK("http://trademark.i-assist.jp/data/china/image_1884th/76250721.pdf", "76250721")</f>
        <v>76250721</v>
      </c>
      <c r="F239" s="6" t="s">
        <v>686</v>
      </c>
      <c r="G239" s="6" t="s">
        <v>685</v>
      </c>
      <c r="H239" s="8" t="s">
        <v>687</v>
      </c>
      <c r="I239" s="14">
        <v>45299</v>
      </c>
    </row>
    <row r="240" spans="1:9" x14ac:dyDescent="0.15">
      <c r="A240" s="5">
        <v>239</v>
      </c>
      <c r="B240" s="6" t="s">
        <v>9</v>
      </c>
      <c r="C240" s="7">
        <v>1884</v>
      </c>
      <c r="D240" s="8">
        <v>45402</v>
      </c>
      <c r="E240" s="9" t="str">
        <f>+HYPERLINK("http://trademark.i-assist.jp/data/china/image_1884th/76250727.pdf", "76250727")</f>
        <v>76250727</v>
      </c>
      <c r="F240" s="6" t="s">
        <v>689</v>
      </c>
      <c r="G240" s="6" t="s">
        <v>688</v>
      </c>
      <c r="H240" s="8" t="s">
        <v>690</v>
      </c>
      <c r="I240" s="14">
        <v>45299</v>
      </c>
    </row>
    <row r="241" spans="1:9" x14ac:dyDescent="0.15">
      <c r="A241" s="5">
        <v>240</v>
      </c>
      <c r="B241" s="6" t="s">
        <v>9</v>
      </c>
      <c r="C241" s="7">
        <v>1884</v>
      </c>
      <c r="D241" s="8">
        <v>45402</v>
      </c>
      <c r="E241" s="9" t="str">
        <f>+HYPERLINK("http://trademark.i-assist.jp/data/china/image_1884th/76252447.pdf", "76252447")</f>
        <v>76252447</v>
      </c>
      <c r="F241" s="6" t="s">
        <v>692</v>
      </c>
      <c r="G241" s="6" t="s">
        <v>691</v>
      </c>
      <c r="H241" s="8" t="s">
        <v>693</v>
      </c>
      <c r="I241" s="14">
        <v>45299</v>
      </c>
    </row>
    <row r="242" spans="1:9" x14ac:dyDescent="0.15">
      <c r="A242" s="5">
        <v>241</v>
      </c>
      <c r="B242" s="6" t="s">
        <v>9</v>
      </c>
      <c r="C242" s="7">
        <v>1884</v>
      </c>
      <c r="D242" s="8">
        <v>45402</v>
      </c>
      <c r="E242" s="9" t="str">
        <f>+HYPERLINK("http://trademark.i-assist.jp/data/china/image_1884th/76252796.pdf", "76252796")</f>
        <v>76252796</v>
      </c>
      <c r="F242" s="6" t="s">
        <v>695</v>
      </c>
      <c r="G242" s="6" t="s">
        <v>694</v>
      </c>
      <c r="H242" s="8" t="s">
        <v>696</v>
      </c>
      <c r="I242" s="14">
        <v>45299</v>
      </c>
    </row>
    <row r="243" spans="1:9" x14ac:dyDescent="0.15">
      <c r="A243" s="5">
        <v>242</v>
      </c>
      <c r="B243" s="6" t="s">
        <v>9</v>
      </c>
      <c r="C243" s="7">
        <v>1884</v>
      </c>
      <c r="D243" s="8">
        <v>45402</v>
      </c>
      <c r="E243" s="9" t="str">
        <f>+HYPERLINK("http://trademark.i-assist.jp/data/china/image_1884th/76253194.pdf", "76253194")</f>
        <v>76253194</v>
      </c>
      <c r="F243" s="6" t="s">
        <v>698</v>
      </c>
      <c r="G243" s="6" t="s">
        <v>697</v>
      </c>
      <c r="H243" s="8" t="s">
        <v>699</v>
      </c>
      <c r="I243" s="14">
        <v>45299</v>
      </c>
    </row>
    <row r="244" spans="1:9" x14ac:dyDescent="0.15">
      <c r="A244" s="5">
        <v>243</v>
      </c>
      <c r="B244" s="6" t="s">
        <v>9</v>
      </c>
      <c r="C244" s="7">
        <v>1884</v>
      </c>
      <c r="D244" s="8">
        <v>45402</v>
      </c>
      <c r="E244" s="9" t="str">
        <f>+HYPERLINK("http://trademark.i-assist.jp/data/china/image_1884th/76253245.pdf", "76253245")</f>
        <v>76253245</v>
      </c>
      <c r="F244" s="6" t="s">
        <v>701</v>
      </c>
      <c r="G244" s="6" t="s">
        <v>700</v>
      </c>
      <c r="H244" s="8" t="s">
        <v>702</v>
      </c>
      <c r="I244" s="14">
        <v>45299</v>
      </c>
    </row>
    <row r="245" spans="1:9" x14ac:dyDescent="0.15">
      <c r="A245" s="5">
        <v>244</v>
      </c>
      <c r="B245" s="6" t="s">
        <v>9</v>
      </c>
      <c r="C245" s="7">
        <v>1884</v>
      </c>
      <c r="D245" s="8">
        <v>45402</v>
      </c>
      <c r="E245" s="9" t="str">
        <f>+HYPERLINK("http://trademark.i-assist.jp/data/china/image_1884th/76258017.pdf", "76258017")</f>
        <v>76258017</v>
      </c>
      <c r="F245" s="6" t="s">
        <v>704</v>
      </c>
      <c r="G245" s="6" t="s">
        <v>703</v>
      </c>
      <c r="H245" s="8" t="s">
        <v>705</v>
      </c>
      <c r="I245" s="14">
        <v>45299</v>
      </c>
    </row>
    <row r="246" spans="1:9" x14ac:dyDescent="0.15">
      <c r="A246" s="5">
        <v>245</v>
      </c>
      <c r="B246" s="6" t="s">
        <v>9</v>
      </c>
      <c r="C246" s="7">
        <v>1884</v>
      </c>
      <c r="D246" s="8">
        <v>45402</v>
      </c>
      <c r="E246" s="9" t="str">
        <f>+HYPERLINK("http://trademark.i-assist.jp/data/china/image_1884th/76260026.pdf", "76260026")</f>
        <v>76260026</v>
      </c>
      <c r="F246" s="6" t="s">
        <v>707</v>
      </c>
      <c r="G246" s="6" t="s">
        <v>706</v>
      </c>
      <c r="H246" s="8" t="s">
        <v>708</v>
      </c>
      <c r="I246" s="14">
        <v>45299</v>
      </c>
    </row>
    <row r="247" spans="1:9" x14ac:dyDescent="0.15">
      <c r="A247" s="5">
        <v>246</v>
      </c>
      <c r="B247" s="6" t="s">
        <v>9</v>
      </c>
      <c r="C247" s="7">
        <v>1884</v>
      </c>
      <c r="D247" s="8">
        <v>45402</v>
      </c>
      <c r="E247" s="9" t="str">
        <f>+HYPERLINK("http://trademark.i-assist.jp/data/china/image_1884th/76261079.pdf", "76261079")</f>
        <v>76261079</v>
      </c>
      <c r="F247" s="6" t="s">
        <v>710</v>
      </c>
      <c r="G247" s="6" t="s">
        <v>709</v>
      </c>
      <c r="H247" s="8" t="s">
        <v>711</v>
      </c>
      <c r="I247" s="14">
        <v>45299</v>
      </c>
    </row>
    <row r="248" spans="1:9" x14ac:dyDescent="0.15">
      <c r="A248" s="5">
        <v>247</v>
      </c>
      <c r="B248" s="6" t="s">
        <v>9</v>
      </c>
      <c r="C248" s="7">
        <v>1884</v>
      </c>
      <c r="D248" s="8">
        <v>45402</v>
      </c>
      <c r="E248" s="9" t="str">
        <f>+HYPERLINK("http://trademark.i-assist.jp/data/china/image_1884th/76261318.pdf", "76261318")</f>
        <v>76261318</v>
      </c>
      <c r="F248" s="6" t="s">
        <v>713</v>
      </c>
      <c r="G248" s="6" t="s">
        <v>712</v>
      </c>
      <c r="H248" s="8" t="s">
        <v>714</v>
      </c>
      <c r="I248" s="14">
        <v>45299</v>
      </c>
    </row>
    <row r="249" spans="1:9" x14ac:dyDescent="0.15">
      <c r="A249" s="5">
        <v>248</v>
      </c>
      <c r="B249" s="6" t="s">
        <v>9</v>
      </c>
      <c r="C249" s="7">
        <v>1884</v>
      </c>
      <c r="D249" s="8">
        <v>45402</v>
      </c>
      <c r="E249" s="9" t="str">
        <f>+HYPERLINK("http://trademark.i-assist.jp/data/china/image_1884th/76263291.pdf", "76263291")</f>
        <v>76263291</v>
      </c>
      <c r="F249" s="6" t="s">
        <v>716</v>
      </c>
      <c r="G249" s="6" t="s">
        <v>715</v>
      </c>
      <c r="H249" s="8" t="s">
        <v>717</v>
      </c>
      <c r="I249" s="14">
        <v>45299</v>
      </c>
    </row>
    <row r="250" spans="1:9" x14ac:dyDescent="0.15">
      <c r="A250" s="5">
        <v>249</v>
      </c>
      <c r="B250" s="6" t="s">
        <v>9</v>
      </c>
      <c r="C250" s="7">
        <v>1884</v>
      </c>
      <c r="D250" s="8">
        <v>45402</v>
      </c>
      <c r="E250" s="9" t="str">
        <f>+HYPERLINK("http://trademark.i-assist.jp/data/china/image_1884th/76263530.pdf", "76263530")</f>
        <v>76263530</v>
      </c>
      <c r="F250" s="6" t="s">
        <v>719</v>
      </c>
      <c r="G250" s="6" t="s">
        <v>718</v>
      </c>
      <c r="H250" s="8" t="s">
        <v>720</v>
      </c>
      <c r="I250" s="14">
        <v>45299</v>
      </c>
    </row>
    <row r="251" spans="1:9" x14ac:dyDescent="0.15">
      <c r="A251" s="5">
        <v>250</v>
      </c>
      <c r="B251" s="6" t="s">
        <v>9</v>
      </c>
      <c r="C251" s="7">
        <v>1884</v>
      </c>
      <c r="D251" s="8">
        <v>45402</v>
      </c>
      <c r="E251" s="9" t="str">
        <f>+HYPERLINK("http://trademark.i-assist.jp/data/china/image_1884th/76263872.pdf", "76263872")</f>
        <v>76263872</v>
      </c>
      <c r="F251" s="6" t="s">
        <v>722</v>
      </c>
      <c r="G251" s="6" t="s">
        <v>721</v>
      </c>
      <c r="H251" s="8" t="s">
        <v>723</v>
      </c>
      <c r="I251" s="14">
        <v>45299</v>
      </c>
    </row>
    <row r="252" spans="1:9" x14ac:dyDescent="0.15">
      <c r="A252" s="5">
        <v>251</v>
      </c>
      <c r="B252" s="6" t="s">
        <v>9</v>
      </c>
      <c r="C252" s="7">
        <v>1884</v>
      </c>
      <c r="D252" s="8">
        <v>45402</v>
      </c>
      <c r="E252" s="9" t="str">
        <f>+HYPERLINK("http://trademark.i-assist.jp/data/china/image_1884th/76265831.pdf", "76265831")</f>
        <v>76265831</v>
      </c>
      <c r="F252" s="6" t="s">
        <v>725</v>
      </c>
      <c r="G252" s="6" t="s">
        <v>724</v>
      </c>
      <c r="H252" s="8" t="s">
        <v>726</v>
      </c>
      <c r="I252" s="14">
        <v>45299</v>
      </c>
    </row>
    <row r="253" spans="1:9" x14ac:dyDescent="0.15">
      <c r="A253" s="5">
        <v>252</v>
      </c>
      <c r="B253" s="6" t="s">
        <v>9</v>
      </c>
      <c r="C253" s="7">
        <v>1884</v>
      </c>
      <c r="D253" s="8">
        <v>45402</v>
      </c>
      <c r="E253" s="9" t="str">
        <f>+HYPERLINK("http://trademark.i-assist.jp/data/china/image_1884th/76266288.pdf", "76266288")</f>
        <v>76266288</v>
      </c>
      <c r="F253" s="6" t="s">
        <v>728</v>
      </c>
      <c r="G253" s="6" t="s">
        <v>727</v>
      </c>
      <c r="H253" s="8" t="s">
        <v>729</v>
      </c>
      <c r="I253" s="14">
        <v>45299</v>
      </c>
    </row>
    <row r="254" spans="1:9" x14ac:dyDescent="0.15">
      <c r="A254" s="5">
        <v>253</v>
      </c>
      <c r="B254" s="6" t="s">
        <v>9</v>
      </c>
      <c r="C254" s="7">
        <v>1884</v>
      </c>
      <c r="D254" s="8">
        <v>45402</v>
      </c>
      <c r="E254" s="9" t="str">
        <f>+HYPERLINK("http://trademark.i-assist.jp/data/china/image_1884th/76268703.pdf", "76268703")</f>
        <v>76268703</v>
      </c>
      <c r="F254" s="6" t="s">
        <v>731</v>
      </c>
      <c r="G254" s="6" t="s">
        <v>730</v>
      </c>
      <c r="H254" s="8" t="s">
        <v>732</v>
      </c>
      <c r="I254" s="14">
        <v>45300</v>
      </c>
    </row>
    <row r="255" spans="1:9" x14ac:dyDescent="0.15">
      <c r="A255" s="5">
        <v>254</v>
      </c>
      <c r="B255" s="6" t="s">
        <v>9</v>
      </c>
      <c r="C255" s="7">
        <v>1884</v>
      </c>
      <c r="D255" s="8">
        <v>45402</v>
      </c>
      <c r="E255" s="9" t="str">
        <f>+HYPERLINK("http://trademark.i-assist.jp/data/china/image_1884th/76271756.pdf", "76271756")</f>
        <v>76271756</v>
      </c>
      <c r="F255" s="6" t="s">
        <v>734</v>
      </c>
      <c r="G255" s="6" t="s">
        <v>733</v>
      </c>
      <c r="H255" s="8" t="s">
        <v>735</v>
      </c>
      <c r="I255" s="14">
        <v>45300</v>
      </c>
    </row>
    <row r="256" spans="1:9" x14ac:dyDescent="0.15">
      <c r="A256" s="5">
        <v>255</v>
      </c>
      <c r="B256" s="6" t="s">
        <v>9</v>
      </c>
      <c r="C256" s="7">
        <v>1884</v>
      </c>
      <c r="D256" s="8">
        <v>45402</v>
      </c>
      <c r="E256" s="9" t="str">
        <f>+HYPERLINK("http://trademark.i-assist.jp/data/china/image_1884th/76272324.pdf", "76272324")</f>
        <v>76272324</v>
      </c>
      <c r="F256" s="6" t="s">
        <v>737</v>
      </c>
      <c r="G256" s="6" t="s">
        <v>736</v>
      </c>
      <c r="H256" s="8" t="s">
        <v>738</v>
      </c>
      <c r="I256" s="14">
        <v>45300</v>
      </c>
    </row>
    <row r="257" spans="1:9" x14ac:dyDescent="0.15">
      <c r="A257" s="5">
        <v>256</v>
      </c>
      <c r="B257" s="6" t="s">
        <v>9</v>
      </c>
      <c r="C257" s="7">
        <v>1884</v>
      </c>
      <c r="D257" s="8">
        <v>45402</v>
      </c>
      <c r="E257" s="9" t="str">
        <f>+HYPERLINK("http://trademark.i-assist.jp/data/china/image_1884th/76273282.pdf", "76273282")</f>
        <v>76273282</v>
      </c>
      <c r="F257" s="6" t="s">
        <v>740</v>
      </c>
      <c r="G257" s="6" t="s">
        <v>739</v>
      </c>
      <c r="H257" s="8" t="s">
        <v>741</v>
      </c>
      <c r="I257" s="14">
        <v>45300</v>
      </c>
    </row>
    <row r="258" spans="1:9" x14ac:dyDescent="0.15">
      <c r="A258" s="5">
        <v>257</v>
      </c>
      <c r="B258" s="6" t="s">
        <v>9</v>
      </c>
      <c r="C258" s="7">
        <v>1884</v>
      </c>
      <c r="D258" s="8">
        <v>45402</v>
      </c>
      <c r="E258" s="9" t="str">
        <f>+HYPERLINK("http://trademark.i-assist.jp/data/china/image_1884th/76278488.pdf", "76278488")</f>
        <v>76278488</v>
      </c>
      <c r="F258" s="6" t="s">
        <v>742</v>
      </c>
      <c r="G258" s="6" t="s">
        <v>23</v>
      </c>
      <c r="H258" s="8" t="s">
        <v>743</v>
      </c>
      <c r="I258" s="14">
        <v>45300</v>
      </c>
    </row>
    <row r="259" spans="1:9" x14ac:dyDescent="0.15">
      <c r="A259" s="5">
        <v>258</v>
      </c>
      <c r="B259" s="6" t="s">
        <v>9</v>
      </c>
      <c r="C259" s="7">
        <v>1884</v>
      </c>
      <c r="D259" s="8">
        <v>45402</v>
      </c>
      <c r="E259" s="9" t="str">
        <f>+HYPERLINK("http://trademark.i-assist.jp/data/china/image_1884th/76280527.pdf", "76280527")</f>
        <v>76280527</v>
      </c>
      <c r="F259" s="6" t="s">
        <v>745</v>
      </c>
      <c r="G259" s="6" t="s">
        <v>744</v>
      </c>
      <c r="H259" s="8" t="s">
        <v>746</v>
      </c>
      <c r="I259" s="14">
        <v>45300</v>
      </c>
    </row>
    <row r="260" spans="1:9" x14ac:dyDescent="0.15">
      <c r="A260" s="5">
        <v>259</v>
      </c>
      <c r="B260" s="6" t="s">
        <v>9</v>
      </c>
      <c r="C260" s="7">
        <v>1884</v>
      </c>
      <c r="D260" s="8">
        <v>45402</v>
      </c>
      <c r="E260" s="9" t="str">
        <f>+HYPERLINK("http://trademark.i-assist.jp/data/china/image_1884th/76283336.pdf", "76283336")</f>
        <v>76283336</v>
      </c>
      <c r="F260" s="6" t="s">
        <v>748</v>
      </c>
      <c r="G260" s="6" t="s">
        <v>747</v>
      </c>
      <c r="H260" s="8" t="s">
        <v>749</v>
      </c>
      <c r="I260" s="14">
        <v>45300</v>
      </c>
    </row>
    <row r="261" spans="1:9" x14ac:dyDescent="0.15">
      <c r="A261" s="5">
        <v>260</v>
      </c>
      <c r="B261" s="6" t="s">
        <v>9</v>
      </c>
      <c r="C261" s="7">
        <v>1884</v>
      </c>
      <c r="D261" s="8">
        <v>45402</v>
      </c>
      <c r="E261" s="9" t="str">
        <f>+HYPERLINK("http://trademark.i-assist.jp/data/china/image_1884th/76283508.pdf", "76283508")</f>
        <v>76283508</v>
      </c>
      <c r="F261" s="6" t="s">
        <v>751</v>
      </c>
      <c r="G261" s="6" t="s">
        <v>750</v>
      </c>
      <c r="H261" s="8" t="s">
        <v>752</v>
      </c>
      <c r="I261" s="14">
        <v>45300</v>
      </c>
    </row>
    <row r="262" spans="1:9" x14ac:dyDescent="0.15">
      <c r="A262" s="5">
        <v>261</v>
      </c>
      <c r="B262" s="6" t="s">
        <v>9</v>
      </c>
      <c r="C262" s="7">
        <v>1884</v>
      </c>
      <c r="D262" s="8">
        <v>45402</v>
      </c>
      <c r="E262" s="9" t="str">
        <f>+HYPERLINK("http://trademark.i-assist.jp/data/china/image_1884th/76283852.pdf", "76283852")</f>
        <v>76283852</v>
      </c>
      <c r="F262" s="6" t="s">
        <v>754</v>
      </c>
      <c r="G262" s="6" t="s">
        <v>753</v>
      </c>
      <c r="H262" s="8" t="s">
        <v>755</v>
      </c>
      <c r="I262" s="14">
        <v>45300</v>
      </c>
    </row>
    <row r="263" spans="1:9" x14ac:dyDescent="0.15">
      <c r="A263" s="5">
        <v>262</v>
      </c>
      <c r="B263" s="6" t="s">
        <v>9</v>
      </c>
      <c r="C263" s="7">
        <v>1884</v>
      </c>
      <c r="D263" s="8">
        <v>45402</v>
      </c>
      <c r="E263" s="9" t="str">
        <f>+HYPERLINK("http://trademark.i-assist.jp/data/china/image_1884th/76283978.pdf", "76283978")</f>
        <v>76283978</v>
      </c>
      <c r="F263" s="6" t="s">
        <v>756</v>
      </c>
      <c r="G263" s="6" t="s">
        <v>22</v>
      </c>
      <c r="H263" s="8" t="s">
        <v>757</v>
      </c>
      <c r="I263" s="14">
        <v>45300</v>
      </c>
    </row>
    <row r="264" spans="1:9" x14ac:dyDescent="0.15">
      <c r="A264" s="5">
        <v>263</v>
      </c>
      <c r="B264" s="6" t="s">
        <v>9</v>
      </c>
      <c r="C264" s="7">
        <v>1884</v>
      </c>
      <c r="D264" s="8">
        <v>45402</v>
      </c>
      <c r="E264" s="9" t="str">
        <f>+HYPERLINK("http://trademark.i-assist.jp/data/china/image_1884th/76285541.pdf", "76285541")</f>
        <v>76285541</v>
      </c>
      <c r="F264" s="6" t="s">
        <v>759</v>
      </c>
      <c r="G264" s="6" t="s">
        <v>758</v>
      </c>
      <c r="H264" s="8" t="s">
        <v>760</v>
      </c>
      <c r="I264" s="14">
        <v>45300</v>
      </c>
    </row>
    <row r="265" spans="1:9" x14ac:dyDescent="0.15">
      <c r="A265" s="5">
        <v>264</v>
      </c>
      <c r="B265" s="6" t="s">
        <v>9</v>
      </c>
      <c r="C265" s="7">
        <v>1884</v>
      </c>
      <c r="D265" s="8">
        <v>45402</v>
      </c>
      <c r="E265" s="9" t="str">
        <f>+HYPERLINK("http://trademark.i-assist.jp/data/china/image_1884th/76287938.pdf", "76287938")</f>
        <v>76287938</v>
      </c>
      <c r="F265" s="6" t="s">
        <v>762</v>
      </c>
      <c r="G265" s="6" t="s">
        <v>761</v>
      </c>
      <c r="H265" s="8" t="s">
        <v>763</v>
      </c>
      <c r="I265" s="14">
        <v>45300</v>
      </c>
    </row>
    <row r="266" spans="1:9" x14ac:dyDescent="0.15">
      <c r="A266" s="5">
        <v>265</v>
      </c>
      <c r="B266" s="6" t="s">
        <v>9</v>
      </c>
      <c r="C266" s="7">
        <v>1884</v>
      </c>
      <c r="D266" s="8">
        <v>45402</v>
      </c>
      <c r="E266" s="9" t="str">
        <f>+HYPERLINK("http://trademark.i-assist.jp/data/china/image_1884th/76288214.pdf", "76288214")</f>
        <v>76288214</v>
      </c>
      <c r="F266" s="6" t="s">
        <v>765</v>
      </c>
      <c r="G266" s="6" t="s">
        <v>764</v>
      </c>
      <c r="H266" s="8" t="s">
        <v>766</v>
      </c>
      <c r="I266" s="14">
        <v>45300</v>
      </c>
    </row>
    <row r="267" spans="1:9" x14ac:dyDescent="0.15">
      <c r="A267" s="5">
        <v>266</v>
      </c>
      <c r="B267" s="6" t="s">
        <v>9</v>
      </c>
      <c r="C267" s="7">
        <v>1884</v>
      </c>
      <c r="D267" s="8">
        <v>45402</v>
      </c>
      <c r="E267" s="9" t="str">
        <f>+HYPERLINK("http://trademark.i-assist.jp/data/china/image_1884th/76288277.pdf", "76288277")</f>
        <v>76288277</v>
      </c>
      <c r="F267" s="6" t="s">
        <v>767</v>
      </c>
      <c r="G267" s="6" t="s">
        <v>22</v>
      </c>
      <c r="H267" s="8" t="s">
        <v>768</v>
      </c>
      <c r="I267" s="14">
        <v>45300</v>
      </c>
    </row>
    <row r="268" spans="1:9" x14ac:dyDescent="0.15">
      <c r="A268" s="5">
        <v>267</v>
      </c>
      <c r="B268" s="6" t="s">
        <v>9</v>
      </c>
      <c r="C268" s="7">
        <v>1884</v>
      </c>
      <c r="D268" s="8">
        <v>45402</v>
      </c>
      <c r="E268" s="9" t="str">
        <f>+HYPERLINK("http://trademark.i-assist.jp/data/china/image_1884th/76289100.pdf", "76289100")</f>
        <v>76289100</v>
      </c>
      <c r="F268" s="6" t="s">
        <v>770</v>
      </c>
      <c r="G268" s="6" t="s">
        <v>769</v>
      </c>
      <c r="H268" s="8" t="s">
        <v>771</v>
      </c>
      <c r="I268" s="14">
        <v>45300</v>
      </c>
    </row>
    <row r="269" spans="1:9" x14ac:dyDescent="0.15">
      <c r="A269" s="5">
        <v>268</v>
      </c>
      <c r="B269" s="6" t="s">
        <v>9</v>
      </c>
      <c r="C269" s="7">
        <v>1884</v>
      </c>
      <c r="D269" s="8">
        <v>45402</v>
      </c>
      <c r="E269" s="9" t="str">
        <f>+HYPERLINK("http://trademark.i-assist.jp/data/china/image_1884th/76289294.pdf", "76289294")</f>
        <v>76289294</v>
      </c>
      <c r="F269" s="6" t="s">
        <v>773</v>
      </c>
      <c r="G269" s="6" t="s">
        <v>772</v>
      </c>
      <c r="H269" s="8" t="s">
        <v>774</v>
      </c>
      <c r="I269" s="14">
        <v>45300</v>
      </c>
    </row>
    <row r="270" spans="1:9" x14ac:dyDescent="0.15">
      <c r="A270" s="5">
        <v>269</v>
      </c>
      <c r="B270" s="6" t="s">
        <v>9</v>
      </c>
      <c r="C270" s="7">
        <v>1884</v>
      </c>
      <c r="D270" s="8">
        <v>45402</v>
      </c>
      <c r="E270" s="9" t="str">
        <f>+HYPERLINK("http://trademark.i-assist.jp/data/china/image_1884th/76289399.pdf", "76289399")</f>
        <v>76289399</v>
      </c>
      <c r="F270" s="6" t="s">
        <v>776</v>
      </c>
      <c r="G270" s="6" t="s">
        <v>775</v>
      </c>
      <c r="H270" s="8" t="s">
        <v>777</v>
      </c>
      <c r="I270" s="14">
        <v>45300</v>
      </c>
    </row>
    <row r="271" spans="1:9" x14ac:dyDescent="0.15">
      <c r="A271" s="5">
        <v>270</v>
      </c>
      <c r="B271" s="6" t="s">
        <v>9</v>
      </c>
      <c r="C271" s="7">
        <v>1884</v>
      </c>
      <c r="D271" s="8">
        <v>45402</v>
      </c>
      <c r="E271" s="9" t="str">
        <f>+HYPERLINK("http://trademark.i-assist.jp/data/china/image_1884th/76289820.pdf", "76289820")</f>
        <v>76289820</v>
      </c>
      <c r="F271" s="6" t="s">
        <v>779</v>
      </c>
      <c r="G271" s="6" t="s">
        <v>778</v>
      </c>
      <c r="H271" s="8" t="s">
        <v>780</v>
      </c>
      <c r="I271" s="14">
        <v>45300</v>
      </c>
    </row>
    <row r="272" spans="1:9" x14ac:dyDescent="0.15">
      <c r="A272" s="5">
        <v>271</v>
      </c>
      <c r="B272" s="6" t="s">
        <v>9</v>
      </c>
      <c r="C272" s="7">
        <v>1884</v>
      </c>
      <c r="D272" s="8">
        <v>45402</v>
      </c>
      <c r="E272" s="9" t="str">
        <f>+HYPERLINK("http://trademark.i-assist.jp/data/china/image_1884th/76291032.pdf", "76291032")</f>
        <v>76291032</v>
      </c>
      <c r="F272" s="6" t="s">
        <v>553</v>
      </c>
      <c r="G272" s="6" t="s">
        <v>552</v>
      </c>
      <c r="H272" s="8" t="s">
        <v>781</v>
      </c>
      <c r="I272" s="14">
        <v>45300</v>
      </c>
    </row>
    <row r="273" spans="1:9" x14ac:dyDescent="0.15">
      <c r="A273" s="5">
        <v>272</v>
      </c>
      <c r="B273" s="6" t="s">
        <v>9</v>
      </c>
      <c r="C273" s="7">
        <v>1884</v>
      </c>
      <c r="D273" s="8">
        <v>45402</v>
      </c>
      <c r="E273" s="9" t="str">
        <f>+HYPERLINK("http://trademark.i-assist.jp/data/china/image_1884th/76291082.pdf", "76291082")</f>
        <v>76291082</v>
      </c>
      <c r="F273" s="6" t="s">
        <v>782</v>
      </c>
      <c r="G273" s="6" t="s">
        <v>775</v>
      </c>
      <c r="H273" s="8" t="s">
        <v>783</v>
      </c>
      <c r="I273" s="14">
        <v>45300</v>
      </c>
    </row>
    <row r="274" spans="1:9" x14ac:dyDescent="0.15">
      <c r="A274" s="5">
        <v>273</v>
      </c>
      <c r="B274" s="6" t="s">
        <v>9</v>
      </c>
      <c r="C274" s="7">
        <v>1884</v>
      </c>
      <c r="D274" s="8">
        <v>45402</v>
      </c>
      <c r="E274" s="9" t="str">
        <f>+HYPERLINK("http://trademark.i-assist.jp/data/china/image_1884th/76291275.pdf", "76291275")</f>
        <v>76291275</v>
      </c>
      <c r="F274" s="6" t="s">
        <v>785</v>
      </c>
      <c r="G274" s="6" t="s">
        <v>784</v>
      </c>
      <c r="H274" s="8" t="s">
        <v>786</v>
      </c>
      <c r="I274" s="14">
        <v>45300</v>
      </c>
    </row>
    <row r="275" spans="1:9" x14ac:dyDescent="0.15">
      <c r="A275" s="5">
        <v>274</v>
      </c>
      <c r="B275" s="6" t="s">
        <v>9</v>
      </c>
      <c r="C275" s="7">
        <v>1884</v>
      </c>
      <c r="D275" s="8">
        <v>45402</v>
      </c>
      <c r="E275" s="9" t="str">
        <f>+HYPERLINK("http://trademark.i-assist.jp/data/china/image_1884th/76292271.pdf", "76292271")</f>
        <v>76292271</v>
      </c>
      <c r="F275" s="6" t="s">
        <v>788</v>
      </c>
      <c r="G275" s="6" t="s">
        <v>787</v>
      </c>
      <c r="H275" s="8" t="s">
        <v>789</v>
      </c>
      <c r="I275" s="14">
        <v>45300</v>
      </c>
    </row>
    <row r="276" spans="1:9" x14ac:dyDescent="0.15">
      <c r="A276" s="5">
        <v>275</v>
      </c>
      <c r="B276" s="6" t="s">
        <v>9</v>
      </c>
      <c r="C276" s="7">
        <v>1884</v>
      </c>
      <c r="D276" s="8">
        <v>45402</v>
      </c>
      <c r="E276" s="9" t="str">
        <f>+HYPERLINK("http://trademark.i-assist.jp/data/china/image_1884th/76292658.pdf", "76292658")</f>
        <v>76292658</v>
      </c>
      <c r="F276" s="6" t="s">
        <v>791</v>
      </c>
      <c r="G276" s="6" t="s">
        <v>790</v>
      </c>
      <c r="H276" s="8" t="s">
        <v>792</v>
      </c>
      <c r="I276" s="14">
        <v>45300</v>
      </c>
    </row>
    <row r="277" spans="1:9" x14ac:dyDescent="0.15">
      <c r="A277" s="5">
        <v>276</v>
      </c>
      <c r="B277" s="6" t="s">
        <v>9</v>
      </c>
      <c r="C277" s="7">
        <v>1884</v>
      </c>
      <c r="D277" s="8">
        <v>45402</v>
      </c>
      <c r="E277" s="9" t="str">
        <f>+HYPERLINK("http://trademark.i-assist.jp/data/china/image_1884th/76292845.pdf", "76292845")</f>
        <v>76292845</v>
      </c>
      <c r="F277" s="6" t="s">
        <v>794</v>
      </c>
      <c r="G277" s="6" t="s">
        <v>793</v>
      </c>
      <c r="H277" s="8" t="s">
        <v>795</v>
      </c>
      <c r="I277" s="14">
        <v>45301</v>
      </c>
    </row>
    <row r="278" spans="1:9" x14ac:dyDescent="0.15">
      <c r="A278" s="5">
        <v>277</v>
      </c>
      <c r="B278" s="6" t="s">
        <v>9</v>
      </c>
      <c r="C278" s="7">
        <v>1884</v>
      </c>
      <c r="D278" s="8">
        <v>45402</v>
      </c>
      <c r="E278" s="9" t="str">
        <f>+HYPERLINK("http://trademark.i-assist.jp/data/china/image_1884th/76294261.pdf", "76294261")</f>
        <v>76294261</v>
      </c>
      <c r="F278" s="6" t="s">
        <v>797</v>
      </c>
      <c r="G278" s="6" t="s">
        <v>796</v>
      </c>
      <c r="H278" s="8" t="s">
        <v>798</v>
      </c>
      <c r="I278" s="14">
        <v>45301</v>
      </c>
    </row>
    <row r="279" spans="1:9" x14ac:dyDescent="0.15">
      <c r="A279" s="5">
        <v>278</v>
      </c>
      <c r="B279" s="6" t="s">
        <v>9</v>
      </c>
      <c r="C279" s="7">
        <v>1884</v>
      </c>
      <c r="D279" s="8">
        <v>45402</v>
      </c>
      <c r="E279" s="9" t="str">
        <f>+HYPERLINK("http://trademark.i-assist.jp/data/china/image_1884th/76294958.pdf", "76294958")</f>
        <v>76294958</v>
      </c>
      <c r="F279" s="6" t="s">
        <v>800</v>
      </c>
      <c r="G279" s="6" t="s">
        <v>799</v>
      </c>
      <c r="H279" s="8" t="s">
        <v>801</v>
      </c>
      <c r="I279" s="14">
        <v>45301</v>
      </c>
    </row>
    <row r="280" spans="1:9" x14ac:dyDescent="0.15">
      <c r="A280" s="5">
        <v>279</v>
      </c>
      <c r="B280" s="6" t="s">
        <v>9</v>
      </c>
      <c r="C280" s="7">
        <v>1884</v>
      </c>
      <c r="D280" s="8">
        <v>45402</v>
      </c>
      <c r="E280" s="9" t="str">
        <f>+HYPERLINK("http://trademark.i-assist.jp/data/china/image_1884th/76295265.pdf", "76295265")</f>
        <v>76295265</v>
      </c>
      <c r="F280" s="6" t="s">
        <v>803</v>
      </c>
      <c r="G280" s="6" t="s">
        <v>802</v>
      </c>
      <c r="H280" s="8" t="s">
        <v>804</v>
      </c>
      <c r="I280" s="14">
        <v>45301</v>
      </c>
    </row>
    <row r="281" spans="1:9" x14ac:dyDescent="0.15">
      <c r="A281" s="5">
        <v>280</v>
      </c>
      <c r="B281" s="6" t="s">
        <v>9</v>
      </c>
      <c r="C281" s="7">
        <v>1884</v>
      </c>
      <c r="D281" s="8">
        <v>45402</v>
      </c>
      <c r="E281" s="9" t="str">
        <f>+HYPERLINK("http://trademark.i-assist.jp/data/china/image_1884th/76295289.pdf", "76295289")</f>
        <v>76295289</v>
      </c>
      <c r="F281" s="6" t="s">
        <v>806</v>
      </c>
      <c r="G281" s="6" t="s">
        <v>805</v>
      </c>
      <c r="H281" s="8" t="s">
        <v>807</v>
      </c>
      <c r="I281" s="14">
        <v>45301</v>
      </c>
    </row>
    <row r="282" spans="1:9" x14ac:dyDescent="0.15">
      <c r="A282" s="5">
        <v>281</v>
      </c>
      <c r="B282" s="6" t="s">
        <v>9</v>
      </c>
      <c r="C282" s="7">
        <v>1884</v>
      </c>
      <c r="D282" s="8">
        <v>45402</v>
      </c>
      <c r="E282" s="9" t="str">
        <f>+HYPERLINK("http://trademark.i-assist.jp/data/china/image_1884th/76295328.pdf", "76295328")</f>
        <v>76295328</v>
      </c>
      <c r="F282" s="6" t="s">
        <v>808</v>
      </c>
      <c r="G282" s="6" t="s">
        <v>23</v>
      </c>
      <c r="H282" s="8" t="s">
        <v>809</v>
      </c>
      <c r="I282" s="14">
        <v>45301</v>
      </c>
    </row>
    <row r="283" spans="1:9" x14ac:dyDescent="0.15">
      <c r="A283" s="5">
        <v>282</v>
      </c>
      <c r="B283" s="6" t="s">
        <v>9</v>
      </c>
      <c r="C283" s="7">
        <v>1884</v>
      </c>
      <c r="D283" s="8">
        <v>45402</v>
      </c>
      <c r="E283" s="9" t="str">
        <f>+HYPERLINK("http://trademark.i-assist.jp/data/china/image_1884th/76296998.pdf", "76296998")</f>
        <v>76296998</v>
      </c>
      <c r="F283" s="6" t="s">
        <v>811</v>
      </c>
      <c r="G283" s="6" t="s">
        <v>810</v>
      </c>
      <c r="H283" s="8" t="s">
        <v>812</v>
      </c>
      <c r="I283" s="14">
        <v>45301</v>
      </c>
    </row>
    <row r="284" spans="1:9" x14ac:dyDescent="0.15">
      <c r="A284" s="5">
        <v>283</v>
      </c>
      <c r="B284" s="6" t="s">
        <v>9</v>
      </c>
      <c r="C284" s="7">
        <v>1884</v>
      </c>
      <c r="D284" s="8">
        <v>45402</v>
      </c>
      <c r="E284" s="9" t="str">
        <f>+HYPERLINK("http://trademark.i-assist.jp/data/china/image_1884th/76300035.pdf", "76300035")</f>
        <v>76300035</v>
      </c>
      <c r="F284" s="6" t="s">
        <v>814</v>
      </c>
      <c r="G284" s="6" t="s">
        <v>813</v>
      </c>
      <c r="H284" s="8" t="s">
        <v>815</v>
      </c>
      <c r="I284" s="14">
        <v>45301</v>
      </c>
    </row>
    <row r="285" spans="1:9" x14ac:dyDescent="0.15">
      <c r="A285" s="5">
        <v>284</v>
      </c>
      <c r="B285" s="6" t="s">
        <v>9</v>
      </c>
      <c r="C285" s="7">
        <v>1884</v>
      </c>
      <c r="D285" s="8">
        <v>45402</v>
      </c>
      <c r="E285" s="9" t="str">
        <f>+HYPERLINK("http://trademark.i-assist.jp/data/china/image_1884th/76300156.pdf", "76300156")</f>
        <v>76300156</v>
      </c>
      <c r="F285" s="6" t="s">
        <v>817</v>
      </c>
      <c r="G285" s="6" t="s">
        <v>816</v>
      </c>
      <c r="H285" s="8" t="s">
        <v>818</v>
      </c>
      <c r="I285" s="14">
        <v>45301</v>
      </c>
    </row>
    <row r="286" spans="1:9" x14ac:dyDescent="0.15">
      <c r="A286" s="5">
        <v>285</v>
      </c>
      <c r="B286" s="6" t="s">
        <v>9</v>
      </c>
      <c r="C286" s="7">
        <v>1884</v>
      </c>
      <c r="D286" s="8">
        <v>45402</v>
      </c>
      <c r="E286" s="9" t="str">
        <f>+HYPERLINK("http://trademark.i-assist.jp/data/china/image_1884th/76300681.pdf", "76300681")</f>
        <v>76300681</v>
      </c>
      <c r="F286" s="6" t="s">
        <v>167</v>
      </c>
      <c r="G286" s="6" t="s">
        <v>819</v>
      </c>
      <c r="H286" s="8" t="s">
        <v>820</v>
      </c>
      <c r="I286" s="14">
        <v>45301</v>
      </c>
    </row>
    <row r="287" spans="1:9" x14ac:dyDescent="0.15">
      <c r="A287" s="5">
        <v>286</v>
      </c>
      <c r="B287" s="6" t="s">
        <v>9</v>
      </c>
      <c r="C287" s="7">
        <v>1884</v>
      </c>
      <c r="D287" s="8">
        <v>45402</v>
      </c>
      <c r="E287" s="9" t="str">
        <f>+HYPERLINK("http://trademark.i-assist.jp/data/china/image_1884th/76301024.pdf", "76301024")</f>
        <v>76301024</v>
      </c>
      <c r="F287" s="6" t="s">
        <v>822</v>
      </c>
      <c r="G287" s="6" t="s">
        <v>821</v>
      </c>
      <c r="H287" s="8" t="s">
        <v>823</v>
      </c>
      <c r="I287" s="14">
        <v>45301</v>
      </c>
    </row>
    <row r="288" spans="1:9" x14ac:dyDescent="0.15">
      <c r="A288" s="5">
        <v>287</v>
      </c>
      <c r="B288" s="6" t="s">
        <v>9</v>
      </c>
      <c r="C288" s="7">
        <v>1884</v>
      </c>
      <c r="D288" s="8">
        <v>45402</v>
      </c>
      <c r="E288" s="9" t="str">
        <f>+HYPERLINK("http://trademark.i-assist.jp/data/china/image_1884th/76303156.pdf", "76303156")</f>
        <v>76303156</v>
      </c>
      <c r="F288" s="6" t="s">
        <v>825</v>
      </c>
      <c r="G288" s="6" t="s">
        <v>824</v>
      </c>
      <c r="H288" s="8" t="s">
        <v>826</v>
      </c>
      <c r="I288" s="14">
        <v>45301</v>
      </c>
    </row>
    <row r="289" spans="1:9" x14ac:dyDescent="0.15">
      <c r="A289" s="5">
        <v>288</v>
      </c>
      <c r="B289" s="6" t="s">
        <v>9</v>
      </c>
      <c r="C289" s="7">
        <v>1884</v>
      </c>
      <c r="D289" s="8">
        <v>45402</v>
      </c>
      <c r="E289" s="9" t="str">
        <f>+HYPERLINK("http://trademark.i-assist.jp/data/china/image_1884th/76303238.pdf", "76303238")</f>
        <v>76303238</v>
      </c>
      <c r="F289" s="6" t="s">
        <v>167</v>
      </c>
      <c r="G289" s="6" t="s">
        <v>827</v>
      </c>
      <c r="H289" s="8" t="s">
        <v>828</v>
      </c>
      <c r="I289" s="14">
        <v>45301</v>
      </c>
    </row>
    <row r="290" spans="1:9" x14ac:dyDescent="0.15">
      <c r="A290" s="5">
        <v>289</v>
      </c>
      <c r="B290" s="6" t="s">
        <v>9</v>
      </c>
      <c r="C290" s="7">
        <v>1884</v>
      </c>
      <c r="D290" s="8">
        <v>45402</v>
      </c>
      <c r="E290" s="9" t="str">
        <f>+HYPERLINK("http://trademark.i-assist.jp/data/china/image_1884th/76303308.pdf", "76303308")</f>
        <v>76303308</v>
      </c>
      <c r="F290" s="6" t="s">
        <v>829</v>
      </c>
      <c r="G290" s="6" t="s">
        <v>813</v>
      </c>
      <c r="H290" s="8" t="s">
        <v>830</v>
      </c>
      <c r="I290" s="14">
        <v>45301</v>
      </c>
    </row>
    <row r="291" spans="1:9" x14ac:dyDescent="0.15">
      <c r="A291" s="5">
        <v>290</v>
      </c>
      <c r="B291" s="6" t="s">
        <v>9</v>
      </c>
      <c r="C291" s="7">
        <v>1884</v>
      </c>
      <c r="D291" s="8">
        <v>45402</v>
      </c>
      <c r="E291" s="9" t="str">
        <f>+HYPERLINK("http://trademark.i-assist.jp/data/china/image_1884th/76305984.pdf", "76305984")</f>
        <v>76305984</v>
      </c>
      <c r="F291" s="6" t="s">
        <v>832</v>
      </c>
      <c r="G291" s="6" t="s">
        <v>831</v>
      </c>
      <c r="H291" s="8" t="s">
        <v>833</v>
      </c>
      <c r="I291" s="14">
        <v>45301</v>
      </c>
    </row>
    <row r="292" spans="1:9" x14ac:dyDescent="0.15">
      <c r="A292" s="5">
        <v>291</v>
      </c>
      <c r="B292" s="6" t="s">
        <v>9</v>
      </c>
      <c r="C292" s="7">
        <v>1884</v>
      </c>
      <c r="D292" s="8">
        <v>45402</v>
      </c>
      <c r="E292" s="9" t="str">
        <f>+HYPERLINK("http://trademark.i-assist.jp/data/china/image_1884th/76307045.pdf", "76307045")</f>
        <v>76307045</v>
      </c>
      <c r="F292" s="6" t="s">
        <v>835</v>
      </c>
      <c r="G292" s="6" t="s">
        <v>834</v>
      </c>
      <c r="H292" s="8" t="s">
        <v>836</v>
      </c>
      <c r="I292" s="14">
        <v>45301</v>
      </c>
    </row>
    <row r="293" spans="1:9" x14ac:dyDescent="0.15">
      <c r="A293" s="5">
        <v>292</v>
      </c>
      <c r="B293" s="6" t="s">
        <v>9</v>
      </c>
      <c r="C293" s="7">
        <v>1884</v>
      </c>
      <c r="D293" s="8">
        <v>45402</v>
      </c>
      <c r="E293" s="9" t="str">
        <f>+HYPERLINK("http://trademark.i-assist.jp/data/china/image_1884th/76307652.pdf", "76307652")</f>
        <v>76307652</v>
      </c>
      <c r="F293" s="6" t="s">
        <v>838</v>
      </c>
      <c r="G293" s="6" t="s">
        <v>837</v>
      </c>
      <c r="H293" s="8" t="s">
        <v>839</v>
      </c>
      <c r="I293" s="14">
        <v>45301</v>
      </c>
    </row>
    <row r="294" spans="1:9" x14ac:dyDescent="0.15">
      <c r="A294" s="5">
        <v>293</v>
      </c>
      <c r="B294" s="6" t="s">
        <v>9</v>
      </c>
      <c r="C294" s="7">
        <v>1884</v>
      </c>
      <c r="D294" s="8">
        <v>45402</v>
      </c>
      <c r="E294" s="9" t="str">
        <f>+HYPERLINK("http://trademark.i-assist.jp/data/china/image_1884th/76308195.pdf", "76308195")</f>
        <v>76308195</v>
      </c>
      <c r="F294" s="6" t="s">
        <v>841</v>
      </c>
      <c r="G294" s="6" t="s">
        <v>840</v>
      </c>
      <c r="H294" s="8" t="s">
        <v>842</v>
      </c>
      <c r="I294" s="14">
        <v>45301</v>
      </c>
    </row>
    <row r="295" spans="1:9" x14ac:dyDescent="0.15">
      <c r="A295" s="5">
        <v>294</v>
      </c>
      <c r="B295" s="6" t="s">
        <v>9</v>
      </c>
      <c r="C295" s="7">
        <v>1884</v>
      </c>
      <c r="D295" s="8">
        <v>45402</v>
      </c>
      <c r="E295" s="9" t="str">
        <f>+HYPERLINK("http://trademark.i-assist.jp/data/china/image_1884th/76309865.pdf", "76309865")</f>
        <v>76309865</v>
      </c>
      <c r="F295" s="6" t="s">
        <v>844</v>
      </c>
      <c r="G295" s="6" t="s">
        <v>843</v>
      </c>
      <c r="H295" s="8" t="s">
        <v>845</v>
      </c>
      <c r="I295" s="14">
        <v>45301</v>
      </c>
    </row>
    <row r="296" spans="1:9" x14ac:dyDescent="0.15">
      <c r="A296" s="5">
        <v>295</v>
      </c>
      <c r="B296" s="6" t="s">
        <v>9</v>
      </c>
      <c r="C296" s="7">
        <v>1884</v>
      </c>
      <c r="D296" s="8">
        <v>45402</v>
      </c>
      <c r="E296" s="9" t="str">
        <f>+HYPERLINK("http://trademark.i-assist.jp/data/china/image_1884th/76310231.pdf", "76310231")</f>
        <v>76310231</v>
      </c>
      <c r="F296" s="6" t="s">
        <v>847</v>
      </c>
      <c r="G296" s="6" t="s">
        <v>846</v>
      </c>
      <c r="H296" s="8" t="s">
        <v>848</v>
      </c>
      <c r="I296" s="14">
        <v>45301</v>
      </c>
    </row>
    <row r="297" spans="1:9" x14ac:dyDescent="0.15">
      <c r="A297" s="5">
        <v>296</v>
      </c>
      <c r="B297" s="6" t="s">
        <v>9</v>
      </c>
      <c r="C297" s="7">
        <v>1884</v>
      </c>
      <c r="D297" s="8">
        <v>45402</v>
      </c>
      <c r="E297" s="9" t="str">
        <f>+HYPERLINK("http://trademark.i-assist.jp/data/china/image_1884th/76310552.pdf", "76310552")</f>
        <v>76310552</v>
      </c>
      <c r="F297" s="6" t="s">
        <v>849</v>
      </c>
      <c r="G297" s="6" t="s">
        <v>796</v>
      </c>
      <c r="H297" s="8" t="s">
        <v>850</v>
      </c>
      <c r="I297" s="14">
        <v>45301</v>
      </c>
    </row>
    <row r="298" spans="1:9" x14ac:dyDescent="0.15">
      <c r="A298" s="5">
        <v>297</v>
      </c>
      <c r="B298" s="6" t="s">
        <v>9</v>
      </c>
      <c r="C298" s="7">
        <v>1884</v>
      </c>
      <c r="D298" s="8">
        <v>45402</v>
      </c>
      <c r="E298" s="9" t="str">
        <f>+HYPERLINK("http://trademark.i-assist.jp/data/china/image_1884th/76310824.pdf", "76310824")</f>
        <v>76310824</v>
      </c>
      <c r="F298" s="6" t="s">
        <v>852</v>
      </c>
      <c r="G298" s="6" t="s">
        <v>851</v>
      </c>
      <c r="H298" s="8" t="s">
        <v>853</v>
      </c>
      <c r="I298" s="14">
        <v>45301</v>
      </c>
    </row>
    <row r="299" spans="1:9" x14ac:dyDescent="0.15">
      <c r="A299" s="5">
        <v>298</v>
      </c>
      <c r="B299" s="6" t="s">
        <v>9</v>
      </c>
      <c r="C299" s="7">
        <v>1884</v>
      </c>
      <c r="D299" s="8">
        <v>45402</v>
      </c>
      <c r="E299" s="9" t="str">
        <f>+HYPERLINK("http://trademark.i-assist.jp/data/china/image_1884th/76311378.pdf", "76311378")</f>
        <v>76311378</v>
      </c>
      <c r="F299" s="6" t="s">
        <v>855</v>
      </c>
      <c r="G299" s="6" t="s">
        <v>854</v>
      </c>
      <c r="H299" s="8" t="s">
        <v>856</v>
      </c>
      <c r="I299" s="14">
        <v>45301</v>
      </c>
    </row>
    <row r="300" spans="1:9" x14ac:dyDescent="0.15">
      <c r="A300" s="5">
        <v>299</v>
      </c>
      <c r="B300" s="6" t="s">
        <v>9</v>
      </c>
      <c r="C300" s="7">
        <v>1884</v>
      </c>
      <c r="D300" s="8">
        <v>45402</v>
      </c>
      <c r="E300" s="9" t="str">
        <f>+HYPERLINK("http://trademark.i-assist.jp/data/china/image_1884th/76312085.pdf", "76312085")</f>
        <v>76312085</v>
      </c>
      <c r="F300" s="6" t="s">
        <v>858</v>
      </c>
      <c r="G300" s="6" t="s">
        <v>857</v>
      </c>
      <c r="H300" s="8" t="s">
        <v>859</v>
      </c>
      <c r="I300" s="14">
        <v>45301</v>
      </c>
    </row>
    <row r="301" spans="1:9" x14ac:dyDescent="0.15">
      <c r="A301" s="5">
        <v>300</v>
      </c>
      <c r="B301" s="6" t="s">
        <v>9</v>
      </c>
      <c r="C301" s="7">
        <v>1884</v>
      </c>
      <c r="D301" s="8">
        <v>45402</v>
      </c>
      <c r="E301" s="9" t="str">
        <f>+HYPERLINK("http://trademark.i-assist.jp/data/china/image_1884th/76313107.pdf", "76313107")</f>
        <v>76313107</v>
      </c>
      <c r="F301" s="6" t="s">
        <v>861</v>
      </c>
      <c r="G301" s="6" t="s">
        <v>860</v>
      </c>
      <c r="H301" s="8" t="s">
        <v>862</v>
      </c>
      <c r="I301" s="14">
        <v>45301</v>
      </c>
    </row>
    <row r="302" spans="1:9" x14ac:dyDescent="0.15">
      <c r="A302" s="5">
        <v>301</v>
      </c>
      <c r="B302" s="6" t="s">
        <v>9</v>
      </c>
      <c r="C302" s="7">
        <v>1884</v>
      </c>
      <c r="D302" s="8">
        <v>45402</v>
      </c>
      <c r="E302" s="9" t="str">
        <f>+HYPERLINK("http://trademark.i-assist.jp/data/china/image_1884th/76314104.pdf", "76314104")</f>
        <v>76314104</v>
      </c>
      <c r="F302" s="6" t="s">
        <v>864</v>
      </c>
      <c r="G302" s="6" t="s">
        <v>863</v>
      </c>
      <c r="H302" s="8" t="s">
        <v>865</v>
      </c>
      <c r="I302" s="14">
        <v>45301</v>
      </c>
    </row>
    <row r="303" spans="1:9" x14ac:dyDescent="0.15">
      <c r="A303" s="5">
        <v>302</v>
      </c>
      <c r="B303" s="6" t="s">
        <v>9</v>
      </c>
      <c r="C303" s="7">
        <v>1884</v>
      </c>
      <c r="D303" s="8">
        <v>45402</v>
      </c>
      <c r="E303" s="9" t="str">
        <f>+HYPERLINK("http://trademark.i-assist.jp/data/china/image_1884th/76315854.pdf", "76315854")</f>
        <v>76315854</v>
      </c>
      <c r="F303" s="6" t="s">
        <v>867</v>
      </c>
      <c r="G303" s="6" t="s">
        <v>866</v>
      </c>
      <c r="H303" s="8" t="s">
        <v>868</v>
      </c>
      <c r="I303" s="14">
        <v>45301</v>
      </c>
    </row>
    <row r="304" spans="1:9" x14ac:dyDescent="0.15">
      <c r="A304" s="5">
        <v>303</v>
      </c>
      <c r="B304" s="6" t="s">
        <v>9</v>
      </c>
      <c r="C304" s="7">
        <v>1884</v>
      </c>
      <c r="D304" s="8">
        <v>45402</v>
      </c>
      <c r="E304" s="9" t="str">
        <f>+HYPERLINK("http://trademark.i-assist.jp/data/china/image_1884th/76316443.pdf", "76316443")</f>
        <v>76316443</v>
      </c>
      <c r="F304" s="6" t="s">
        <v>870</v>
      </c>
      <c r="G304" s="6" t="s">
        <v>869</v>
      </c>
      <c r="H304" s="8" t="s">
        <v>871</v>
      </c>
      <c r="I304" s="14">
        <v>45301</v>
      </c>
    </row>
    <row r="305" spans="1:9" x14ac:dyDescent="0.15">
      <c r="A305" s="5">
        <v>304</v>
      </c>
      <c r="B305" s="6" t="s">
        <v>9</v>
      </c>
      <c r="C305" s="7">
        <v>1884</v>
      </c>
      <c r="D305" s="8">
        <v>45402</v>
      </c>
      <c r="E305" s="9" t="str">
        <f>+HYPERLINK("http://trademark.i-assist.jp/data/china/image_1884th/76316676.pdf", "76316676")</f>
        <v>76316676</v>
      </c>
      <c r="F305" s="6" t="s">
        <v>873</v>
      </c>
      <c r="G305" s="6" t="s">
        <v>872</v>
      </c>
      <c r="H305" s="8" t="s">
        <v>874</v>
      </c>
      <c r="I305" s="14">
        <v>45301</v>
      </c>
    </row>
    <row r="306" spans="1:9" x14ac:dyDescent="0.15">
      <c r="A306" s="5">
        <v>305</v>
      </c>
      <c r="B306" s="6" t="s">
        <v>9</v>
      </c>
      <c r="C306" s="7">
        <v>1884</v>
      </c>
      <c r="D306" s="8">
        <v>45402</v>
      </c>
      <c r="E306" s="9" t="str">
        <f>+HYPERLINK("http://trademark.i-assist.jp/data/china/image_1884th/76316805.pdf", "76316805")</f>
        <v>76316805</v>
      </c>
      <c r="F306" s="6" t="s">
        <v>876</v>
      </c>
      <c r="G306" s="6" t="s">
        <v>875</v>
      </c>
      <c r="H306" s="8" t="s">
        <v>877</v>
      </c>
      <c r="I306" s="14">
        <v>45301</v>
      </c>
    </row>
    <row r="307" spans="1:9" x14ac:dyDescent="0.15">
      <c r="A307" s="5">
        <v>306</v>
      </c>
      <c r="B307" s="6" t="s">
        <v>9</v>
      </c>
      <c r="C307" s="7">
        <v>1884</v>
      </c>
      <c r="D307" s="8">
        <v>45402</v>
      </c>
      <c r="E307" s="9" t="str">
        <f>+HYPERLINK("http://trademark.i-assist.jp/data/china/image_1884th/76317869.pdf", "76317869")</f>
        <v>76317869</v>
      </c>
      <c r="F307" s="6" t="s">
        <v>814</v>
      </c>
      <c r="G307" s="6" t="s">
        <v>813</v>
      </c>
      <c r="H307" s="8" t="s">
        <v>878</v>
      </c>
      <c r="I307" s="14">
        <v>45301</v>
      </c>
    </row>
    <row r="308" spans="1:9" x14ac:dyDescent="0.15">
      <c r="A308" s="5">
        <v>307</v>
      </c>
      <c r="B308" s="6" t="s">
        <v>9</v>
      </c>
      <c r="C308" s="7">
        <v>1884</v>
      </c>
      <c r="D308" s="8">
        <v>45402</v>
      </c>
      <c r="E308" s="9" t="str">
        <f>+HYPERLINK("http://trademark.i-assist.jp/data/china/image_1884th/76318040.pdf", "76318040")</f>
        <v>76318040</v>
      </c>
      <c r="F308" s="6" t="s">
        <v>880</v>
      </c>
      <c r="G308" s="6" t="s">
        <v>879</v>
      </c>
      <c r="H308" s="8" t="s">
        <v>881</v>
      </c>
      <c r="I308" s="14">
        <v>45301</v>
      </c>
    </row>
    <row r="309" spans="1:9" x14ac:dyDescent="0.15">
      <c r="A309" s="5">
        <v>308</v>
      </c>
      <c r="B309" s="6" t="s">
        <v>9</v>
      </c>
      <c r="C309" s="7">
        <v>1884</v>
      </c>
      <c r="D309" s="8">
        <v>45402</v>
      </c>
      <c r="E309" s="9" t="str">
        <f>+HYPERLINK("http://trademark.i-assist.jp/data/china/image_1884th/76318062.pdf", "76318062")</f>
        <v>76318062</v>
      </c>
      <c r="F309" s="6" t="s">
        <v>883</v>
      </c>
      <c r="G309" s="6" t="s">
        <v>882</v>
      </c>
      <c r="H309" s="8" t="s">
        <v>884</v>
      </c>
      <c r="I309" s="14">
        <v>45301</v>
      </c>
    </row>
    <row r="310" spans="1:9" x14ac:dyDescent="0.15">
      <c r="A310" s="5">
        <v>309</v>
      </c>
      <c r="B310" s="6" t="s">
        <v>9</v>
      </c>
      <c r="C310" s="7">
        <v>1884</v>
      </c>
      <c r="D310" s="8">
        <v>45402</v>
      </c>
      <c r="E310" s="9" t="str">
        <f>+HYPERLINK("http://trademark.i-assist.jp/data/china/image_1884th/76321714.pdf", "76321714")</f>
        <v>76321714</v>
      </c>
      <c r="F310" s="6" t="s">
        <v>886</v>
      </c>
      <c r="G310" s="6" t="s">
        <v>885</v>
      </c>
      <c r="H310" s="8" t="s">
        <v>887</v>
      </c>
      <c r="I310" s="14">
        <v>45302</v>
      </c>
    </row>
    <row r="311" spans="1:9" x14ac:dyDescent="0.15">
      <c r="A311" s="5">
        <v>310</v>
      </c>
      <c r="B311" s="6" t="s">
        <v>9</v>
      </c>
      <c r="C311" s="7">
        <v>1884</v>
      </c>
      <c r="D311" s="8">
        <v>45402</v>
      </c>
      <c r="E311" s="9" t="str">
        <f>+HYPERLINK("http://trademark.i-assist.jp/data/china/image_1884th/76322817.pdf", "76322817")</f>
        <v>76322817</v>
      </c>
      <c r="F311" s="6" t="s">
        <v>889</v>
      </c>
      <c r="G311" s="6" t="s">
        <v>888</v>
      </c>
      <c r="H311" s="8" t="s">
        <v>890</v>
      </c>
      <c r="I311" s="14">
        <v>45302</v>
      </c>
    </row>
    <row r="312" spans="1:9" x14ac:dyDescent="0.15">
      <c r="A312" s="5">
        <v>311</v>
      </c>
      <c r="B312" s="6" t="s">
        <v>9</v>
      </c>
      <c r="C312" s="7">
        <v>1884</v>
      </c>
      <c r="D312" s="8">
        <v>45402</v>
      </c>
      <c r="E312" s="9" t="str">
        <f>+HYPERLINK("http://trademark.i-assist.jp/data/china/image_1884th/76323296.pdf", "76323296")</f>
        <v>76323296</v>
      </c>
      <c r="F312" s="6" t="s">
        <v>892</v>
      </c>
      <c r="G312" s="6" t="s">
        <v>891</v>
      </c>
      <c r="H312" s="8" t="s">
        <v>893</v>
      </c>
      <c r="I312" s="14">
        <v>45302</v>
      </c>
    </row>
    <row r="313" spans="1:9" x14ac:dyDescent="0.15">
      <c r="A313" s="5">
        <v>312</v>
      </c>
      <c r="B313" s="6" t="s">
        <v>9</v>
      </c>
      <c r="C313" s="7">
        <v>1884</v>
      </c>
      <c r="D313" s="8">
        <v>45402</v>
      </c>
      <c r="E313" s="9" t="str">
        <f>+HYPERLINK("http://trademark.i-assist.jp/data/china/image_1884th/76325990.pdf", "76325990")</f>
        <v>76325990</v>
      </c>
      <c r="F313" s="6" t="s">
        <v>895</v>
      </c>
      <c r="G313" s="6" t="s">
        <v>894</v>
      </c>
      <c r="H313" s="8" t="s">
        <v>896</v>
      </c>
      <c r="I313" s="14">
        <v>45302</v>
      </c>
    </row>
    <row r="314" spans="1:9" x14ac:dyDescent="0.15">
      <c r="A314" s="5">
        <v>313</v>
      </c>
      <c r="B314" s="6" t="s">
        <v>9</v>
      </c>
      <c r="C314" s="7">
        <v>1884</v>
      </c>
      <c r="D314" s="8">
        <v>45402</v>
      </c>
      <c r="E314" s="9" t="str">
        <f>+HYPERLINK("http://trademark.i-assist.jp/data/china/image_1884th/76326265.pdf", "76326265")</f>
        <v>76326265</v>
      </c>
      <c r="F314" s="6" t="s">
        <v>898</v>
      </c>
      <c r="G314" s="6" t="s">
        <v>897</v>
      </c>
      <c r="H314" s="8" t="s">
        <v>899</v>
      </c>
      <c r="I314" s="14">
        <v>45302</v>
      </c>
    </row>
    <row r="315" spans="1:9" x14ac:dyDescent="0.15">
      <c r="A315" s="5">
        <v>314</v>
      </c>
      <c r="B315" s="6" t="s">
        <v>9</v>
      </c>
      <c r="C315" s="7">
        <v>1884</v>
      </c>
      <c r="D315" s="8">
        <v>45402</v>
      </c>
      <c r="E315" s="9" t="str">
        <f>+HYPERLINK("http://trademark.i-assist.jp/data/china/image_1884th/76327443.pdf", "76327443")</f>
        <v>76327443</v>
      </c>
      <c r="F315" s="6" t="s">
        <v>901</v>
      </c>
      <c r="G315" s="6" t="s">
        <v>900</v>
      </c>
      <c r="H315" s="8" t="s">
        <v>902</v>
      </c>
      <c r="I315" s="14">
        <v>45302</v>
      </c>
    </row>
    <row r="316" spans="1:9" x14ac:dyDescent="0.15">
      <c r="A316" s="5">
        <v>315</v>
      </c>
      <c r="B316" s="6" t="s">
        <v>9</v>
      </c>
      <c r="C316" s="7">
        <v>1884</v>
      </c>
      <c r="D316" s="8">
        <v>45402</v>
      </c>
      <c r="E316" s="9" t="str">
        <f>+HYPERLINK("http://trademark.i-assist.jp/data/china/image_1884th/76331063.pdf", "76331063")</f>
        <v>76331063</v>
      </c>
      <c r="F316" s="6" t="s">
        <v>904</v>
      </c>
      <c r="G316" s="6" t="s">
        <v>903</v>
      </c>
      <c r="H316" s="8" t="s">
        <v>905</v>
      </c>
      <c r="I316" s="14">
        <v>45302</v>
      </c>
    </row>
    <row r="317" spans="1:9" x14ac:dyDescent="0.15">
      <c r="A317" s="5">
        <v>316</v>
      </c>
      <c r="B317" s="6" t="s">
        <v>9</v>
      </c>
      <c r="C317" s="7">
        <v>1884</v>
      </c>
      <c r="D317" s="8">
        <v>45402</v>
      </c>
      <c r="E317" s="9" t="str">
        <f>+HYPERLINK("http://trademark.i-assist.jp/data/china/image_1884th/76333405.pdf", "76333405")</f>
        <v>76333405</v>
      </c>
      <c r="F317" s="6" t="s">
        <v>167</v>
      </c>
      <c r="G317" s="6" t="s">
        <v>906</v>
      </c>
      <c r="H317" s="8" t="s">
        <v>907</v>
      </c>
      <c r="I317" s="14">
        <v>45302</v>
      </c>
    </row>
    <row r="318" spans="1:9" x14ac:dyDescent="0.15">
      <c r="A318" s="5">
        <v>317</v>
      </c>
      <c r="B318" s="6" t="s">
        <v>9</v>
      </c>
      <c r="C318" s="7">
        <v>1884</v>
      </c>
      <c r="D318" s="8">
        <v>45402</v>
      </c>
      <c r="E318" s="9" t="str">
        <f>+HYPERLINK("http://trademark.i-assist.jp/data/china/image_1884th/76333580.pdf", "76333580")</f>
        <v>76333580</v>
      </c>
      <c r="F318" s="6" t="s">
        <v>909</v>
      </c>
      <c r="G318" s="6" t="s">
        <v>908</v>
      </c>
      <c r="H318" s="8" t="s">
        <v>910</v>
      </c>
      <c r="I318" s="14">
        <v>45302</v>
      </c>
    </row>
    <row r="319" spans="1:9" x14ac:dyDescent="0.15">
      <c r="A319" s="5">
        <v>318</v>
      </c>
      <c r="B319" s="6" t="s">
        <v>9</v>
      </c>
      <c r="C319" s="7">
        <v>1884</v>
      </c>
      <c r="D319" s="8">
        <v>45402</v>
      </c>
      <c r="E319" s="9" t="str">
        <f>+HYPERLINK("http://trademark.i-assist.jp/data/china/image_1884th/76333743.pdf", "76333743")</f>
        <v>76333743</v>
      </c>
      <c r="F319" s="6" t="s">
        <v>912</v>
      </c>
      <c r="G319" s="6" t="s">
        <v>911</v>
      </c>
      <c r="H319" s="8" t="s">
        <v>913</v>
      </c>
      <c r="I319" s="14">
        <v>45302</v>
      </c>
    </row>
    <row r="320" spans="1:9" x14ac:dyDescent="0.15">
      <c r="A320" s="5">
        <v>319</v>
      </c>
      <c r="B320" s="6" t="s">
        <v>9</v>
      </c>
      <c r="C320" s="7">
        <v>1884</v>
      </c>
      <c r="D320" s="8">
        <v>45402</v>
      </c>
      <c r="E320" s="9" t="str">
        <f>+HYPERLINK("http://trademark.i-assist.jp/data/china/image_1884th/76333868.pdf", "76333868")</f>
        <v>76333868</v>
      </c>
      <c r="F320" s="6" t="s">
        <v>167</v>
      </c>
      <c r="G320" s="6" t="s">
        <v>914</v>
      </c>
      <c r="H320" s="8" t="s">
        <v>915</v>
      </c>
      <c r="I320" s="14">
        <v>45302</v>
      </c>
    </row>
    <row r="321" spans="1:9" x14ac:dyDescent="0.15">
      <c r="A321" s="5">
        <v>320</v>
      </c>
      <c r="B321" s="6" t="s">
        <v>9</v>
      </c>
      <c r="C321" s="7">
        <v>1884</v>
      </c>
      <c r="D321" s="8">
        <v>45402</v>
      </c>
      <c r="E321" s="9" t="str">
        <f>+HYPERLINK("http://trademark.i-assist.jp/data/china/image_1884th/76334763.pdf", "76334763")</f>
        <v>76334763</v>
      </c>
      <c r="F321" s="6" t="s">
        <v>917</v>
      </c>
      <c r="G321" s="6" t="s">
        <v>916</v>
      </c>
      <c r="H321" s="8" t="s">
        <v>918</v>
      </c>
      <c r="I321" s="14">
        <v>45302</v>
      </c>
    </row>
    <row r="322" spans="1:9" x14ac:dyDescent="0.15">
      <c r="A322" s="5">
        <v>321</v>
      </c>
      <c r="B322" s="6" t="s">
        <v>9</v>
      </c>
      <c r="C322" s="7">
        <v>1884</v>
      </c>
      <c r="D322" s="8">
        <v>45402</v>
      </c>
      <c r="E322" s="9" t="str">
        <f>+HYPERLINK("http://trademark.i-assist.jp/data/china/image_1884th/76334772.pdf", "76334772")</f>
        <v>76334772</v>
      </c>
      <c r="F322" s="6" t="s">
        <v>919</v>
      </c>
      <c r="G322" s="6" t="s">
        <v>916</v>
      </c>
      <c r="H322" s="8" t="s">
        <v>920</v>
      </c>
      <c r="I322" s="14">
        <v>45302</v>
      </c>
    </row>
    <row r="323" spans="1:9" x14ac:dyDescent="0.15">
      <c r="A323" s="5">
        <v>322</v>
      </c>
      <c r="B323" s="6" t="s">
        <v>9</v>
      </c>
      <c r="C323" s="7">
        <v>1884</v>
      </c>
      <c r="D323" s="8">
        <v>45402</v>
      </c>
      <c r="E323" s="9" t="str">
        <f>+HYPERLINK("http://trademark.i-assist.jp/data/china/image_1884th/76334935.pdf", "76334935")</f>
        <v>76334935</v>
      </c>
      <c r="F323" s="6" t="s">
        <v>922</v>
      </c>
      <c r="G323" s="6" t="s">
        <v>921</v>
      </c>
      <c r="H323" s="8" t="s">
        <v>923</v>
      </c>
      <c r="I323" s="14">
        <v>45302</v>
      </c>
    </row>
    <row r="324" spans="1:9" x14ac:dyDescent="0.15">
      <c r="A324" s="5">
        <v>323</v>
      </c>
      <c r="B324" s="6" t="s">
        <v>9</v>
      </c>
      <c r="C324" s="7">
        <v>1884</v>
      </c>
      <c r="D324" s="8">
        <v>45402</v>
      </c>
      <c r="E324" s="9" t="str">
        <f>+HYPERLINK("http://trademark.i-assist.jp/data/china/image_1884th/76335655.pdf", "76335655")</f>
        <v>76335655</v>
      </c>
      <c r="F324" s="6" t="s">
        <v>925</v>
      </c>
      <c r="G324" s="6" t="s">
        <v>924</v>
      </c>
      <c r="H324" s="8" t="s">
        <v>926</v>
      </c>
      <c r="I324" s="14">
        <v>45302</v>
      </c>
    </row>
    <row r="325" spans="1:9" x14ac:dyDescent="0.15">
      <c r="A325" s="5">
        <v>324</v>
      </c>
      <c r="B325" s="6" t="s">
        <v>9</v>
      </c>
      <c r="C325" s="7">
        <v>1884</v>
      </c>
      <c r="D325" s="8">
        <v>45402</v>
      </c>
      <c r="E325" s="9" t="str">
        <f>+HYPERLINK("http://trademark.i-assist.jp/data/china/image_1884th/76335906.pdf", "76335906")</f>
        <v>76335906</v>
      </c>
      <c r="F325" s="6" t="s">
        <v>928</v>
      </c>
      <c r="G325" s="6" t="s">
        <v>927</v>
      </c>
      <c r="H325" s="8" t="s">
        <v>929</v>
      </c>
      <c r="I325" s="14">
        <v>45302</v>
      </c>
    </row>
    <row r="326" spans="1:9" x14ac:dyDescent="0.15">
      <c r="A326" s="5">
        <v>325</v>
      </c>
      <c r="B326" s="6" t="s">
        <v>9</v>
      </c>
      <c r="C326" s="7">
        <v>1884</v>
      </c>
      <c r="D326" s="8">
        <v>45402</v>
      </c>
      <c r="E326" s="9" t="str">
        <f>+HYPERLINK("http://trademark.i-assist.jp/data/china/image_1884th/76336944.pdf", "76336944")</f>
        <v>76336944</v>
      </c>
      <c r="F326" s="6" t="s">
        <v>931</v>
      </c>
      <c r="G326" s="6" t="s">
        <v>930</v>
      </c>
      <c r="H326" s="8" t="s">
        <v>932</v>
      </c>
      <c r="I326" s="14">
        <v>45302</v>
      </c>
    </row>
    <row r="327" spans="1:9" x14ac:dyDescent="0.15">
      <c r="A327" s="5">
        <v>326</v>
      </c>
      <c r="B327" s="6" t="s">
        <v>9</v>
      </c>
      <c r="C327" s="7">
        <v>1884</v>
      </c>
      <c r="D327" s="8">
        <v>45402</v>
      </c>
      <c r="E327" s="9" t="str">
        <f>+HYPERLINK("http://trademark.i-assist.jp/data/china/image_1884th/76337362.pdf", "76337362")</f>
        <v>76337362</v>
      </c>
      <c r="F327" s="6" t="s">
        <v>934</v>
      </c>
      <c r="G327" s="6" t="s">
        <v>933</v>
      </c>
      <c r="H327" s="8" t="s">
        <v>935</v>
      </c>
      <c r="I327" s="14">
        <v>45302</v>
      </c>
    </row>
    <row r="328" spans="1:9" x14ac:dyDescent="0.15">
      <c r="A328" s="5">
        <v>327</v>
      </c>
      <c r="B328" s="6" t="s">
        <v>9</v>
      </c>
      <c r="C328" s="7">
        <v>1884</v>
      </c>
      <c r="D328" s="8">
        <v>45402</v>
      </c>
      <c r="E328" s="9" t="str">
        <f>+HYPERLINK("http://trademark.i-assist.jp/data/china/image_1884th/76337411.pdf", "76337411")</f>
        <v>76337411</v>
      </c>
      <c r="F328" s="6" t="s">
        <v>937</v>
      </c>
      <c r="G328" s="6" t="s">
        <v>936</v>
      </c>
      <c r="H328" s="8" t="s">
        <v>938</v>
      </c>
      <c r="I328" s="14">
        <v>45302</v>
      </c>
    </row>
    <row r="329" spans="1:9" x14ac:dyDescent="0.15">
      <c r="A329" s="5">
        <v>328</v>
      </c>
      <c r="B329" s="6" t="s">
        <v>9</v>
      </c>
      <c r="C329" s="7">
        <v>1884</v>
      </c>
      <c r="D329" s="8">
        <v>45402</v>
      </c>
      <c r="E329" s="9" t="str">
        <f>+HYPERLINK("http://trademark.i-assist.jp/data/china/image_1884th/76337930.pdf", "76337930")</f>
        <v>76337930</v>
      </c>
      <c r="F329" s="6" t="s">
        <v>167</v>
      </c>
      <c r="G329" s="6" t="s">
        <v>939</v>
      </c>
      <c r="H329" s="8" t="s">
        <v>940</v>
      </c>
      <c r="I329" s="14">
        <v>45302</v>
      </c>
    </row>
    <row r="330" spans="1:9" x14ac:dyDescent="0.15">
      <c r="A330" s="5">
        <v>329</v>
      </c>
      <c r="B330" s="6" t="s">
        <v>9</v>
      </c>
      <c r="C330" s="7">
        <v>1884</v>
      </c>
      <c r="D330" s="8">
        <v>45402</v>
      </c>
      <c r="E330" s="9" t="str">
        <f>+HYPERLINK("http://trademark.i-assist.jp/data/china/image_1884th/76338998.pdf", "76338998")</f>
        <v>76338998</v>
      </c>
      <c r="F330" s="6" t="s">
        <v>942</v>
      </c>
      <c r="G330" s="6" t="s">
        <v>941</v>
      </c>
      <c r="H330" s="8" t="s">
        <v>943</v>
      </c>
      <c r="I330" s="14">
        <v>45302</v>
      </c>
    </row>
    <row r="331" spans="1:9" x14ac:dyDescent="0.15">
      <c r="A331" s="5">
        <v>330</v>
      </c>
      <c r="B331" s="6" t="s">
        <v>9</v>
      </c>
      <c r="C331" s="7">
        <v>1884</v>
      </c>
      <c r="D331" s="8">
        <v>45402</v>
      </c>
      <c r="E331" s="9" t="str">
        <f>+HYPERLINK("http://trademark.i-assist.jp/data/china/image_1884th/76339136.pdf", "76339136")</f>
        <v>76339136</v>
      </c>
      <c r="F331" s="6" t="s">
        <v>945</v>
      </c>
      <c r="G331" s="6" t="s">
        <v>944</v>
      </c>
      <c r="H331" s="8" t="s">
        <v>946</v>
      </c>
      <c r="I331" s="14">
        <v>45302</v>
      </c>
    </row>
    <row r="332" spans="1:9" x14ac:dyDescent="0.15">
      <c r="A332" s="5">
        <v>331</v>
      </c>
      <c r="B332" s="6" t="s">
        <v>9</v>
      </c>
      <c r="C332" s="7">
        <v>1884</v>
      </c>
      <c r="D332" s="8">
        <v>45402</v>
      </c>
      <c r="E332" s="9" t="str">
        <f>+HYPERLINK("http://trademark.i-assist.jp/data/china/image_1884th/76339554.pdf", "76339554")</f>
        <v>76339554</v>
      </c>
      <c r="F332" s="6" t="s">
        <v>948</v>
      </c>
      <c r="G332" s="6" t="s">
        <v>947</v>
      </c>
      <c r="H332" s="8" t="s">
        <v>949</v>
      </c>
      <c r="I332" s="14">
        <v>45302</v>
      </c>
    </row>
    <row r="333" spans="1:9" x14ac:dyDescent="0.15">
      <c r="A333" s="5">
        <v>332</v>
      </c>
      <c r="B333" s="6" t="s">
        <v>9</v>
      </c>
      <c r="C333" s="7">
        <v>1884</v>
      </c>
      <c r="D333" s="8">
        <v>45402</v>
      </c>
      <c r="E333" s="9" t="str">
        <f>+HYPERLINK("http://trademark.i-assist.jp/data/china/image_1884th/76340651.pdf", "76340651")</f>
        <v>76340651</v>
      </c>
      <c r="F333" s="6" t="s">
        <v>951</v>
      </c>
      <c r="G333" s="6" t="s">
        <v>950</v>
      </c>
      <c r="H333" s="8" t="s">
        <v>952</v>
      </c>
      <c r="I333" s="14">
        <v>45302</v>
      </c>
    </row>
    <row r="334" spans="1:9" x14ac:dyDescent="0.15">
      <c r="A334" s="5">
        <v>333</v>
      </c>
      <c r="B334" s="6" t="s">
        <v>9</v>
      </c>
      <c r="C334" s="7">
        <v>1884</v>
      </c>
      <c r="D334" s="8">
        <v>45402</v>
      </c>
      <c r="E334" s="9" t="str">
        <f>+HYPERLINK("http://trademark.i-assist.jp/data/china/image_1884th/76340836.pdf", "76340836")</f>
        <v>76340836</v>
      </c>
      <c r="F334" s="6" t="s">
        <v>954</v>
      </c>
      <c r="G334" s="6" t="s">
        <v>953</v>
      </c>
      <c r="H334" s="8" t="s">
        <v>955</v>
      </c>
      <c r="I334" s="14">
        <v>45302</v>
      </c>
    </row>
    <row r="335" spans="1:9" x14ac:dyDescent="0.15">
      <c r="A335" s="5">
        <v>334</v>
      </c>
      <c r="B335" s="6" t="s">
        <v>9</v>
      </c>
      <c r="C335" s="7">
        <v>1884</v>
      </c>
      <c r="D335" s="8">
        <v>45402</v>
      </c>
      <c r="E335" s="9" t="str">
        <f>+HYPERLINK("http://trademark.i-assist.jp/data/china/image_1884th/76341090.pdf", "76341090")</f>
        <v>76341090</v>
      </c>
      <c r="F335" s="6" t="s">
        <v>957</v>
      </c>
      <c r="G335" s="6" t="s">
        <v>956</v>
      </c>
      <c r="H335" s="8" t="s">
        <v>958</v>
      </c>
      <c r="I335" s="14">
        <v>45302</v>
      </c>
    </row>
    <row r="336" spans="1:9" x14ac:dyDescent="0.15">
      <c r="A336" s="5">
        <v>335</v>
      </c>
      <c r="B336" s="6" t="s">
        <v>9</v>
      </c>
      <c r="C336" s="7">
        <v>1884</v>
      </c>
      <c r="D336" s="8">
        <v>45402</v>
      </c>
      <c r="E336" s="9" t="str">
        <f>+HYPERLINK("http://trademark.i-assist.jp/data/china/image_1884th/76341099.pdf", "76341099")</f>
        <v>76341099</v>
      </c>
      <c r="F336" s="6" t="s">
        <v>960</v>
      </c>
      <c r="G336" s="6" t="s">
        <v>959</v>
      </c>
      <c r="H336" s="8" t="s">
        <v>961</v>
      </c>
      <c r="I336" s="14">
        <v>45302</v>
      </c>
    </row>
    <row r="337" spans="1:9" x14ac:dyDescent="0.15">
      <c r="A337" s="5">
        <v>336</v>
      </c>
      <c r="B337" s="6" t="s">
        <v>9</v>
      </c>
      <c r="C337" s="7">
        <v>1884</v>
      </c>
      <c r="D337" s="8">
        <v>45402</v>
      </c>
      <c r="E337" s="9" t="str">
        <f>+HYPERLINK("http://trademark.i-assist.jp/data/china/image_1884th/76341158.pdf", "76341158")</f>
        <v>76341158</v>
      </c>
      <c r="F337" s="6" t="s">
        <v>962</v>
      </c>
      <c r="G337" s="6" t="s">
        <v>900</v>
      </c>
      <c r="H337" s="8" t="s">
        <v>963</v>
      </c>
      <c r="I337" s="14">
        <v>45302</v>
      </c>
    </row>
    <row r="338" spans="1:9" x14ac:dyDescent="0.15">
      <c r="A338" s="5">
        <v>337</v>
      </c>
      <c r="B338" s="6" t="s">
        <v>9</v>
      </c>
      <c r="C338" s="7">
        <v>1884</v>
      </c>
      <c r="D338" s="8">
        <v>45402</v>
      </c>
      <c r="E338" s="9" t="str">
        <f>+HYPERLINK("http://trademark.i-assist.jp/data/china/image_1884th/76341364.pdf", "76341364")</f>
        <v>76341364</v>
      </c>
      <c r="F338" s="6" t="s">
        <v>965</v>
      </c>
      <c r="G338" s="6" t="s">
        <v>964</v>
      </c>
      <c r="H338" s="8" t="s">
        <v>966</v>
      </c>
      <c r="I338" s="14">
        <v>45302</v>
      </c>
    </row>
    <row r="339" spans="1:9" x14ac:dyDescent="0.15">
      <c r="A339" s="5">
        <v>338</v>
      </c>
      <c r="B339" s="6" t="s">
        <v>9</v>
      </c>
      <c r="C339" s="7">
        <v>1884</v>
      </c>
      <c r="D339" s="8">
        <v>45402</v>
      </c>
      <c r="E339" s="9" t="str">
        <f>+HYPERLINK("http://trademark.i-assist.jp/data/china/image_1884th/76341880.pdf", "76341880")</f>
        <v>76341880</v>
      </c>
      <c r="F339" s="6" t="s">
        <v>968</v>
      </c>
      <c r="G339" s="6" t="s">
        <v>967</v>
      </c>
      <c r="H339" s="8" t="s">
        <v>969</v>
      </c>
      <c r="I339" s="14">
        <v>45302</v>
      </c>
    </row>
    <row r="340" spans="1:9" x14ac:dyDescent="0.15">
      <c r="A340" s="5">
        <v>339</v>
      </c>
      <c r="B340" s="6" t="s">
        <v>9</v>
      </c>
      <c r="C340" s="7">
        <v>1884</v>
      </c>
      <c r="D340" s="8">
        <v>45402</v>
      </c>
      <c r="E340" s="9" t="str">
        <f>+HYPERLINK("http://trademark.i-assist.jp/data/china/image_1884th/76342235.pdf", "76342235")</f>
        <v>76342235</v>
      </c>
      <c r="F340" s="6" t="s">
        <v>971</v>
      </c>
      <c r="G340" s="6" t="s">
        <v>970</v>
      </c>
      <c r="H340" s="8" t="s">
        <v>972</v>
      </c>
      <c r="I340" s="14">
        <v>45302</v>
      </c>
    </row>
    <row r="341" spans="1:9" x14ac:dyDescent="0.15">
      <c r="A341" s="5">
        <v>340</v>
      </c>
      <c r="B341" s="6" t="s">
        <v>9</v>
      </c>
      <c r="C341" s="7">
        <v>1884</v>
      </c>
      <c r="D341" s="8">
        <v>45402</v>
      </c>
      <c r="E341" s="9" t="str">
        <f>+HYPERLINK("http://trademark.i-assist.jp/data/china/image_1884th/76343655.pdf", "76343655")</f>
        <v>76343655</v>
      </c>
      <c r="F341" s="6" t="s">
        <v>974</v>
      </c>
      <c r="G341" s="6" t="s">
        <v>973</v>
      </c>
      <c r="H341" s="8" t="s">
        <v>975</v>
      </c>
      <c r="I341" s="14">
        <v>45302</v>
      </c>
    </row>
    <row r="342" spans="1:9" x14ac:dyDescent="0.15">
      <c r="A342" s="5">
        <v>341</v>
      </c>
      <c r="B342" s="6" t="s">
        <v>9</v>
      </c>
      <c r="C342" s="7">
        <v>1884</v>
      </c>
      <c r="D342" s="8">
        <v>45402</v>
      </c>
      <c r="E342" s="9" t="str">
        <f>+HYPERLINK("http://trademark.i-assist.jp/data/china/image_1884th/76343709.pdf", "76343709")</f>
        <v>76343709</v>
      </c>
      <c r="F342" s="6" t="s">
        <v>977</v>
      </c>
      <c r="G342" s="6" t="s">
        <v>976</v>
      </c>
      <c r="H342" s="8" t="s">
        <v>978</v>
      </c>
      <c r="I342" s="14">
        <v>45302</v>
      </c>
    </row>
    <row r="343" spans="1:9" x14ac:dyDescent="0.15">
      <c r="A343" s="5">
        <v>342</v>
      </c>
      <c r="B343" s="6" t="s">
        <v>9</v>
      </c>
      <c r="C343" s="7">
        <v>1884</v>
      </c>
      <c r="D343" s="8">
        <v>45402</v>
      </c>
      <c r="E343" s="9" t="str">
        <f>+HYPERLINK("http://trademark.i-assist.jp/data/china/image_1884th/76343718.pdf", "76343718")</f>
        <v>76343718</v>
      </c>
      <c r="F343" s="6" t="s">
        <v>980</v>
      </c>
      <c r="G343" s="6" t="s">
        <v>979</v>
      </c>
      <c r="H343" s="8" t="s">
        <v>981</v>
      </c>
      <c r="I343" s="14">
        <v>45302</v>
      </c>
    </row>
    <row r="344" spans="1:9" x14ac:dyDescent="0.15">
      <c r="A344" s="5">
        <v>343</v>
      </c>
      <c r="B344" s="6" t="s">
        <v>9</v>
      </c>
      <c r="C344" s="7">
        <v>1884</v>
      </c>
      <c r="D344" s="8">
        <v>45402</v>
      </c>
      <c r="E344" s="9" t="str">
        <f>+HYPERLINK("http://trademark.i-assist.jp/data/china/image_1884th/76345545.pdf", "76345545")</f>
        <v>76345545</v>
      </c>
      <c r="F344" s="6" t="s">
        <v>983</v>
      </c>
      <c r="G344" s="6" t="s">
        <v>982</v>
      </c>
      <c r="H344" s="8" t="s">
        <v>984</v>
      </c>
      <c r="I344" s="14">
        <v>45303</v>
      </c>
    </row>
    <row r="345" spans="1:9" x14ac:dyDescent="0.15">
      <c r="A345" s="5">
        <v>344</v>
      </c>
      <c r="B345" s="6" t="s">
        <v>9</v>
      </c>
      <c r="C345" s="7">
        <v>1884</v>
      </c>
      <c r="D345" s="8">
        <v>45402</v>
      </c>
      <c r="E345" s="9" t="str">
        <f>+HYPERLINK("http://trademark.i-assist.jp/data/china/image_1884th/76346211.pdf", "76346211")</f>
        <v>76346211</v>
      </c>
      <c r="F345" s="6" t="s">
        <v>986</v>
      </c>
      <c r="G345" s="6" t="s">
        <v>985</v>
      </c>
      <c r="H345" s="8" t="s">
        <v>987</v>
      </c>
      <c r="I345" s="14">
        <v>45303</v>
      </c>
    </row>
    <row r="346" spans="1:9" x14ac:dyDescent="0.15">
      <c r="A346" s="5">
        <v>345</v>
      </c>
      <c r="B346" s="6" t="s">
        <v>9</v>
      </c>
      <c r="C346" s="7">
        <v>1884</v>
      </c>
      <c r="D346" s="8">
        <v>45402</v>
      </c>
      <c r="E346" s="9" t="str">
        <f>+HYPERLINK("http://trademark.i-assist.jp/data/china/image_1884th/76347162.pdf", "76347162")</f>
        <v>76347162</v>
      </c>
      <c r="F346" s="6" t="s">
        <v>989</v>
      </c>
      <c r="G346" s="6" t="s">
        <v>988</v>
      </c>
      <c r="H346" s="8" t="s">
        <v>990</v>
      </c>
      <c r="I346" s="14">
        <v>45303</v>
      </c>
    </row>
    <row r="347" spans="1:9" x14ac:dyDescent="0.15">
      <c r="A347" s="5">
        <v>346</v>
      </c>
      <c r="B347" s="6" t="s">
        <v>9</v>
      </c>
      <c r="C347" s="7">
        <v>1884</v>
      </c>
      <c r="D347" s="8">
        <v>45402</v>
      </c>
      <c r="E347" s="9" t="str">
        <f>+HYPERLINK("http://trademark.i-assist.jp/data/china/image_1884th/76350738.pdf", "76350738")</f>
        <v>76350738</v>
      </c>
      <c r="F347" s="6" t="s">
        <v>992</v>
      </c>
      <c r="G347" s="6" t="s">
        <v>991</v>
      </c>
      <c r="H347" s="8" t="s">
        <v>993</v>
      </c>
      <c r="I347" s="14">
        <v>45303</v>
      </c>
    </row>
    <row r="348" spans="1:9" x14ac:dyDescent="0.15">
      <c r="A348" s="5">
        <v>347</v>
      </c>
      <c r="B348" s="6" t="s">
        <v>9</v>
      </c>
      <c r="C348" s="7">
        <v>1884</v>
      </c>
      <c r="D348" s="8">
        <v>45402</v>
      </c>
      <c r="E348" s="9" t="str">
        <f>+HYPERLINK("http://trademark.i-assist.jp/data/china/image_1884th/76353630.pdf", "76353630")</f>
        <v>76353630</v>
      </c>
      <c r="F348" s="6" t="s">
        <v>995</v>
      </c>
      <c r="G348" s="6" t="s">
        <v>994</v>
      </c>
      <c r="H348" s="8" t="s">
        <v>996</v>
      </c>
      <c r="I348" s="14">
        <v>45303</v>
      </c>
    </row>
    <row r="349" spans="1:9" x14ac:dyDescent="0.15">
      <c r="A349" s="5">
        <v>348</v>
      </c>
      <c r="B349" s="6" t="s">
        <v>9</v>
      </c>
      <c r="C349" s="7">
        <v>1884</v>
      </c>
      <c r="D349" s="8">
        <v>45402</v>
      </c>
      <c r="E349" s="9" t="str">
        <f>+HYPERLINK("http://trademark.i-assist.jp/data/china/image_1884th/76354340.pdf", "76354340")</f>
        <v>76354340</v>
      </c>
      <c r="F349" s="6" t="s">
        <v>998</v>
      </c>
      <c r="G349" s="6" t="s">
        <v>997</v>
      </c>
      <c r="H349" s="8" t="s">
        <v>999</v>
      </c>
      <c r="I349" s="14">
        <v>45303</v>
      </c>
    </row>
    <row r="350" spans="1:9" x14ac:dyDescent="0.15">
      <c r="A350" s="5">
        <v>349</v>
      </c>
      <c r="B350" s="6" t="s">
        <v>9</v>
      </c>
      <c r="C350" s="7">
        <v>1884</v>
      </c>
      <c r="D350" s="8">
        <v>45402</v>
      </c>
      <c r="E350" s="9" t="str">
        <f>+HYPERLINK("http://trademark.i-assist.jp/data/china/image_1884th/76355492.pdf", "76355492")</f>
        <v>76355492</v>
      </c>
      <c r="F350" s="6" t="s">
        <v>1001</v>
      </c>
      <c r="G350" s="6" t="s">
        <v>1000</v>
      </c>
      <c r="H350" s="8" t="s">
        <v>1002</v>
      </c>
      <c r="I350" s="14">
        <v>45303</v>
      </c>
    </row>
    <row r="351" spans="1:9" x14ac:dyDescent="0.15">
      <c r="A351" s="5">
        <v>350</v>
      </c>
      <c r="B351" s="6" t="s">
        <v>9</v>
      </c>
      <c r="C351" s="7">
        <v>1884</v>
      </c>
      <c r="D351" s="8">
        <v>45402</v>
      </c>
      <c r="E351" s="9" t="str">
        <f>+HYPERLINK("http://trademark.i-assist.jp/data/china/image_1884th/76357776.pdf", "76357776")</f>
        <v>76357776</v>
      </c>
      <c r="F351" s="6" t="s">
        <v>1004</v>
      </c>
      <c r="G351" s="6" t="s">
        <v>1003</v>
      </c>
      <c r="H351" s="8" t="s">
        <v>1005</v>
      </c>
      <c r="I351" s="14">
        <v>45303</v>
      </c>
    </row>
    <row r="352" spans="1:9" x14ac:dyDescent="0.15">
      <c r="A352" s="5">
        <v>351</v>
      </c>
      <c r="B352" s="6" t="s">
        <v>9</v>
      </c>
      <c r="C352" s="7">
        <v>1884</v>
      </c>
      <c r="D352" s="8">
        <v>45402</v>
      </c>
      <c r="E352" s="9" t="str">
        <f>+HYPERLINK("http://trademark.i-assist.jp/data/china/image_1884th/76359022.pdf", "76359022")</f>
        <v>76359022</v>
      </c>
      <c r="F352" s="6" t="s">
        <v>1007</v>
      </c>
      <c r="G352" s="6" t="s">
        <v>1006</v>
      </c>
      <c r="H352" s="8" t="s">
        <v>1008</v>
      </c>
      <c r="I352" s="14">
        <v>45303</v>
      </c>
    </row>
    <row r="353" spans="1:9" x14ac:dyDescent="0.15">
      <c r="A353" s="5">
        <v>352</v>
      </c>
      <c r="B353" s="6" t="s">
        <v>9</v>
      </c>
      <c r="C353" s="7">
        <v>1884</v>
      </c>
      <c r="D353" s="8">
        <v>45402</v>
      </c>
      <c r="E353" s="9" t="str">
        <f>+HYPERLINK("http://trademark.i-assist.jp/data/china/image_1884th/76360623.pdf", "76360623")</f>
        <v>76360623</v>
      </c>
      <c r="F353" s="6" t="s">
        <v>1010</v>
      </c>
      <c r="G353" s="6" t="s">
        <v>1009</v>
      </c>
      <c r="H353" s="8" t="s">
        <v>1011</v>
      </c>
      <c r="I353" s="14">
        <v>45303</v>
      </c>
    </row>
    <row r="354" spans="1:9" x14ac:dyDescent="0.15">
      <c r="A354" s="5">
        <v>353</v>
      </c>
      <c r="B354" s="6" t="s">
        <v>9</v>
      </c>
      <c r="C354" s="7">
        <v>1884</v>
      </c>
      <c r="D354" s="8">
        <v>45402</v>
      </c>
      <c r="E354" s="9" t="str">
        <f>+HYPERLINK("http://trademark.i-assist.jp/data/china/image_1884th/76362361.pdf", "76362361")</f>
        <v>76362361</v>
      </c>
      <c r="F354" s="6" t="s">
        <v>1013</v>
      </c>
      <c r="G354" s="6" t="s">
        <v>1012</v>
      </c>
      <c r="H354" s="8" t="s">
        <v>1014</v>
      </c>
      <c r="I354" s="14">
        <v>45303</v>
      </c>
    </row>
    <row r="355" spans="1:9" x14ac:dyDescent="0.15">
      <c r="A355" s="5">
        <v>354</v>
      </c>
      <c r="B355" s="6" t="s">
        <v>9</v>
      </c>
      <c r="C355" s="7">
        <v>1884</v>
      </c>
      <c r="D355" s="8">
        <v>45402</v>
      </c>
      <c r="E355" s="9" t="str">
        <f>+HYPERLINK("http://trademark.i-assist.jp/data/china/image_1884th/76364012.pdf", "76364012")</f>
        <v>76364012</v>
      </c>
      <c r="F355" s="6" t="s">
        <v>1016</v>
      </c>
      <c r="G355" s="6" t="s">
        <v>1015</v>
      </c>
      <c r="H355" s="8" t="s">
        <v>1017</v>
      </c>
      <c r="I355" s="14">
        <v>45303</v>
      </c>
    </row>
    <row r="356" spans="1:9" x14ac:dyDescent="0.15">
      <c r="A356" s="5">
        <v>355</v>
      </c>
      <c r="B356" s="6" t="s">
        <v>9</v>
      </c>
      <c r="C356" s="7">
        <v>1884</v>
      </c>
      <c r="D356" s="8">
        <v>45402</v>
      </c>
      <c r="E356" s="9" t="str">
        <f>+HYPERLINK("http://trademark.i-assist.jp/data/china/image_1884th/76364038.pdf", "76364038")</f>
        <v>76364038</v>
      </c>
      <c r="F356" s="6" t="s">
        <v>1019</v>
      </c>
      <c r="G356" s="6" t="s">
        <v>1018</v>
      </c>
      <c r="H356" s="8" t="s">
        <v>1020</v>
      </c>
      <c r="I356" s="14">
        <v>45303</v>
      </c>
    </row>
    <row r="357" spans="1:9" x14ac:dyDescent="0.15">
      <c r="A357" s="5">
        <v>356</v>
      </c>
      <c r="B357" s="6" t="s">
        <v>9</v>
      </c>
      <c r="C357" s="7">
        <v>1884</v>
      </c>
      <c r="D357" s="8">
        <v>45402</v>
      </c>
      <c r="E357" s="9" t="str">
        <f>+HYPERLINK("http://trademark.i-assist.jp/data/china/image_1884th/76364166.pdf", "76364166")</f>
        <v>76364166</v>
      </c>
      <c r="F357" s="6" t="s">
        <v>1022</v>
      </c>
      <c r="G357" s="6" t="s">
        <v>1021</v>
      </c>
      <c r="H357" s="8" t="s">
        <v>1023</v>
      </c>
      <c r="I357" s="14">
        <v>45303</v>
      </c>
    </row>
    <row r="358" spans="1:9" x14ac:dyDescent="0.15">
      <c r="A358" s="5">
        <v>357</v>
      </c>
      <c r="B358" s="6" t="s">
        <v>9</v>
      </c>
      <c r="C358" s="7">
        <v>1884</v>
      </c>
      <c r="D358" s="8">
        <v>45402</v>
      </c>
      <c r="E358" s="9" t="str">
        <f>+HYPERLINK("http://trademark.i-assist.jp/data/china/image_1884th/76364789.pdf", "76364789")</f>
        <v>76364789</v>
      </c>
      <c r="F358" s="6" t="s">
        <v>1025</v>
      </c>
      <c r="G358" s="6" t="s">
        <v>1024</v>
      </c>
      <c r="H358" s="8" t="s">
        <v>1026</v>
      </c>
      <c r="I358" s="14">
        <v>45306</v>
      </c>
    </row>
    <row r="359" spans="1:9" x14ac:dyDescent="0.15">
      <c r="A359" s="5">
        <v>358</v>
      </c>
      <c r="B359" s="6" t="s">
        <v>9</v>
      </c>
      <c r="C359" s="7">
        <v>1884</v>
      </c>
      <c r="D359" s="8">
        <v>45402</v>
      </c>
      <c r="E359" s="9" t="str">
        <f>+HYPERLINK("http://trademark.i-assist.jp/data/china/image_1884th/76365061.pdf", "76365061")</f>
        <v>76365061</v>
      </c>
      <c r="F359" s="6" t="s">
        <v>1028</v>
      </c>
      <c r="G359" s="6" t="s">
        <v>1027</v>
      </c>
      <c r="H359" s="8" t="s">
        <v>1029</v>
      </c>
      <c r="I359" s="14">
        <v>45306</v>
      </c>
    </row>
    <row r="360" spans="1:9" x14ac:dyDescent="0.15">
      <c r="A360" s="5">
        <v>359</v>
      </c>
      <c r="B360" s="6" t="s">
        <v>9</v>
      </c>
      <c r="C360" s="7">
        <v>1884</v>
      </c>
      <c r="D360" s="8">
        <v>45402</v>
      </c>
      <c r="E360" s="9" t="str">
        <f>+HYPERLINK("http://trademark.i-assist.jp/data/china/image_1884th/76365071.pdf", "76365071")</f>
        <v>76365071</v>
      </c>
      <c r="F360" s="6" t="s">
        <v>1030</v>
      </c>
      <c r="G360" s="6" t="s">
        <v>1027</v>
      </c>
      <c r="H360" s="8" t="s">
        <v>1031</v>
      </c>
      <c r="I360" s="14">
        <v>45306</v>
      </c>
    </row>
    <row r="361" spans="1:9" x14ac:dyDescent="0.15">
      <c r="A361" s="5">
        <v>360</v>
      </c>
      <c r="B361" s="6" t="s">
        <v>9</v>
      </c>
      <c r="C361" s="7">
        <v>1884</v>
      </c>
      <c r="D361" s="8">
        <v>45402</v>
      </c>
      <c r="E361" s="9" t="str">
        <f>+HYPERLINK("http://trademark.i-assist.jp/data/china/image_1884th/76365504.pdf", "76365504")</f>
        <v>76365504</v>
      </c>
      <c r="F361" s="6" t="s">
        <v>1033</v>
      </c>
      <c r="G361" s="6" t="s">
        <v>1032</v>
      </c>
      <c r="H361" s="8" t="s">
        <v>1034</v>
      </c>
      <c r="I361" s="14">
        <v>45303</v>
      </c>
    </row>
    <row r="362" spans="1:9" x14ac:dyDescent="0.15">
      <c r="A362" s="5">
        <v>361</v>
      </c>
      <c r="B362" s="6" t="s">
        <v>9</v>
      </c>
      <c r="C362" s="7">
        <v>1884</v>
      </c>
      <c r="D362" s="8">
        <v>45402</v>
      </c>
      <c r="E362" s="9" t="str">
        <f>+HYPERLINK("http://trademark.i-assist.jp/data/china/image_1884th/76365647.pdf", "76365647")</f>
        <v>76365647</v>
      </c>
      <c r="F362" s="6" t="s">
        <v>1036</v>
      </c>
      <c r="G362" s="6" t="s">
        <v>1035</v>
      </c>
      <c r="H362" s="8" t="s">
        <v>1037</v>
      </c>
      <c r="I362" s="14">
        <v>45303</v>
      </c>
    </row>
    <row r="363" spans="1:9" x14ac:dyDescent="0.15">
      <c r="A363" s="5">
        <v>362</v>
      </c>
      <c r="B363" s="6" t="s">
        <v>9</v>
      </c>
      <c r="C363" s="7">
        <v>1884</v>
      </c>
      <c r="D363" s="8">
        <v>45402</v>
      </c>
      <c r="E363" s="9" t="str">
        <f>+HYPERLINK("http://trademark.i-assist.jp/data/china/image_1884th/76365778.pdf", "76365778")</f>
        <v>76365778</v>
      </c>
      <c r="F363" s="6" t="s">
        <v>1039</v>
      </c>
      <c r="G363" s="6" t="s">
        <v>1038</v>
      </c>
      <c r="H363" s="8" t="s">
        <v>1040</v>
      </c>
      <c r="I363" s="14">
        <v>45303</v>
      </c>
    </row>
    <row r="364" spans="1:9" x14ac:dyDescent="0.15">
      <c r="A364" s="5">
        <v>363</v>
      </c>
      <c r="B364" s="6" t="s">
        <v>9</v>
      </c>
      <c r="C364" s="7">
        <v>1884</v>
      </c>
      <c r="D364" s="8">
        <v>45402</v>
      </c>
      <c r="E364" s="9" t="str">
        <f>+HYPERLINK("http://trademark.i-assist.jp/data/china/image_1884th/76366505.pdf", "76366505")</f>
        <v>76366505</v>
      </c>
      <c r="F364" s="6" t="s">
        <v>1041</v>
      </c>
      <c r="G364" s="6" t="s">
        <v>32</v>
      </c>
      <c r="H364" s="8" t="s">
        <v>1042</v>
      </c>
      <c r="I364" s="14">
        <v>45306</v>
      </c>
    </row>
    <row r="365" spans="1:9" x14ac:dyDescent="0.15">
      <c r="A365" s="5">
        <v>364</v>
      </c>
      <c r="B365" s="6" t="s">
        <v>9</v>
      </c>
      <c r="C365" s="7">
        <v>1884</v>
      </c>
      <c r="D365" s="8">
        <v>45402</v>
      </c>
      <c r="E365" s="9" t="str">
        <f>+HYPERLINK("http://trademark.i-assist.jp/data/china/image_1884th/76366534.pdf", "76366534")</f>
        <v>76366534</v>
      </c>
      <c r="F365" s="6" t="s">
        <v>1044</v>
      </c>
      <c r="G365" s="6" t="s">
        <v>1043</v>
      </c>
      <c r="H365" s="8" t="s">
        <v>1045</v>
      </c>
      <c r="I365" s="14">
        <v>45306</v>
      </c>
    </row>
    <row r="366" spans="1:9" x14ac:dyDescent="0.15">
      <c r="A366" s="5">
        <v>365</v>
      </c>
      <c r="B366" s="6" t="s">
        <v>9</v>
      </c>
      <c r="C366" s="7">
        <v>1884</v>
      </c>
      <c r="D366" s="8">
        <v>45402</v>
      </c>
      <c r="E366" s="9" t="str">
        <f>+HYPERLINK("http://trademark.i-assist.jp/data/china/image_1884th/76366819.pdf", "76366819")</f>
        <v>76366819</v>
      </c>
      <c r="F366" s="6" t="s">
        <v>167</v>
      </c>
      <c r="G366" s="6" t="s">
        <v>1046</v>
      </c>
      <c r="H366" s="8" t="s">
        <v>1047</v>
      </c>
      <c r="I366" s="14">
        <v>45303</v>
      </c>
    </row>
    <row r="367" spans="1:9" x14ac:dyDescent="0.15">
      <c r="A367" s="5">
        <v>366</v>
      </c>
      <c r="B367" s="6" t="s">
        <v>9</v>
      </c>
      <c r="C367" s="7">
        <v>1884</v>
      </c>
      <c r="D367" s="8">
        <v>45402</v>
      </c>
      <c r="E367" s="9" t="str">
        <f>+HYPERLINK("http://trademark.i-assist.jp/data/china/image_1884th/76367973.pdf", "76367973")</f>
        <v>76367973</v>
      </c>
      <c r="F367" s="6" t="s">
        <v>1049</v>
      </c>
      <c r="G367" s="6" t="s">
        <v>1048</v>
      </c>
      <c r="H367" s="8" t="s">
        <v>1050</v>
      </c>
      <c r="I367" s="14">
        <v>45303</v>
      </c>
    </row>
    <row r="368" spans="1:9" x14ac:dyDescent="0.15">
      <c r="A368" s="5">
        <v>367</v>
      </c>
      <c r="B368" s="6" t="s">
        <v>9</v>
      </c>
      <c r="C368" s="7">
        <v>1884</v>
      </c>
      <c r="D368" s="8">
        <v>45402</v>
      </c>
      <c r="E368" s="9" t="str">
        <f>+HYPERLINK("http://trademark.i-assist.jp/data/china/image_1884th/76368091.pdf", "76368091")</f>
        <v>76368091</v>
      </c>
      <c r="F368" s="6" t="s">
        <v>1052</v>
      </c>
      <c r="G368" s="6" t="s">
        <v>1051</v>
      </c>
      <c r="H368" s="8" t="s">
        <v>1053</v>
      </c>
      <c r="I368" s="14">
        <v>45303</v>
      </c>
    </row>
    <row r="369" spans="1:9" x14ac:dyDescent="0.15">
      <c r="A369" s="5">
        <v>368</v>
      </c>
      <c r="B369" s="6" t="s">
        <v>9</v>
      </c>
      <c r="C369" s="7">
        <v>1884</v>
      </c>
      <c r="D369" s="8">
        <v>45402</v>
      </c>
      <c r="E369" s="9" t="str">
        <f>+HYPERLINK("http://trademark.i-assist.jp/data/china/image_1884th/76368478.pdf", "76368478")</f>
        <v>76368478</v>
      </c>
      <c r="F369" s="6" t="s">
        <v>1055</v>
      </c>
      <c r="G369" s="6" t="s">
        <v>1054</v>
      </c>
      <c r="H369" s="8" t="s">
        <v>1056</v>
      </c>
      <c r="I369" s="14">
        <v>45303</v>
      </c>
    </row>
    <row r="370" spans="1:9" x14ac:dyDescent="0.15">
      <c r="A370" s="5">
        <v>369</v>
      </c>
      <c r="B370" s="6" t="s">
        <v>9</v>
      </c>
      <c r="C370" s="7">
        <v>1884</v>
      </c>
      <c r="D370" s="8">
        <v>45402</v>
      </c>
      <c r="E370" s="9" t="str">
        <f>+HYPERLINK("http://trademark.i-assist.jp/data/china/image_1884th/76368659.pdf", "76368659")</f>
        <v>76368659</v>
      </c>
      <c r="F370" s="6" t="s">
        <v>1058</v>
      </c>
      <c r="G370" s="6" t="s">
        <v>1057</v>
      </c>
      <c r="H370" s="8" t="s">
        <v>1059</v>
      </c>
      <c r="I370" s="14">
        <v>45303</v>
      </c>
    </row>
    <row r="371" spans="1:9" x14ac:dyDescent="0.15">
      <c r="A371" s="5">
        <v>370</v>
      </c>
      <c r="B371" s="6" t="s">
        <v>9</v>
      </c>
      <c r="C371" s="7">
        <v>1884</v>
      </c>
      <c r="D371" s="8">
        <v>45402</v>
      </c>
      <c r="E371" s="9" t="str">
        <f>+HYPERLINK("http://trademark.i-assist.jp/data/china/image_1884th/76369271.pdf", "76369271")</f>
        <v>76369271</v>
      </c>
      <c r="F371" s="6" t="s">
        <v>1060</v>
      </c>
      <c r="G371" s="6" t="s">
        <v>15</v>
      </c>
      <c r="H371" s="8" t="s">
        <v>1061</v>
      </c>
      <c r="I371" s="14">
        <v>45303</v>
      </c>
    </row>
    <row r="372" spans="1:9" x14ac:dyDescent="0.15">
      <c r="A372" s="5">
        <v>371</v>
      </c>
      <c r="B372" s="6" t="s">
        <v>9</v>
      </c>
      <c r="C372" s="7">
        <v>1884</v>
      </c>
      <c r="D372" s="8">
        <v>45402</v>
      </c>
      <c r="E372" s="9" t="str">
        <f>+HYPERLINK("http://trademark.i-assist.jp/data/china/image_1884th/76369391.pdf", "76369391")</f>
        <v>76369391</v>
      </c>
      <c r="F372" s="6" t="s">
        <v>1063</v>
      </c>
      <c r="G372" s="6" t="s">
        <v>1062</v>
      </c>
      <c r="H372" s="8" t="s">
        <v>1064</v>
      </c>
      <c r="I372" s="14">
        <v>45304</v>
      </c>
    </row>
    <row r="373" spans="1:9" x14ac:dyDescent="0.15">
      <c r="A373" s="5">
        <v>372</v>
      </c>
      <c r="B373" s="6" t="s">
        <v>9</v>
      </c>
      <c r="C373" s="7">
        <v>1884</v>
      </c>
      <c r="D373" s="8">
        <v>45402</v>
      </c>
      <c r="E373" s="9" t="str">
        <f>+HYPERLINK("http://trademark.i-assist.jp/data/china/image_1884th/76373156.pdf", "76373156")</f>
        <v>76373156</v>
      </c>
      <c r="F373" s="6" t="s">
        <v>167</v>
      </c>
      <c r="G373" s="6" t="s">
        <v>1065</v>
      </c>
      <c r="H373" s="8" t="s">
        <v>1066</v>
      </c>
      <c r="I373" s="14">
        <v>45304</v>
      </c>
    </row>
    <row r="374" spans="1:9" x14ac:dyDescent="0.15">
      <c r="A374" s="5">
        <v>373</v>
      </c>
      <c r="B374" s="6" t="s">
        <v>9</v>
      </c>
      <c r="C374" s="7">
        <v>1884</v>
      </c>
      <c r="D374" s="8">
        <v>45402</v>
      </c>
      <c r="E374" s="9" t="str">
        <f>+HYPERLINK("http://trademark.i-assist.jp/data/china/image_1884th/76373640.pdf", "76373640")</f>
        <v>76373640</v>
      </c>
      <c r="F374" s="6" t="s">
        <v>1068</v>
      </c>
      <c r="G374" s="6" t="s">
        <v>1067</v>
      </c>
      <c r="H374" s="8" t="s">
        <v>1069</v>
      </c>
      <c r="I374" s="14">
        <v>45304</v>
      </c>
    </row>
    <row r="375" spans="1:9" x14ac:dyDescent="0.15">
      <c r="A375" s="5">
        <v>374</v>
      </c>
      <c r="B375" s="6" t="s">
        <v>9</v>
      </c>
      <c r="C375" s="7">
        <v>1884</v>
      </c>
      <c r="D375" s="8">
        <v>45402</v>
      </c>
      <c r="E375" s="9" t="str">
        <f>+HYPERLINK("http://trademark.i-assist.jp/data/china/image_1884th/76373649.pdf", "76373649")</f>
        <v>76373649</v>
      </c>
      <c r="F375" s="6" t="s">
        <v>1071</v>
      </c>
      <c r="G375" s="6" t="s">
        <v>1070</v>
      </c>
      <c r="H375" s="8" t="s">
        <v>1072</v>
      </c>
      <c r="I375" s="14">
        <v>45304</v>
      </c>
    </row>
    <row r="376" spans="1:9" x14ac:dyDescent="0.15">
      <c r="A376" s="5">
        <v>375</v>
      </c>
      <c r="B376" s="6" t="s">
        <v>9</v>
      </c>
      <c r="C376" s="7">
        <v>1884</v>
      </c>
      <c r="D376" s="8">
        <v>45402</v>
      </c>
      <c r="E376" s="9" t="str">
        <f>+HYPERLINK("http://trademark.i-assist.jp/data/china/image_1884th/76373772.pdf", "76373772")</f>
        <v>76373772</v>
      </c>
      <c r="F376" s="6" t="s">
        <v>167</v>
      </c>
      <c r="G376" s="6" t="s">
        <v>1073</v>
      </c>
      <c r="H376" s="8" t="s">
        <v>1074</v>
      </c>
      <c r="I376" s="14">
        <v>45304</v>
      </c>
    </row>
    <row r="377" spans="1:9" x14ac:dyDescent="0.15">
      <c r="A377" s="5">
        <v>376</v>
      </c>
      <c r="B377" s="6" t="s">
        <v>9</v>
      </c>
      <c r="C377" s="7">
        <v>1884</v>
      </c>
      <c r="D377" s="8">
        <v>45402</v>
      </c>
      <c r="E377" s="9" t="str">
        <f>+HYPERLINK("http://trademark.i-assist.jp/data/china/image_1884th/76374211.pdf", "76374211")</f>
        <v>76374211</v>
      </c>
      <c r="F377" s="6" t="s">
        <v>1076</v>
      </c>
      <c r="G377" s="6" t="s">
        <v>1075</v>
      </c>
      <c r="H377" s="8" t="s">
        <v>1077</v>
      </c>
      <c r="I377" s="14">
        <v>45304</v>
      </c>
    </row>
    <row r="378" spans="1:9" x14ac:dyDescent="0.15">
      <c r="A378" s="5">
        <v>377</v>
      </c>
      <c r="B378" s="6" t="s">
        <v>9</v>
      </c>
      <c r="C378" s="7">
        <v>1884</v>
      </c>
      <c r="D378" s="8">
        <v>45402</v>
      </c>
      <c r="E378" s="9" t="str">
        <f>+HYPERLINK("http://trademark.i-assist.jp/data/china/image_1884th/76374456.pdf", "76374456")</f>
        <v>76374456</v>
      </c>
      <c r="F378" s="6" t="s">
        <v>1079</v>
      </c>
      <c r="G378" s="6" t="s">
        <v>1078</v>
      </c>
      <c r="H378" s="8" t="s">
        <v>1080</v>
      </c>
      <c r="I378" s="14">
        <v>45303</v>
      </c>
    </row>
    <row r="379" spans="1:9" x14ac:dyDescent="0.15">
      <c r="A379" s="5">
        <v>378</v>
      </c>
      <c r="B379" s="6" t="s">
        <v>9</v>
      </c>
      <c r="C379" s="7">
        <v>1884</v>
      </c>
      <c r="D379" s="8">
        <v>45402</v>
      </c>
      <c r="E379" s="9" t="str">
        <f>+HYPERLINK("http://trademark.i-assist.jp/data/china/image_1884th/76374855.pdf", "76374855")</f>
        <v>76374855</v>
      </c>
      <c r="F379" s="6" t="s">
        <v>1082</v>
      </c>
      <c r="G379" s="6" t="s">
        <v>1081</v>
      </c>
      <c r="H379" s="8" t="s">
        <v>1083</v>
      </c>
      <c r="I379" s="14">
        <v>45303</v>
      </c>
    </row>
    <row r="380" spans="1:9" x14ac:dyDescent="0.15">
      <c r="A380" s="5">
        <v>379</v>
      </c>
      <c r="B380" s="6" t="s">
        <v>9</v>
      </c>
      <c r="C380" s="7">
        <v>1884</v>
      </c>
      <c r="D380" s="8">
        <v>45402</v>
      </c>
      <c r="E380" s="9" t="str">
        <f>+HYPERLINK("http://trademark.i-assist.jp/data/china/image_1884th/76374991.pdf", "76374991")</f>
        <v>76374991</v>
      </c>
      <c r="F380" s="6" t="s">
        <v>1085</v>
      </c>
      <c r="G380" s="6" t="s">
        <v>1084</v>
      </c>
      <c r="H380" s="8" t="s">
        <v>1086</v>
      </c>
      <c r="I380" s="14">
        <v>45303</v>
      </c>
    </row>
    <row r="381" spans="1:9" x14ac:dyDescent="0.15">
      <c r="A381" s="5">
        <v>380</v>
      </c>
      <c r="B381" s="6" t="s">
        <v>9</v>
      </c>
      <c r="C381" s="7">
        <v>1884</v>
      </c>
      <c r="D381" s="8">
        <v>45402</v>
      </c>
      <c r="E381" s="9" t="str">
        <f>+HYPERLINK("http://trademark.i-assist.jp/data/china/image_1884th/76375093.pdf", "76375093")</f>
        <v>76375093</v>
      </c>
      <c r="F381" s="6" t="s">
        <v>1088</v>
      </c>
      <c r="G381" s="6" t="s">
        <v>1087</v>
      </c>
      <c r="H381" s="8" t="s">
        <v>1089</v>
      </c>
      <c r="I381" s="14">
        <v>45304</v>
      </c>
    </row>
    <row r="382" spans="1:9" x14ac:dyDescent="0.15">
      <c r="A382" s="5">
        <v>381</v>
      </c>
      <c r="B382" s="6" t="s">
        <v>9</v>
      </c>
      <c r="C382" s="7">
        <v>1884</v>
      </c>
      <c r="D382" s="8">
        <v>45402</v>
      </c>
      <c r="E382" s="9" t="str">
        <f>+HYPERLINK("http://trademark.i-assist.jp/data/china/image_1884th/76375203.pdf", "76375203")</f>
        <v>76375203</v>
      </c>
      <c r="F382" s="6" t="s">
        <v>1091</v>
      </c>
      <c r="G382" s="6" t="s">
        <v>1090</v>
      </c>
      <c r="H382" s="8" t="s">
        <v>1092</v>
      </c>
      <c r="I382" s="14">
        <v>45304</v>
      </c>
    </row>
    <row r="383" spans="1:9" x14ac:dyDescent="0.15">
      <c r="A383" s="5">
        <v>382</v>
      </c>
      <c r="B383" s="6" t="s">
        <v>9</v>
      </c>
      <c r="C383" s="7">
        <v>1884</v>
      </c>
      <c r="D383" s="8">
        <v>45402</v>
      </c>
      <c r="E383" s="9" t="str">
        <f>+HYPERLINK("http://trademark.i-assist.jp/data/china/image_1884th/76377155.pdf", "76377155")</f>
        <v>76377155</v>
      </c>
      <c r="F383" s="6" t="s">
        <v>1094</v>
      </c>
      <c r="G383" s="6" t="s">
        <v>1093</v>
      </c>
      <c r="H383" s="8" t="s">
        <v>1095</v>
      </c>
      <c r="I383" s="14">
        <v>45305</v>
      </c>
    </row>
    <row r="384" spans="1:9" x14ac:dyDescent="0.15">
      <c r="A384" s="5">
        <v>383</v>
      </c>
      <c r="B384" s="6" t="s">
        <v>9</v>
      </c>
      <c r="C384" s="7">
        <v>1884</v>
      </c>
      <c r="D384" s="8">
        <v>45402</v>
      </c>
      <c r="E384" s="9" t="str">
        <f>+HYPERLINK("http://trademark.i-assist.jp/data/china/image_1884th/76378730.pdf", "76378730")</f>
        <v>76378730</v>
      </c>
      <c r="F384" s="6" t="s">
        <v>1097</v>
      </c>
      <c r="G384" s="6" t="s">
        <v>1096</v>
      </c>
      <c r="H384" s="8" t="s">
        <v>1098</v>
      </c>
      <c r="I384" s="14">
        <v>45306</v>
      </c>
    </row>
    <row r="385" spans="1:9" x14ac:dyDescent="0.15">
      <c r="A385" s="5">
        <v>384</v>
      </c>
      <c r="B385" s="6" t="s">
        <v>9</v>
      </c>
      <c r="C385" s="7">
        <v>1884</v>
      </c>
      <c r="D385" s="8">
        <v>45402</v>
      </c>
      <c r="E385" s="9" t="str">
        <f>+HYPERLINK("http://trademark.i-assist.jp/data/china/image_1884th/76378964.pdf", "76378964")</f>
        <v>76378964</v>
      </c>
      <c r="F385" s="6" t="s">
        <v>1100</v>
      </c>
      <c r="G385" s="6" t="s">
        <v>1099</v>
      </c>
      <c r="H385" s="8" t="s">
        <v>1101</v>
      </c>
      <c r="I385" s="14">
        <v>45305</v>
      </c>
    </row>
    <row r="386" spans="1:9" x14ac:dyDescent="0.15">
      <c r="A386" s="5">
        <v>385</v>
      </c>
      <c r="B386" s="6" t="s">
        <v>9</v>
      </c>
      <c r="C386" s="7">
        <v>1884</v>
      </c>
      <c r="D386" s="8">
        <v>45402</v>
      </c>
      <c r="E386" s="9" t="str">
        <f>+HYPERLINK("http://trademark.i-assist.jp/data/china/image_1884th/76379080.pdf", "76379080")</f>
        <v>76379080</v>
      </c>
      <c r="F386" s="6" t="s">
        <v>1103</v>
      </c>
      <c r="G386" s="6" t="s">
        <v>1102</v>
      </c>
      <c r="H386" s="8" t="s">
        <v>1104</v>
      </c>
      <c r="I386" s="14">
        <v>45305</v>
      </c>
    </row>
    <row r="387" spans="1:9" x14ac:dyDescent="0.15">
      <c r="A387" s="5">
        <v>386</v>
      </c>
      <c r="B387" s="6" t="s">
        <v>9</v>
      </c>
      <c r="C387" s="7">
        <v>1884</v>
      </c>
      <c r="D387" s="8">
        <v>45402</v>
      </c>
      <c r="E387" s="9" t="str">
        <f>+HYPERLINK("http://trademark.i-assist.jp/data/china/image_1884th/76379796.pdf", "76379796")</f>
        <v>76379796</v>
      </c>
      <c r="F387" s="6" t="s">
        <v>1106</v>
      </c>
      <c r="G387" s="6" t="s">
        <v>1105</v>
      </c>
      <c r="H387" s="8" t="s">
        <v>1107</v>
      </c>
      <c r="I387" s="14">
        <v>45306</v>
      </c>
    </row>
    <row r="388" spans="1:9" x14ac:dyDescent="0.15">
      <c r="A388" s="5">
        <v>387</v>
      </c>
      <c r="B388" s="6" t="s">
        <v>9</v>
      </c>
      <c r="C388" s="7">
        <v>1884</v>
      </c>
      <c r="D388" s="8">
        <v>45402</v>
      </c>
      <c r="E388" s="9" t="str">
        <f>+HYPERLINK("http://trademark.i-assist.jp/data/china/image_1884th/76380130.pdf", "76380130")</f>
        <v>76380130</v>
      </c>
      <c r="F388" s="6" t="s">
        <v>1109</v>
      </c>
      <c r="G388" s="6" t="s">
        <v>1108</v>
      </c>
      <c r="H388" s="8" t="s">
        <v>1110</v>
      </c>
      <c r="I388" s="14">
        <v>45306</v>
      </c>
    </row>
    <row r="389" spans="1:9" x14ac:dyDescent="0.15">
      <c r="A389" s="5">
        <v>388</v>
      </c>
      <c r="B389" s="6" t="s">
        <v>9</v>
      </c>
      <c r="C389" s="7">
        <v>1884</v>
      </c>
      <c r="D389" s="8">
        <v>45402</v>
      </c>
      <c r="E389" s="9" t="str">
        <f>+HYPERLINK("http://trademark.i-assist.jp/data/china/image_1884th/76380404.pdf", "76380404")</f>
        <v>76380404</v>
      </c>
      <c r="F389" s="6" t="s">
        <v>1112</v>
      </c>
      <c r="G389" s="6" t="s">
        <v>1111</v>
      </c>
      <c r="H389" s="8" t="s">
        <v>1113</v>
      </c>
      <c r="I389" s="14">
        <v>45306</v>
      </c>
    </row>
    <row r="390" spans="1:9" x14ac:dyDescent="0.15">
      <c r="A390" s="5">
        <v>389</v>
      </c>
      <c r="B390" s="6" t="s">
        <v>9</v>
      </c>
      <c r="C390" s="7">
        <v>1884</v>
      </c>
      <c r="D390" s="8">
        <v>45402</v>
      </c>
      <c r="E390" s="9" t="str">
        <f>+HYPERLINK("http://trademark.i-assist.jp/data/china/image_1884th/76380616.pdf", "76380616")</f>
        <v>76380616</v>
      </c>
      <c r="F390" s="6" t="s">
        <v>1115</v>
      </c>
      <c r="G390" s="6" t="s">
        <v>1114</v>
      </c>
      <c r="H390" s="8" t="s">
        <v>1116</v>
      </c>
      <c r="I390" s="14">
        <v>45306</v>
      </c>
    </row>
    <row r="391" spans="1:9" x14ac:dyDescent="0.15">
      <c r="A391" s="5">
        <v>390</v>
      </c>
      <c r="B391" s="6" t="s">
        <v>9</v>
      </c>
      <c r="C391" s="7">
        <v>1884</v>
      </c>
      <c r="D391" s="8">
        <v>45402</v>
      </c>
      <c r="E391" s="9" t="str">
        <f>+HYPERLINK("http://trademark.i-assist.jp/data/china/image_1884th/76380729.pdf", "76380729")</f>
        <v>76380729</v>
      </c>
      <c r="F391" s="6" t="s">
        <v>1118</v>
      </c>
      <c r="G391" s="6" t="s">
        <v>1117</v>
      </c>
      <c r="H391" s="8" t="s">
        <v>1119</v>
      </c>
      <c r="I391" s="14">
        <v>45306</v>
      </c>
    </row>
    <row r="392" spans="1:9" x14ac:dyDescent="0.15">
      <c r="A392" s="5">
        <v>391</v>
      </c>
      <c r="B392" s="6" t="s">
        <v>9</v>
      </c>
      <c r="C392" s="7">
        <v>1884</v>
      </c>
      <c r="D392" s="8">
        <v>45402</v>
      </c>
      <c r="E392" s="9" t="str">
        <f>+HYPERLINK("http://trademark.i-assist.jp/data/china/image_1884th/76381287.pdf", "76381287")</f>
        <v>76381287</v>
      </c>
      <c r="F392" s="6" t="s">
        <v>1121</v>
      </c>
      <c r="G392" s="6" t="s">
        <v>1120</v>
      </c>
      <c r="H392" s="8" t="s">
        <v>1122</v>
      </c>
      <c r="I392" s="14">
        <v>45306</v>
      </c>
    </row>
    <row r="393" spans="1:9" x14ac:dyDescent="0.15">
      <c r="A393" s="5">
        <v>392</v>
      </c>
      <c r="B393" s="6" t="s">
        <v>9</v>
      </c>
      <c r="C393" s="7">
        <v>1884</v>
      </c>
      <c r="D393" s="8">
        <v>45402</v>
      </c>
      <c r="E393" s="9" t="str">
        <f>+HYPERLINK("http://trademark.i-assist.jp/data/china/image_1884th/76381872.pdf", "76381872")</f>
        <v>76381872</v>
      </c>
      <c r="F393" s="6" t="s">
        <v>1124</v>
      </c>
      <c r="G393" s="6" t="s">
        <v>1123</v>
      </c>
      <c r="H393" s="8" t="s">
        <v>1125</v>
      </c>
      <c r="I393" s="14">
        <v>45306</v>
      </c>
    </row>
    <row r="394" spans="1:9" x14ac:dyDescent="0.15">
      <c r="A394" s="5">
        <v>393</v>
      </c>
      <c r="B394" s="6" t="s">
        <v>9</v>
      </c>
      <c r="C394" s="7">
        <v>1884</v>
      </c>
      <c r="D394" s="8">
        <v>45402</v>
      </c>
      <c r="E394" s="9" t="str">
        <f>+HYPERLINK("http://trademark.i-assist.jp/data/china/image_1884th/76382967.pdf", "76382967")</f>
        <v>76382967</v>
      </c>
      <c r="F394" s="6" t="s">
        <v>1127</v>
      </c>
      <c r="G394" s="6" t="s">
        <v>1126</v>
      </c>
      <c r="H394" s="8" t="s">
        <v>1128</v>
      </c>
      <c r="I394" s="14">
        <v>45306</v>
      </c>
    </row>
    <row r="395" spans="1:9" x14ac:dyDescent="0.15">
      <c r="A395" s="5">
        <v>394</v>
      </c>
      <c r="B395" s="6" t="s">
        <v>9</v>
      </c>
      <c r="C395" s="7">
        <v>1884</v>
      </c>
      <c r="D395" s="8">
        <v>45402</v>
      </c>
      <c r="E395" s="9" t="str">
        <f>+HYPERLINK("http://trademark.i-assist.jp/data/china/image_1884th/76383224.pdf", "76383224")</f>
        <v>76383224</v>
      </c>
      <c r="F395" s="6" t="s">
        <v>1129</v>
      </c>
      <c r="G395" s="6" t="s">
        <v>1105</v>
      </c>
      <c r="H395" s="8" t="s">
        <v>1130</v>
      </c>
      <c r="I395" s="14">
        <v>45306</v>
      </c>
    </row>
    <row r="396" spans="1:9" x14ac:dyDescent="0.15">
      <c r="A396" s="5">
        <v>395</v>
      </c>
      <c r="B396" s="6" t="s">
        <v>9</v>
      </c>
      <c r="C396" s="7">
        <v>1884</v>
      </c>
      <c r="D396" s="8">
        <v>45402</v>
      </c>
      <c r="E396" s="9" t="str">
        <f>+HYPERLINK("http://trademark.i-assist.jp/data/china/image_1884th/76383840.pdf", "76383840")</f>
        <v>76383840</v>
      </c>
      <c r="F396" s="6" t="s">
        <v>1132</v>
      </c>
      <c r="G396" s="6" t="s">
        <v>1131</v>
      </c>
      <c r="H396" s="8" t="s">
        <v>1133</v>
      </c>
      <c r="I396" s="14">
        <v>45306</v>
      </c>
    </row>
    <row r="397" spans="1:9" x14ac:dyDescent="0.15">
      <c r="A397" s="5">
        <v>396</v>
      </c>
      <c r="B397" s="6" t="s">
        <v>9</v>
      </c>
      <c r="C397" s="7">
        <v>1884</v>
      </c>
      <c r="D397" s="8">
        <v>45402</v>
      </c>
      <c r="E397" s="9" t="str">
        <f>+HYPERLINK("http://trademark.i-assist.jp/data/china/image_1884th/76384180.pdf", "76384180")</f>
        <v>76384180</v>
      </c>
      <c r="F397" s="6" t="s">
        <v>1134</v>
      </c>
      <c r="G397" s="6" t="s">
        <v>1105</v>
      </c>
      <c r="H397" s="8" t="s">
        <v>1135</v>
      </c>
      <c r="I397" s="14">
        <v>45306</v>
      </c>
    </row>
    <row r="398" spans="1:9" x14ac:dyDescent="0.15">
      <c r="A398" s="5">
        <v>397</v>
      </c>
      <c r="B398" s="6" t="s">
        <v>9</v>
      </c>
      <c r="C398" s="7">
        <v>1884</v>
      </c>
      <c r="D398" s="8">
        <v>45402</v>
      </c>
      <c r="E398" s="9" t="str">
        <f>+HYPERLINK("http://trademark.i-assist.jp/data/china/image_1884th/76384188.pdf", "76384188")</f>
        <v>76384188</v>
      </c>
      <c r="F398" s="6" t="s">
        <v>1137</v>
      </c>
      <c r="G398" s="6" t="s">
        <v>1136</v>
      </c>
      <c r="H398" s="8" t="s">
        <v>1138</v>
      </c>
      <c r="I398" s="14">
        <v>45306</v>
      </c>
    </row>
    <row r="399" spans="1:9" x14ac:dyDescent="0.15">
      <c r="A399" s="5">
        <v>398</v>
      </c>
      <c r="B399" s="6" t="s">
        <v>9</v>
      </c>
      <c r="C399" s="7">
        <v>1884</v>
      </c>
      <c r="D399" s="8">
        <v>45402</v>
      </c>
      <c r="E399" s="9" t="str">
        <f>+HYPERLINK("http://trademark.i-assist.jp/data/china/image_1884th/76384434.pdf", "76384434")</f>
        <v>76384434</v>
      </c>
      <c r="F399" s="6" t="s">
        <v>1140</v>
      </c>
      <c r="G399" s="6" t="s">
        <v>1139</v>
      </c>
      <c r="H399" s="8" t="s">
        <v>1141</v>
      </c>
      <c r="I399" s="14">
        <v>45306</v>
      </c>
    </row>
    <row r="400" spans="1:9" x14ac:dyDescent="0.15">
      <c r="A400" s="5">
        <v>399</v>
      </c>
      <c r="B400" s="6" t="s">
        <v>9</v>
      </c>
      <c r="C400" s="7">
        <v>1884</v>
      </c>
      <c r="D400" s="8">
        <v>45402</v>
      </c>
      <c r="E400" s="9" t="str">
        <f>+HYPERLINK("http://trademark.i-assist.jp/data/china/image_1884th/76384683.pdf", "76384683")</f>
        <v>76384683</v>
      </c>
      <c r="F400" s="6" t="s">
        <v>167</v>
      </c>
      <c r="G400" s="6" t="s">
        <v>1142</v>
      </c>
      <c r="H400" s="8" t="s">
        <v>1143</v>
      </c>
      <c r="I400" s="14">
        <v>45306</v>
      </c>
    </row>
    <row r="401" spans="1:9" x14ac:dyDescent="0.15">
      <c r="A401" s="5">
        <v>400</v>
      </c>
      <c r="B401" s="6" t="s">
        <v>9</v>
      </c>
      <c r="C401" s="7">
        <v>1884</v>
      </c>
      <c r="D401" s="8">
        <v>45402</v>
      </c>
      <c r="E401" s="9" t="str">
        <f>+HYPERLINK("http://trademark.i-assist.jp/data/china/image_1884th/76385134.pdf", "76385134")</f>
        <v>76385134</v>
      </c>
      <c r="F401" s="6" t="s">
        <v>1145</v>
      </c>
      <c r="G401" s="6" t="s">
        <v>1144</v>
      </c>
      <c r="H401" s="8" t="s">
        <v>1146</v>
      </c>
      <c r="I401" s="14">
        <v>45306</v>
      </c>
    </row>
    <row r="402" spans="1:9" x14ac:dyDescent="0.15">
      <c r="A402" s="5">
        <v>401</v>
      </c>
      <c r="B402" s="6" t="s">
        <v>9</v>
      </c>
      <c r="C402" s="7">
        <v>1884</v>
      </c>
      <c r="D402" s="8">
        <v>45402</v>
      </c>
      <c r="E402" s="9" t="str">
        <f>+HYPERLINK("http://trademark.i-assist.jp/data/china/image_1884th/76386126.pdf", "76386126")</f>
        <v>76386126</v>
      </c>
      <c r="F402" s="6" t="s">
        <v>1148</v>
      </c>
      <c r="G402" s="6" t="s">
        <v>1147</v>
      </c>
      <c r="H402" s="8" t="s">
        <v>1149</v>
      </c>
      <c r="I402" s="14">
        <v>45306</v>
      </c>
    </row>
    <row r="403" spans="1:9" x14ac:dyDescent="0.15">
      <c r="A403" s="5">
        <v>402</v>
      </c>
      <c r="B403" s="6" t="s">
        <v>9</v>
      </c>
      <c r="C403" s="7">
        <v>1884</v>
      </c>
      <c r="D403" s="8">
        <v>45402</v>
      </c>
      <c r="E403" s="9" t="str">
        <f>+HYPERLINK("http://trademark.i-assist.jp/data/china/image_1884th/76386383.pdf", "76386383")</f>
        <v>76386383</v>
      </c>
      <c r="F403" s="6" t="s">
        <v>1151</v>
      </c>
      <c r="G403" s="6" t="s">
        <v>1150</v>
      </c>
      <c r="H403" s="8" t="s">
        <v>467</v>
      </c>
      <c r="I403" s="14">
        <v>45306</v>
      </c>
    </row>
    <row r="404" spans="1:9" x14ac:dyDescent="0.15">
      <c r="A404" s="5">
        <v>403</v>
      </c>
      <c r="B404" s="6" t="s">
        <v>9</v>
      </c>
      <c r="C404" s="7">
        <v>1884</v>
      </c>
      <c r="D404" s="8">
        <v>45402</v>
      </c>
      <c r="E404" s="9" t="str">
        <f>+HYPERLINK("http://trademark.i-assist.jp/data/china/image_1884th/76386433.pdf", "76386433")</f>
        <v>76386433</v>
      </c>
      <c r="F404" s="6" t="s">
        <v>1153</v>
      </c>
      <c r="G404" s="6" t="s">
        <v>1152</v>
      </c>
      <c r="H404" s="8" t="s">
        <v>1154</v>
      </c>
      <c r="I404" s="14">
        <v>45306</v>
      </c>
    </row>
    <row r="405" spans="1:9" x14ac:dyDescent="0.15">
      <c r="A405" s="5">
        <v>404</v>
      </c>
      <c r="B405" s="6" t="s">
        <v>9</v>
      </c>
      <c r="C405" s="7">
        <v>1884</v>
      </c>
      <c r="D405" s="8">
        <v>45402</v>
      </c>
      <c r="E405" s="9" t="str">
        <f>+HYPERLINK("http://trademark.i-assist.jp/data/china/image_1884th/76386573.pdf", "76386573")</f>
        <v>76386573</v>
      </c>
      <c r="F405" s="6" t="s">
        <v>1156</v>
      </c>
      <c r="G405" s="6" t="s">
        <v>1155</v>
      </c>
      <c r="H405" s="8" t="s">
        <v>1157</v>
      </c>
      <c r="I405" s="14">
        <v>45306</v>
      </c>
    </row>
    <row r="406" spans="1:9" x14ac:dyDescent="0.15">
      <c r="A406" s="5">
        <v>405</v>
      </c>
      <c r="B406" s="6" t="s">
        <v>9</v>
      </c>
      <c r="C406" s="7">
        <v>1884</v>
      </c>
      <c r="D406" s="8">
        <v>45402</v>
      </c>
      <c r="E406" s="9" t="str">
        <f>+HYPERLINK("http://trademark.i-assist.jp/data/china/image_1884th/76386817.pdf", "76386817")</f>
        <v>76386817</v>
      </c>
      <c r="F406" s="6" t="s">
        <v>1159</v>
      </c>
      <c r="G406" s="6" t="s">
        <v>1158</v>
      </c>
      <c r="H406" s="8" t="s">
        <v>1160</v>
      </c>
      <c r="I406" s="14">
        <v>45306</v>
      </c>
    </row>
    <row r="407" spans="1:9" x14ac:dyDescent="0.15">
      <c r="A407" s="5">
        <v>406</v>
      </c>
      <c r="B407" s="6" t="s">
        <v>9</v>
      </c>
      <c r="C407" s="7">
        <v>1884</v>
      </c>
      <c r="D407" s="8">
        <v>45402</v>
      </c>
      <c r="E407" s="9" t="str">
        <f>+HYPERLINK("http://trademark.i-assist.jp/data/china/image_1884th/76386843.pdf", "76386843")</f>
        <v>76386843</v>
      </c>
      <c r="F407" s="6" t="s">
        <v>1162</v>
      </c>
      <c r="G407" s="6" t="s">
        <v>1161</v>
      </c>
      <c r="H407" s="8" t="s">
        <v>1163</v>
      </c>
      <c r="I407" s="14">
        <v>45306</v>
      </c>
    </row>
    <row r="408" spans="1:9" x14ac:dyDescent="0.15">
      <c r="A408" s="5">
        <v>407</v>
      </c>
      <c r="B408" s="6" t="s">
        <v>9</v>
      </c>
      <c r="C408" s="7">
        <v>1884</v>
      </c>
      <c r="D408" s="8">
        <v>45402</v>
      </c>
      <c r="E408" s="9" t="str">
        <f>+HYPERLINK("http://trademark.i-assist.jp/data/china/image_1884th/76387103.pdf", "76387103")</f>
        <v>76387103</v>
      </c>
      <c r="F408" s="6" t="s">
        <v>1165</v>
      </c>
      <c r="G408" s="6" t="s">
        <v>1164</v>
      </c>
      <c r="H408" s="8" t="s">
        <v>1166</v>
      </c>
      <c r="I408" s="14">
        <v>45306</v>
      </c>
    </row>
    <row r="409" spans="1:9" x14ac:dyDescent="0.15">
      <c r="A409" s="5">
        <v>408</v>
      </c>
      <c r="B409" s="6" t="s">
        <v>9</v>
      </c>
      <c r="C409" s="7">
        <v>1884</v>
      </c>
      <c r="D409" s="8">
        <v>45402</v>
      </c>
      <c r="E409" s="9" t="str">
        <f>+HYPERLINK("http://trademark.i-assist.jp/data/china/image_1884th/76387328.pdf", "76387328")</f>
        <v>76387328</v>
      </c>
      <c r="F409" s="6" t="s">
        <v>1168</v>
      </c>
      <c r="G409" s="6" t="s">
        <v>1167</v>
      </c>
      <c r="H409" s="8" t="s">
        <v>1169</v>
      </c>
      <c r="I409" s="14">
        <v>45306</v>
      </c>
    </row>
    <row r="410" spans="1:9" x14ac:dyDescent="0.15">
      <c r="A410" s="5">
        <v>409</v>
      </c>
      <c r="B410" s="6" t="s">
        <v>9</v>
      </c>
      <c r="C410" s="7">
        <v>1884</v>
      </c>
      <c r="D410" s="8">
        <v>45402</v>
      </c>
      <c r="E410" s="9" t="str">
        <f>+HYPERLINK("http://trademark.i-assist.jp/data/china/image_1884th/76387415.pdf", "76387415")</f>
        <v>76387415</v>
      </c>
      <c r="F410" s="6" t="s">
        <v>1171</v>
      </c>
      <c r="G410" s="6" t="s">
        <v>1170</v>
      </c>
      <c r="H410" s="8" t="s">
        <v>1172</v>
      </c>
      <c r="I410" s="14">
        <v>45306</v>
      </c>
    </row>
    <row r="411" spans="1:9" x14ac:dyDescent="0.15">
      <c r="A411" s="5">
        <v>410</v>
      </c>
      <c r="B411" s="6" t="s">
        <v>9</v>
      </c>
      <c r="C411" s="7">
        <v>1884</v>
      </c>
      <c r="D411" s="8">
        <v>45402</v>
      </c>
      <c r="E411" s="9" t="str">
        <f>+HYPERLINK("http://trademark.i-assist.jp/data/china/image_1884th/76388390.pdf", "76388390")</f>
        <v>76388390</v>
      </c>
      <c r="F411" s="6" t="s">
        <v>1174</v>
      </c>
      <c r="G411" s="6" t="s">
        <v>1173</v>
      </c>
      <c r="H411" s="8" t="s">
        <v>1175</v>
      </c>
      <c r="I411" s="14">
        <v>45306</v>
      </c>
    </row>
    <row r="412" spans="1:9" x14ac:dyDescent="0.15">
      <c r="A412" s="5">
        <v>411</v>
      </c>
      <c r="B412" s="6" t="s">
        <v>9</v>
      </c>
      <c r="C412" s="7">
        <v>1884</v>
      </c>
      <c r="D412" s="8">
        <v>45402</v>
      </c>
      <c r="E412" s="9" t="str">
        <f>+HYPERLINK("http://trademark.i-assist.jp/data/china/image_1884th/76388397.pdf", "76388397")</f>
        <v>76388397</v>
      </c>
      <c r="F412" s="6" t="s">
        <v>1177</v>
      </c>
      <c r="G412" s="6" t="s">
        <v>1176</v>
      </c>
      <c r="H412" s="8" t="s">
        <v>1178</v>
      </c>
      <c r="I412" s="14">
        <v>45306</v>
      </c>
    </row>
    <row r="413" spans="1:9" x14ac:dyDescent="0.15">
      <c r="A413" s="5">
        <v>412</v>
      </c>
      <c r="B413" s="6" t="s">
        <v>9</v>
      </c>
      <c r="C413" s="7">
        <v>1884</v>
      </c>
      <c r="D413" s="8">
        <v>45402</v>
      </c>
      <c r="E413" s="9" t="str">
        <f>+HYPERLINK("http://trademark.i-assist.jp/data/china/image_1884th/76389408.pdf", "76389408")</f>
        <v>76389408</v>
      </c>
      <c r="F413" s="6" t="s">
        <v>1180</v>
      </c>
      <c r="G413" s="6" t="s">
        <v>1179</v>
      </c>
      <c r="H413" s="8" t="s">
        <v>1181</v>
      </c>
      <c r="I413" s="14">
        <v>45306</v>
      </c>
    </row>
    <row r="414" spans="1:9" x14ac:dyDescent="0.15">
      <c r="A414" s="5">
        <v>413</v>
      </c>
      <c r="B414" s="6" t="s">
        <v>9</v>
      </c>
      <c r="C414" s="7">
        <v>1884</v>
      </c>
      <c r="D414" s="8">
        <v>45402</v>
      </c>
      <c r="E414" s="9" t="str">
        <f>+HYPERLINK("http://trademark.i-assist.jp/data/china/image_1884th/76390244.pdf", "76390244")</f>
        <v>76390244</v>
      </c>
      <c r="F414" s="6" t="s">
        <v>167</v>
      </c>
      <c r="G414" s="6" t="s">
        <v>1182</v>
      </c>
      <c r="H414" s="8" t="s">
        <v>1183</v>
      </c>
      <c r="I414" s="14">
        <v>45306</v>
      </c>
    </row>
    <row r="415" spans="1:9" x14ac:dyDescent="0.15">
      <c r="A415" s="5">
        <v>414</v>
      </c>
      <c r="B415" s="6" t="s">
        <v>9</v>
      </c>
      <c r="C415" s="7">
        <v>1884</v>
      </c>
      <c r="D415" s="8">
        <v>45402</v>
      </c>
      <c r="E415" s="9" t="str">
        <f>+HYPERLINK("http://trademark.i-assist.jp/data/china/image_1884th/76390422.pdf", "76390422")</f>
        <v>76390422</v>
      </c>
      <c r="F415" s="6" t="s">
        <v>167</v>
      </c>
      <c r="G415" s="6" t="s">
        <v>1184</v>
      </c>
      <c r="H415" s="8" t="s">
        <v>1185</v>
      </c>
      <c r="I415" s="14">
        <v>45306</v>
      </c>
    </row>
    <row r="416" spans="1:9" x14ac:dyDescent="0.15">
      <c r="A416" s="5">
        <v>415</v>
      </c>
      <c r="B416" s="6" t="s">
        <v>9</v>
      </c>
      <c r="C416" s="7">
        <v>1884</v>
      </c>
      <c r="D416" s="8">
        <v>45402</v>
      </c>
      <c r="E416" s="9" t="str">
        <f>+HYPERLINK("http://trademark.i-assist.jp/data/china/image_1884th/76390883.pdf", "76390883")</f>
        <v>76390883</v>
      </c>
      <c r="F416" s="6" t="s">
        <v>1186</v>
      </c>
      <c r="G416" s="6" t="s">
        <v>1105</v>
      </c>
      <c r="H416" s="8" t="s">
        <v>1187</v>
      </c>
      <c r="I416" s="14">
        <v>45306</v>
      </c>
    </row>
    <row r="417" spans="1:9" x14ac:dyDescent="0.15">
      <c r="A417" s="5">
        <v>416</v>
      </c>
      <c r="B417" s="6" t="s">
        <v>9</v>
      </c>
      <c r="C417" s="7">
        <v>1884</v>
      </c>
      <c r="D417" s="8">
        <v>45402</v>
      </c>
      <c r="E417" s="9" t="str">
        <f>+HYPERLINK("http://trademark.i-assist.jp/data/china/image_1884th/76391031.pdf", "76391031")</f>
        <v>76391031</v>
      </c>
      <c r="F417" s="6" t="s">
        <v>1189</v>
      </c>
      <c r="G417" s="6" t="s">
        <v>1188</v>
      </c>
      <c r="H417" s="8" t="s">
        <v>1190</v>
      </c>
      <c r="I417" s="14">
        <v>45306</v>
      </c>
    </row>
    <row r="418" spans="1:9" x14ac:dyDescent="0.15">
      <c r="A418" s="5">
        <v>417</v>
      </c>
      <c r="B418" s="6" t="s">
        <v>9</v>
      </c>
      <c r="C418" s="7">
        <v>1884</v>
      </c>
      <c r="D418" s="8">
        <v>45402</v>
      </c>
      <c r="E418" s="9" t="str">
        <f>+HYPERLINK("http://trademark.i-assist.jp/data/china/image_1884th/76391333.pdf", "76391333")</f>
        <v>76391333</v>
      </c>
      <c r="F418" s="6" t="s">
        <v>1192</v>
      </c>
      <c r="G418" s="6" t="s">
        <v>1191</v>
      </c>
      <c r="H418" s="8" t="s">
        <v>1193</v>
      </c>
      <c r="I418" s="14">
        <v>45306</v>
      </c>
    </row>
    <row r="419" spans="1:9" x14ac:dyDescent="0.15">
      <c r="A419" s="5">
        <v>418</v>
      </c>
      <c r="B419" s="6" t="s">
        <v>9</v>
      </c>
      <c r="C419" s="7">
        <v>1884</v>
      </c>
      <c r="D419" s="8">
        <v>45402</v>
      </c>
      <c r="E419" s="9" t="str">
        <f>+HYPERLINK("http://trademark.i-assist.jp/data/china/image_1884th/76391368.pdf", "76391368")</f>
        <v>76391368</v>
      </c>
      <c r="F419" s="6" t="s">
        <v>1195</v>
      </c>
      <c r="G419" s="6" t="s">
        <v>1194</v>
      </c>
      <c r="H419" s="8" t="s">
        <v>1196</v>
      </c>
      <c r="I419" s="14">
        <v>45306</v>
      </c>
    </row>
    <row r="420" spans="1:9" x14ac:dyDescent="0.15">
      <c r="A420" s="5">
        <v>419</v>
      </c>
      <c r="B420" s="6" t="s">
        <v>9</v>
      </c>
      <c r="C420" s="7">
        <v>1884</v>
      </c>
      <c r="D420" s="8">
        <v>45402</v>
      </c>
      <c r="E420" s="9" t="str">
        <f>+HYPERLINK("http://trademark.i-assist.jp/data/china/image_1884th/76391925.pdf", "76391925")</f>
        <v>76391925</v>
      </c>
      <c r="F420" s="6" t="s">
        <v>1198</v>
      </c>
      <c r="G420" s="6" t="s">
        <v>1197</v>
      </c>
      <c r="H420" s="8" t="s">
        <v>1199</v>
      </c>
      <c r="I420" s="14">
        <v>45306</v>
      </c>
    </row>
    <row r="421" spans="1:9" x14ac:dyDescent="0.15">
      <c r="A421" s="5">
        <v>420</v>
      </c>
      <c r="B421" s="6" t="s">
        <v>9</v>
      </c>
      <c r="C421" s="7">
        <v>1884</v>
      </c>
      <c r="D421" s="8">
        <v>45402</v>
      </c>
      <c r="E421" s="9" t="str">
        <f>+HYPERLINK("http://trademark.i-assist.jp/data/china/image_1884th/76392022.pdf", "76392022")</f>
        <v>76392022</v>
      </c>
      <c r="F421" s="6" t="s">
        <v>1200</v>
      </c>
      <c r="G421" s="6" t="s">
        <v>1170</v>
      </c>
      <c r="H421" s="8" t="s">
        <v>1201</v>
      </c>
      <c r="I421" s="14">
        <v>45306</v>
      </c>
    </row>
    <row r="422" spans="1:9" x14ac:dyDescent="0.15">
      <c r="A422" s="5">
        <v>421</v>
      </c>
      <c r="B422" s="6" t="s">
        <v>9</v>
      </c>
      <c r="C422" s="7">
        <v>1884</v>
      </c>
      <c r="D422" s="8">
        <v>45402</v>
      </c>
      <c r="E422" s="9" t="str">
        <f>+HYPERLINK("http://trademark.i-assist.jp/data/china/image_1884th/76392375.pdf", "76392375")</f>
        <v>76392375</v>
      </c>
      <c r="F422" s="6" t="s">
        <v>1203</v>
      </c>
      <c r="G422" s="6" t="s">
        <v>1202</v>
      </c>
      <c r="H422" s="8" t="s">
        <v>1204</v>
      </c>
      <c r="I422" s="14">
        <v>45306</v>
      </c>
    </row>
    <row r="423" spans="1:9" x14ac:dyDescent="0.15">
      <c r="A423" s="5">
        <v>422</v>
      </c>
      <c r="B423" s="6" t="s">
        <v>9</v>
      </c>
      <c r="C423" s="7">
        <v>1884</v>
      </c>
      <c r="D423" s="8">
        <v>45402</v>
      </c>
      <c r="E423" s="9" t="str">
        <f>+HYPERLINK("http://trademark.i-assist.jp/data/china/image_1884th/76393007.pdf", "76393007")</f>
        <v>76393007</v>
      </c>
      <c r="F423" s="6" t="s">
        <v>1206</v>
      </c>
      <c r="G423" s="6" t="s">
        <v>1205</v>
      </c>
      <c r="H423" s="8" t="s">
        <v>1207</v>
      </c>
      <c r="I423" s="14">
        <v>45306</v>
      </c>
    </row>
    <row r="424" spans="1:9" x14ac:dyDescent="0.15">
      <c r="A424" s="5">
        <v>423</v>
      </c>
      <c r="B424" s="6" t="s">
        <v>9</v>
      </c>
      <c r="C424" s="7">
        <v>1884</v>
      </c>
      <c r="D424" s="8">
        <v>45402</v>
      </c>
      <c r="E424" s="9" t="str">
        <f>+HYPERLINK("http://trademark.i-assist.jp/data/china/image_1884th/76393339.pdf", "76393339")</f>
        <v>76393339</v>
      </c>
      <c r="F424" s="6" t="s">
        <v>1209</v>
      </c>
      <c r="G424" s="6" t="s">
        <v>1208</v>
      </c>
      <c r="H424" s="8" t="s">
        <v>1210</v>
      </c>
      <c r="I424" s="14">
        <v>45306</v>
      </c>
    </row>
    <row r="425" spans="1:9" x14ac:dyDescent="0.15">
      <c r="A425" s="5">
        <v>424</v>
      </c>
      <c r="B425" s="6" t="s">
        <v>9</v>
      </c>
      <c r="C425" s="7">
        <v>1884</v>
      </c>
      <c r="D425" s="8">
        <v>45402</v>
      </c>
      <c r="E425" s="9" t="str">
        <f>+HYPERLINK("http://trademark.i-assist.jp/data/china/image_1884th/76393863.pdf", "76393863")</f>
        <v>76393863</v>
      </c>
      <c r="F425" s="6" t="s">
        <v>1211</v>
      </c>
      <c r="G425" s="6" t="s">
        <v>25</v>
      </c>
      <c r="H425" s="8" t="s">
        <v>1212</v>
      </c>
      <c r="I425" s="14">
        <v>45306</v>
      </c>
    </row>
    <row r="426" spans="1:9" x14ac:dyDescent="0.15">
      <c r="A426" s="5">
        <v>425</v>
      </c>
      <c r="B426" s="6" t="s">
        <v>9</v>
      </c>
      <c r="C426" s="7">
        <v>1884</v>
      </c>
      <c r="D426" s="8">
        <v>45402</v>
      </c>
      <c r="E426" s="9" t="str">
        <f>+HYPERLINK("http://trademark.i-assist.jp/data/china/image_1884th/76394541.pdf", "76394541")</f>
        <v>76394541</v>
      </c>
      <c r="F426" s="6" t="s">
        <v>1214</v>
      </c>
      <c r="G426" s="6" t="s">
        <v>1213</v>
      </c>
      <c r="H426" s="8" t="s">
        <v>1215</v>
      </c>
      <c r="I426" s="14">
        <v>45306</v>
      </c>
    </row>
    <row r="427" spans="1:9" x14ac:dyDescent="0.15">
      <c r="A427" s="5">
        <v>426</v>
      </c>
      <c r="B427" s="6" t="s">
        <v>9</v>
      </c>
      <c r="C427" s="7">
        <v>1884</v>
      </c>
      <c r="D427" s="8">
        <v>45402</v>
      </c>
      <c r="E427" s="9" t="str">
        <f>+HYPERLINK("http://trademark.i-assist.jp/data/china/image_1884th/76394699.pdf", "76394699")</f>
        <v>76394699</v>
      </c>
      <c r="F427" s="6" t="s">
        <v>1216</v>
      </c>
      <c r="G427" s="6" t="s">
        <v>1161</v>
      </c>
      <c r="H427" s="8" t="s">
        <v>1217</v>
      </c>
      <c r="I427" s="14">
        <v>45306</v>
      </c>
    </row>
    <row r="428" spans="1:9" x14ac:dyDescent="0.15">
      <c r="A428" s="5">
        <v>427</v>
      </c>
      <c r="B428" s="6" t="s">
        <v>9</v>
      </c>
      <c r="C428" s="7">
        <v>1884</v>
      </c>
      <c r="D428" s="8">
        <v>45402</v>
      </c>
      <c r="E428" s="9" t="str">
        <f>+HYPERLINK("http://trademark.i-assist.jp/data/china/image_1884th/76394935.pdf", "76394935")</f>
        <v>76394935</v>
      </c>
      <c r="F428" s="6" t="s">
        <v>1219</v>
      </c>
      <c r="G428" s="6" t="s">
        <v>1218</v>
      </c>
      <c r="H428" s="8" t="s">
        <v>1220</v>
      </c>
      <c r="I428" s="14">
        <v>45306</v>
      </c>
    </row>
    <row r="429" spans="1:9" x14ac:dyDescent="0.15">
      <c r="A429" s="5">
        <v>428</v>
      </c>
      <c r="B429" s="6" t="s">
        <v>9</v>
      </c>
      <c r="C429" s="7">
        <v>1884</v>
      </c>
      <c r="D429" s="8">
        <v>45402</v>
      </c>
      <c r="E429" s="9" t="str">
        <f>+HYPERLINK("http://trademark.i-assist.jp/data/china/image_1884th/76395022.pdf", "76395022")</f>
        <v>76395022</v>
      </c>
      <c r="F429" s="6" t="s">
        <v>1222</v>
      </c>
      <c r="G429" s="6" t="s">
        <v>1221</v>
      </c>
      <c r="H429" s="8" t="s">
        <v>1223</v>
      </c>
      <c r="I429" s="14">
        <v>45306</v>
      </c>
    </row>
    <row r="430" spans="1:9" x14ac:dyDescent="0.15">
      <c r="A430" s="5">
        <v>429</v>
      </c>
      <c r="B430" s="6" t="s">
        <v>9</v>
      </c>
      <c r="C430" s="7">
        <v>1884</v>
      </c>
      <c r="D430" s="8">
        <v>45402</v>
      </c>
      <c r="E430" s="9" t="str">
        <f>+HYPERLINK("http://trademark.i-assist.jp/data/china/image_1884th/76395055.pdf", "76395055")</f>
        <v>76395055</v>
      </c>
      <c r="F430" s="6" t="s">
        <v>1225</v>
      </c>
      <c r="G430" s="6" t="s">
        <v>1224</v>
      </c>
      <c r="H430" s="8" t="s">
        <v>1226</v>
      </c>
      <c r="I430" s="14">
        <v>45306</v>
      </c>
    </row>
    <row r="431" spans="1:9" x14ac:dyDescent="0.15">
      <c r="A431" s="5">
        <v>430</v>
      </c>
      <c r="B431" s="6" t="s">
        <v>9</v>
      </c>
      <c r="C431" s="7">
        <v>1884</v>
      </c>
      <c r="D431" s="8">
        <v>45402</v>
      </c>
      <c r="E431" s="9" t="str">
        <f>+HYPERLINK("http://trademark.i-assist.jp/data/china/image_1884th/76395081.pdf", "76395081")</f>
        <v>76395081</v>
      </c>
      <c r="F431" s="6" t="s">
        <v>1227</v>
      </c>
      <c r="G431" s="6" t="s">
        <v>16</v>
      </c>
      <c r="H431" s="8" t="s">
        <v>1228</v>
      </c>
      <c r="I431" s="14">
        <v>45306</v>
      </c>
    </row>
    <row r="432" spans="1:9" x14ac:dyDescent="0.15">
      <c r="A432" s="5">
        <v>431</v>
      </c>
      <c r="B432" s="6" t="s">
        <v>9</v>
      </c>
      <c r="C432" s="7">
        <v>1884</v>
      </c>
      <c r="D432" s="8">
        <v>45402</v>
      </c>
      <c r="E432" s="9" t="str">
        <f>+HYPERLINK("http://trademark.i-assist.jp/data/china/image_1884th/76395350.pdf", "76395350")</f>
        <v>76395350</v>
      </c>
      <c r="F432" s="6" t="s">
        <v>1230</v>
      </c>
      <c r="G432" s="6" t="s">
        <v>1229</v>
      </c>
      <c r="H432" s="8" t="s">
        <v>1231</v>
      </c>
      <c r="I432" s="14">
        <v>45306</v>
      </c>
    </row>
    <row r="433" spans="1:9" x14ac:dyDescent="0.15">
      <c r="A433" s="5">
        <v>432</v>
      </c>
      <c r="B433" s="6" t="s">
        <v>9</v>
      </c>
      <c r="C433" s="7">
        <v>1884</v>
      </c>
      <c r="D433" s="8">
        <v>45402</v>
      </c>
      <c r="E433" s="9" t="str">
        <f>+HYPERLINK("http://trademark.i-assist.jp/data/china/image_1884th/76395634.pdf", "76395634")</f>
        <v>76395634</v>
      </c>
      <c r="F433" s="6" t="s">
        <v>1232</v>
      </c>
      <c r="G433" s="6" t="s">
        <v>1144</v>
      </c>
      <c r="H433" s="8" t="s">
        <v>1233</v>
      </c>
      <c r="I433" s="14">
        <v>45306</v>
      </c>
    </row>
    <row r="434" spans="1:9" x14ac:dyDescent="0.15">
      <c r="A434" s="5">
        <v>433</v>
      </c>
      <c r="B434" s="6" t="s">
        <v>9</v>
      </c>
      <c r="C434" s="7">
        <v>1884</v>
      </c>
      <c r="D434" s="8">
        <v>45402</v>
      </c>
      <c r="E434" s="9" t="str">
        <f>+HYPERLINK("http://trademark.i-assist.jp/data/china/image_1884th/76395824.pdf", "76395824")</f>
        <v>76395824</v>
      </c>
      <c r="F434" s="6" t="s">
        <v>1235</v>
      </c>
      <c r="G434" s="6" t="s">
        <v>1234</v>
      </c>
      <c r="H434" s="8" t="s">
        <v>1236</v>
      </c>
      <c r="I434" s="14">
        <v>45306</v>
      </c>
    </row>
    <row r="435" spans="1:9" x14ac:dyDescent="0.15">
      <c r="A435" s="5">
        <v>434</v>
      </c>
      <c r="B435" s="6" t="s">
        <v>9</v>
      </c>
      <c r="C435" s="7">
        <v>1884</v>
      </c>
      <c r="D435" s="8">
        <v>45402</v>
      </c>
      <c r="E435" s="9" t="str">
        <f>+HYPERLINK("http://trademark.i-assist.jp/data/china/image_1884th/76395940.pdf", "76395940")</f>
        <v>76395940</v>
      </c>
      <c r="F435" s="6" t="s">
        <v>1238</v>
      </c>
      <c r="G435" s="6" t="s">
        <v>1237</v>
      </c>
      <c r="H435" s="8" t="s">
        <v>1239</v>
      </c>
      <c r="I435" s="14">
        <v>45306</v>
      </c>
    </row>
    <row r="436" spans="1:9" x14ac:dyDescent="0.15">
      <c r="A436" s="5">
        <v>435</v>
      </c>
      <c r="B436" s="6" t="s">
        <v>9</v>
      </c>
      <c r="C436" s="7">
        <v>1884</v>
      </c>
      <c r="D436" s="8">
        <v>45402</v>
      </c>
      <c r="E436" s="9" t="str">
        <f>+HYPERLINK("http://trademark.i-assist.jp/data/china/image_1884th/76396878.pdf", "76396878")</f>
        <v>76396878</v>
      </c>
      <c r="F436" s="6" t="s">
        <v>1241</v>
      </c>
      <c r="G436" s="6" t="s">
        <v>1240</v>
      </c>
      <c r="H436" s="8" t="s">
        <v>1242</v>
      </c>
      <c r="I436" s="14">
        <v>45306</v>
      </c>
    </row>
    <row r="437" spans="1:9" x14ac:dyDescent="0.15">
      <c r="A437" s="5">
        <v>436</v>
      </c>
      <c r="B437" s="6" t="s">
        <v>9</v>
      </c>
      <c r="C437" s="7">
        <v>1884</v>
      </c>
      <c r="D437" s="8">
        <v>45402</v>
      </c>
      <c r="E437" s="9" t="str">
        <f>+HYPERLINK("http://trademark.i-assist.jp/data/china/image_1884th/76396994.pdf", "76396994")</f>
        <v>76396994</v>
      </c>
      <c r="F437" s="6" t="s">
        <v>1244</v>
      </c>
      <c r="G437" s="6" t="s">
        <v>1243</v>
      </c>
      <c r="H437" s="8" t="s">
        <v>1245</v>
      </c>
      <c r="I437" s="14">
        <v>45306</v>
      </c>
    </row>
    <row r="438" spans="1:9" x14ac:dyDescent="0.15">
      <c r="A438" s="5">
        <v>437</v>
      </c>
      <c r="B438" s="6" t="s">
        <v>9</v>
      </c>
      <c r="C438" s="7">
        <v>1884</v>
      </c>
      <c r="D438" s="8">
        <v>45402</v>
      </c>
      <c r="E438" s="9" t="str">
        <f>+HYPERLINK("http://trademark.i-assist.jp/data/china/image_1884th/76397087.pdf", "76397087")</f>
        <v>76397087</v>
      </c>
      <c r="F438" s="6" t="s">
        <v>1247</v>
      </c>
      <c r="G438" s="6" t="s">
        <v>1246</v>
      </c>
      <c r="H438" s="8" t="s">
        <v>1248</v>
      </c>
      <c r="I438" s="14">
        <v>45306</v>
      </c>
    </row>
    <row r="439" spans="1:9" x14ac:dyDescent="0.15">
      <c r="A439" s="5">
        <v>438</v>
      </c>
      <c r="B439" s="6" t="s">
        <v>9</v>
      </c>
      <c r="C439" s="7">
        <v>1884</v>
      </c>
      <c r="D439" s="8">
        <v>45402</v>
      </c>
      <c r="E439" s="9" t="str">
        <f>+HYPERLINK("http://trademark.i-assist.jp/data/china/image_1884th/76397525.pdf", "76397525")</f>
        <v>76397525</v>
      </c>
      <c r="F439" s="6" t="s">
        <v>167</v>
      </c>
      <c r="G439" s="6" t="s">
        <v>1249</v>
      </c>
      <c r="H439" s="8" t="s">
        <v>1250</v>
      </c>
      <c r="I439" s="14">
        <v>45306</v>
      </c>
    </row>
    <row r="440" spans="1:9" x14ac:dyDescent="0.15">
      <c r="A440" s="5">
        <v>439</v>
      </c>
      <c r="B440" s="6" t="s">
        <v>9</v>
      </c>
      <c r="C440" s="7">
        <v>1884</v>
      </c>
      <c r="D440" s="8">
        <v>45402</v>
      </c>
      <c r="E440" s="9" t="str">
        <f>+HYPERLINK("http://trademark.i-assist.jp/data/china/image_1884th/76397807.pdf", "76397807")</f>
        <v>76397807</v>
      </c>
      <c r="F440" s="6" t="s">
        <v>1252</v>
      </c>
      <c r="G440" s="6" t="s">
        <v>1251</v>
      </c>
      <c r="H440" s="8" t="s">
        <v>1253</v>
      </c>
      <c r="I440" s="14">
        <v>45306</v>
      </c>
    </row>
    <row r="441" spans="1:9" x14ac:dyDescent="0.15">
      <c r="A441" s="5">
        <v>440</v>
      </c>
      <c r="B441" s="6" t="s">
        <v>9</v>
      </c>
      <c r="C441" s="7">
        <v>1884</v>
      </c>
      <c r="D441" s="8">
        <v>45402</v>
      </c>
      <c r="E441" s="9" t="str">
        <f>+HYPERLINK("http://trademark.i-assist.jp/data/china/image_1884th/76397889.pdf", "76397889")</f>
        <v>76397889</v>
      </c>
      <c r="F441" s="6" t="s">
        <v>1254</v>
      </c>
      <c r="G441" s="6" t="s">
        <v>1237</v>
      </c>
      <c r="H441" s="8" t="s">
        <v>1255</v>
      </c>
      <c r="I441" s="14">
        <v>45306</v>
      </c>
    </row>
    <row r="442" spans="1:9" x14ac:dyDescent="0.15">
      <c r="A442" s="5">
        <v>441</v>
      </c>
      <c r="B442" s="6" t="s">
        <v>9</v>
      </c>
      <c r="C442" s="7">
        <v>1884</v>
      </c>
      <c r="D442" s="8">
        <v>45402</v>
      </c>
      <c r="E442" s="9" t="str">
        <f>+HYPERLINK("http://trademark.i-assist.jp/data/china/image_1884th/76398031.pdf", "76398031")</f>
        <v>76398031</v>
      </c>
      <c r="F442" s="6" t="s">
        <v>1257</v>
      </c>
      <c r="G442" s="6" t="s">
        <v>1256</v>
      </c>
      <c r="H442" s="8" t="s">
        <v>1258</v>
      </c>
      <c r="I442" s="14">
        <v>45306</v>
      </c>
    </row>
    <row r="443" spans="1:9" x14ac:dyDescent="0.15">
      <c r="A443" s="5">
        <v>442</v>
      </c>
      <c r="B443" s="6" t="s">
        <v>9</v>
      </c>
      <c r="C443" s="7">
        <v>1884</v>
      </c>
      <c r="D443" s="8">
        <v>45402</v>
      </c>
      <c r="E443" s="9" t="str">
        <f>+HYPERLINK("http://trademark.i-assist.jp/data/china/image_1884th/76398578.pdf", "76398578")</f>
        <v>76398578</v>
      </c>
      <c r="F443" s="6" t="s">
        <v>1259</v>
      </c>
      <c r="G443" s="6" t="s">
        <v>33</v>
      </c>
      <c r="H443" s="8" t="s">
        <v>1260</v>
      </c>
      <c r="I443" s="14">
        <v>45306</v>
      </c>
    </row>
    <row r="444" spans="1:9" x14ac:dyDescent="0.15">
      <c r="A444" s="5">
        <v>443</v>
      </c>
      <c r="B444" s="6" t="s">
        <v>9</v>
      </c>
      <c r="C444" s="7">
        <v>1884</v>
      </c>
      <c r="D444" s="8">
        <v>45402</v>
      </c>
      <c r="E444" s="9" t="str">
        <f>+HYPERLINK("http://trademark.i-assist.jp/data/china/image_1884th/76399356.pdf", "76399356")</f>
        <v>76399356</v>
      </c>
      <c r="F444" s="6" t="s">
        <v>1262</v>
      </c>
      <c r="G444" s="6" t="s">
        <v>1261</v>
      </c>
      <c r="H444" s="8" t="s">
        <v>1263</v>
      </c>
      <c r="I444" s="14">
        <v>45306</v>
      </c>
    </row>
    <row r="445" spans="1:9" x14ac:dyDescent="0.15">
      <c r="A445" s="5">
        <v>444</v>
      </c>
      <c r="B445" s="6" t="s">
        <v>9</v>
      </c>
      <c r="C445" s="7">
        <v>1884</v>
      </c>
      <c r="D445" s="8">
        <v>45402</v>
      </c>
      <c r="E445" s="9" t="str">
        <f>+HYPERLINK("http://trademark.i-assist.jp/data/china/image_1884th/76399405.pdf", "76399405")</f>
        <v>76399405</v>
      </c>
      <c r="F445" s="6" t="s">
        <v>1265</v>
      </c>
      <c r="G445" s="6" t="s">
        <v>1264</v>
      </c>
      <c r="H445" s="8" t="s">
        <v>1266</v>
      </c>
      <c r="I445" s="14">
        <v>45306</v>
      </c>
    </row>
    <row r="446" spans="1:9" x14ac:dyDescent="0.15">
      <c r="A446" s="5">
        <v>445</v>
      </c>
      <c r="B446" s="6" t="s">
        <v>9</v>
      </c>
      <c r="C446" s="7">
        <v>1884</v>
      </c>
      <c r="D446" s="8">
        <v>45402</v>
      </c>
      <c r="E446" s="9" t="str">
        <f>+HYPERLINK("http://trademark.i-assist.jp/data/china/image_1884th/76399480.pdf", "76399480")</f>
        <v>76399480</v>
      </c>
      <c r="F446" s="6" t="s">
        <v>1268</v>
      </c>
      <c r="G446" s="6" t="s">
        <v>1267</v>
      </c>
      <c r="H446" s="8" t="s">
        <v>1269</v>
      </c>
      <c r="I446" s="14">
        <v>45306</v>
      </c>
    </row>
    <row r="447" spans="1:9" x14ac:dyDescent="0.15">
      <c r="A447" s="5">
        <v>446</v>
      </c>
      <c r="B447" s="6" t="s">
        <v>9</v>
      </c>
      <c r="C447" s="7">
        <v>1884</v>
      </c>
      <c r="D447" s="8">
        <v>45402</v>
      </c>
      <c r="E447" s="9" t="str">
        <f>+HYPERLINK("http://trademark.i-assist.jp/data/china/image_1884th/76399680.pdf", "76399680")</f>
        <v>76399680</v>
      </c>
      <c r="F447" s="6" t="s">
        <v>1271</v>
      </c>
      <c r="G447" s="6" t="s">
        <v>1270</v>
      </c>
      <c r="H447" s="8" t="s">
        <v>1272</v>
      </c>
      <c r="I447" s="14">
        <v>45306</v>
      </c>
    </row>
    <row r="448" spans="1:9" x14ac:dyDescent="0.15">
      <c r="A448" s="5">
        <v>447</v>
      </c>
      <c r="B448" s="6" t="s">
        <v>9</v>
      </c>
      <c r="C448" s="7">
        <v>1884</v>
      </c>
      <c r="D448" s="8">
        <v>45402</v>
      </c>
      <c r="E448" s="9" t="str">
        <f>+HYPERLINK("http://trademark.i-assist.jp/data/china/image_1884th/76399820.pdf", "76399820")</f>
        <v>76399820</v>
      </c>
      <c r="F448" s="6" t="s">
        <v>1274</v>
      </c>
      <c r="G448" s="6" t="s">
        <v>1273</v>
      </c>
      <c r="H448" s="8" t="s">
        <v>1275</v>
      </c>
      <c r="I448" s="14">
        <v>45306</v>
      </c>
    </row>
    <row r="449" spans="1:9" x14ac:dyDescent="0.15">
      <c r="A449" s="5">
        <v>448</v>
      </c>
      <c r="B449" s="6" t="s">
        <v>9</v>
      </c>
      <c r="C449" s="7">
        <v>1884</v>
      </c>
      <c r="D449" s="8">
        <v>45402</v>
      </c>
      <c r="E449" s="9" t="str">
        <f>+HYPERLINK("http://trademark.i-assist.jp/data/china/image_1884th/76400171.pdf", "76400171")</f>
        <v>76400171</v>
      </c>
      <c r="F449" s="6" t="s">
        <v>1276</v>
      </c>
      <c r="G449" s="6" t="s">
        <v>1261</v>
      </c>
      <c r="H449" s="8" t="s">
        <v>1277</v>
      </c>
      <c r="I449" s="14">
        <v>45306</v>
      </c>
    </row>
    <row r="450" spans="1:9" x14ac:dyDescent="0.15">
      <c r="A450" s="5">
        <v>449</v>
      </c>
      <c r="B450" s="6" t="s">
        <v>9</v>
      </c>
      <c r="C450" s="7">
        <v>1884</v>
      </c>
      <c r="D450" s="8">
        <v>45402</v>
      </c>
      <c r="E450" s="9" t="str">
        <f>+HYPERLINK("http://trademark.i-assist.jp/data/china/image_1884th/76400227.pdf", "76400227")</f>
        <v>76400227</v>
      </c>
      <c r="F450" s="6" t="s">
        <v>1279</v>
      </c>
      <c r="G450" s="6" t="s">
        <v>1278</v>
      </c>
      <c r="H450" s="8" t="s">
        <v>1280</v>
      </c>
      <c r="I450" s="14">
        <v>45306</v>
      </c>
    </row>
    <row r="451" spans="1:9" x14ac:dyDescent="0.15">
      <c r="A451" s="5">
        <v>450</v>
      </c>
      <c r="B451" s="6" t="s">
        <v>9</v>
      </c>
      <c r="C451" s="7">
        <v>1884</v>
      </c>
      <c r="D451" s="8">
        <v>45402</v>
      </c>
      <c r="E451" s="9" t="str">
        <f>+HYPERLINK("http://trademark.i-assist.jp/data/china/image_1884th/76400465.pdf", "76400465")</f>
        <v>76400465</v>
      </c>
      <c r="F451" s="6" t="s">
        <v>1281</v>
      </c>
      <c r="G451" s="6" t="s">
        <v>1161</v>
      </c>
      <c r="H451" s="8" t="s">
        <v>1282</v>
      </c>
      <c r="I451" s="14">
        <v>45306</v>
      </c>
    </row>
    <row r="452" spans="1:9" x14ac:dyDescent="0.15">
      <c r="A452" s="5">
        <v>451</v>
      </c>
      <c r="B452" s="6" t="s">
        <v>9</v>
      </c>
      <c r="C452" s="7">
        <v>1884</v>
      </c>
      <c r="D452" s="8">
        <v>45402</v>
      </c>
      <c r="E452" s="9" t="str">
        <f>+HYPERLINK("http://trademark.i-assist.jp/data/china/image_1884th/76400795.pdf", "76400795")</f>
        <v>76400795</v>
      </c>
      <c r="F452" s="6" t="s">
        <v>1284</v>
      </c>
      <c r="G452" s="6" t="s">
        <v>1283</v>
      </c>
      <c r="H452" s="8" t="s">
        <v>1285</v>
      </c>
      <c r="I452" s="14">
        <v>45306</v>
      </c>
    </row>
    <row r="453" spans="1:9" x14ac:dyDescent="0.15">
      <c r="A453" s="5">
        <v>452</v>
      </c>
      <c r="B453" s="6" t="s">
        <v>9</v>
      </c>
      <c r="C453" s="7">
        <v>1884</v>
      </c>
      <c r="D453" s="8">
        <v>45402</v>
      </c>
      <c r="E453" s="9" t="str">
        <f>+HYPERLINK("http://trademark.i-assist.jp/data/china/image_1884th/76401398.pdf", "76401398")</f>
        <v>76401398</v>
      </c>
      <c r="F453" s="6" t="s">
        <v>167</v>
      </c>
      <c r="G453" s="6" t="s">
        <v>1286</v>
      </c>
      <c r="H453" s="8" t="s">
        <v>1287</v>
      </c>
      <c r="I453" s="14">
        <v>45304</v>
      </c>
    </row>
    <row r="454" spans="1:9" x14ac:dyDescent="0.15">
      <c r="A454" s="5">
        <v>453</v>
      </c>
      <c r="B454" s="6" t="s">
        <v>9</v>
      </c>
      <c r="C454" s="7">
        <v>1884</v>
      </c>
      <c r="D454" s="8">
        <v>45402</v>
      </c>
      <c r="E454" s="9" t="str">
        <f>+HYPERLINK("http://trademark.i-assist.jp/data/china/image_1884th/76401578.pdf", "76401578")</f>
        <v>76401578</v>
      </c>
      <c r="F454" s="6" t="s">
        <v>1289</v>
      </c>
      <c r="G454" s="6" t="s">
        <v>1288</v>
      </c>
      <c r="H454" s="8" t="s">
        <v>1290</v>
      </c>
      <c r="I454" s="14">
        <v>45306</v>
      </c>
    </row>
    <row r="455" spans="1:9" x14ac:dyDescent="0.15">
      <c r="A455" s="5">
        <v>454</v>
      </c>
      <c r="B455" s="6" t="s">
        <v>9</v>
      </c>
      <c r="C455" s="7">
        <v>1884</v>
      </c>
      <c r="D455" s="8">
        <v>45402</v>
      </c>
      <c r="E455" s="9" t="str">
        <f>+HYPERLINK("http://trademark.i-assist.jp/data/china/image_1884th/76401583.pdf", "76401583")</f>
        <v>76401583</v>
      </c>
      <c r="F455" s="6" t="s">
        <v>1291</v>
      </c>
      <c r="G455" s="6" t="s">
        <v>1105</v>
      </c>
      <c r="H455" s="8" t="s">
        <v>1292</v>
      </c>
      <c r="I455" s="14">
        <v>45306</v>
      </c>
    </row>
    <row r="456" spans="1:9" x14ac:dyDescent="0.15">
      <c r="A456" s="5">
        <v>455</v>
      </c>
      <c r="B456" s="6" t="s">
        <v>9</v>
      </c>
      <c r="C456" s="7">
        <v>1884</v>
      </c>
      <c r="D456" s="8">
        <v>45402</v>
      </c>
      <c r="E456" s="9" t="str">
        <f>+HYPERLINK("http://trademark.i-assist.jp/data/china/image_1884th/76401746.pdf", "76401746")</f>
        <v>76401746</v>
      </c>
      <c r="F456" s="6" t="s">
        <v>1293</v>
      </c>
      <c r="G456" s="6" t="s">
        <v>1208</v>
      </c>
      <c r="H456" s="8" t="s">
        <v>1294</v>
      </c>
      <c r="I456" s="14">
        <v>45306</v>
      </c>
    </row>
    <row r="457" spans="1:9" x14ac:dyDescent="0.15">
      <c r="A457" s="5">
        <v>456</v>
      </c>
      <c r="B457" s="6" t="s">
        <v>9</v>
      </c>
      <c r="C457" s="7">
        <v>1884</v>
      </c>
      <c r="D457" s="8">
        <v>45402</v>
      </c>
      <c r="E457" s="9" t="str">
        <f>+HYPERLINK("http://trademark.i-assist.jp/data/china/image_1884th/76401788.pdf", "76401788")</f>
        <v>76401788</v>
      </c>
      <c r="F457" s="6" t="s">
        <v>1296</v>
      </c>
      <c r="G457" s="6" t="s">
        <v>1295</v>
      </c>
      <c r="H457" s="8" t="s">
        <v>1297</v>
      </c>
      <c r="I457" s="14">
        <v>45306</v>
      </c>
    </row>
    <row r="458" spans="1:9" x14ac:dyDescent="0.15">
      <c r="A458" s="5">
        <v>457</v>
      </c>
      <c r="B458" s="6" t="s">
        <v>9</v>
      </c>
      <c r="C458" s="7">
        <v>1884</v>
      </c>
      <c r="D458" s="8">
        <v>45402</v>
      </c>
      <c r="E458" s="9" t="str">
        <f>+HYPERLINK("http://trademark.i-assist.jp/data/china/image_1884th/76402896.pdf", "76402896")</f>
        <v>76402896</v>
      </c>
      <c r="F458" s="6" t="s">
        <v>1299</v>
      </c>
      <c r="G458" s="6" t="s">
        <v>1298</v>
      </c>
      <c r="H458" s="8" t="s">
        <v>1300</v>
      </c>
      <c r="I458" s="14">
        <v>45304</v>
      </c>
    </row>
    <row r="459" spans="1:9" x14ac:dyDescent="0.15">
      <c r="A459" s="5">
        <v>458</v>
      </c>
      <c r="B459" s="6" t="s">
        <v>9</v>
      </c>
      <c r="C459" s="7">
        <v>1884</v>
      </c>
      <c r="D459" s="8">
        <v>45402</v>
      </c>
      <c r="E459" s="9" t="str">
        <f>+HYPERLINK("http://trademark.i-assist.jp/data/china/image_1884th/76402911.pdf", "76402911")</f>
        <v>76402911</v>
      </c>
      <c r="F459" s="6" t="s">
        <v>1302</v>
      </c>
      <c r="G459" s="6" t="s">
        <v>1301</v>
      </c>
      <c r="H459" s="8" t="s">
        <v>1303</v>
      </c>
      <c r="I459" s="14">
        <v>45304</v>
      </c>
    </row>
    <row r="460" spans="1:9" x14ac:dyDescent="0.15">
      <c r="A460" s="5">
        <v>459</v>
      </c>
      <c r="B460" s="6" t="s">
        <v>9</v>
      </c>
      <c r="C460" s="7">
        <v>1884</v>
      </c>
      <c r="D460" s="8">
        <v>45402</v>
      </c>
      <c r="E460" s="9" t="str">
        <f>+HYPERLINK("http://trademark.i-assist.jp/data/china/image_1884th/76403130.pdf", "76403130")</f>
        <v>76403130</v>
      </c>
      <c r="F460" s="6" t="s">
        <v>1304</v>
      </c>
      <c r="G460" s="6" t="s">
        <v>1164</v>
      </c>
      <c r="H460" s="8" t="s">
        <v>1305</v>
      </c>
      <c r="I460" s="14">
        <v>45306</v>
      </c>
    </row>
    <row r="461" spans="1:9" x14ac:dyDescent="0.15">
      <c r="A461" s="5">
        <v>460</v>
      </c>
      <c r="B461" s="6" t="s">
        <v>9</v>
      </c>
      <c r="C461" s="7">
        <v>1884</v>
      </c>
      <c r="D461" s="8">
        <v>45402</v>
      </c>
      <c r="E461" s="9" t="str">
        <f>+HYPERLINK("http://trademark.i-assist.jp/data/china/image_1884th/76403392.pdf", "76403392")</f>
        <v>76403392</v>
      </c>
      <c r="F461" s="6" t="s">
        <v>1306</v>
      </c>
      <c r="G461" s="6" t="s">
        <v>1176</v>
      </c>
      <c r="H461" s="8" t="s">
        <v>1307</v>
      </c>
      <c r="I461" s="14">
        <v>45306</v>
      </c>
    </row>
    <row r="462" spans="1:9" x14ac:dyDescent="0.15">
      <c r="A462" s="5">
        <v>461</v>
      </c>
      <c r="B462" s="6" t="s">
        <v>9</v>
      </c>
      <c r="C462" s="7">
        <v>1884</v>
      </c>
      <c r="D462" s="8">
        <v>45402</v>
      </c>
      <c r="E462" s="9" t="str">
        <f>+HYPERLINK("http://trademark.i-assist.jp/data/china/image_1884th/76403742.pdf", "76403742")</f>
        <v>76403742</v>
      </c>
      <c r="F462" s="6" t="s">
        <v>1309</v>
      </c>
      <c r="G462" s="6" t="s">
        <v>1308</v>
      </c>
      <c r="H462" s="8" t="s">
        <v>1310</v>
      </c>
      <c r="I462" s="14">
        <v>45306</v>
      </c>
    </row>
    <row r="463" spans="1:9" x14ac:dyDescent="0.15">
      <c r="A463" s="5">
        <v>462</v>
      </c>
      <c r="B463" s="6" t="s">
        <v>9</v>
      </c>
      <c r="C463" s="7">
        <v>1884</v>
      </c>
      <c r="D463" s="8">
        <v>45402</v>
      </c>
      <c r="E463" s="9" t="str">
        <f>+HYPERLINK("http://trademark.i-assist.jp/data/china/image_1884th/76403903.pdf", "76403903")</f>
        <v>76403903</v>
      </c>
      <c r="F463" s="6" t="s">
        <v>1312</v>
      </c>
      <c r="G463" s="6" t="s">
        <v>1311</v>
      </c>
      <c r="H463" s="8" t="s">
        <v>1313</v>
      </c>
      <c r="I463" s="14">
        <v>45306</v>
      </c>
    </row>
    <row r="464" spans="1:9" x14ac:dyDescent="0.15">
      <c r="A464" s="5">
        <v>463</v>
      </c>
      <c r="B464" s="6" t="s">
        <v>9</v>
      </c>
      <c r="C464" s="7">
        <v>1884</v>
      </c>
      <c r="D464" s="8">
        <v>45402</v>
      </c>
      <c r="E464" s="9" t="str">
        <f>+HYPERLINK("http://trademark.i-assist.jp/data/china/image_1884th/76403908.pdf", "76403908")</f>
        <v>76403908</v>
      </c>
      <c r="F464" s="6" t="s">
        <v>1314</v>
      </c>
      <c r="G464" s="6" t="s">
        <v>1105</v>
      </c>
      <c r="H464" s="8" t="s">
        <v>1315</v>
      </c>
      <c r="I464" s="14">
        <v>45306</v>
      </c>
    </row>
    <row r="465" spans="1:9" x14ac:dyDescent="0.15">
      <c r="A465" s="5">
        <v>464</v>
      </c>
      <c r="B465" s="6" t="s">
        <v>9</v>
      </c>
      <c r="C465" s="7">
        <v>1884</v>
      </c>
      <c r="D465" s="8">
        <v>45402</v>
      </c>
      <c r="E465" s="9" t="str">
        <f>+HYPERLINK("http://trademark.i-assist.jp/data/china/image_1884th/76404964.pdf", "76404964")</f>
        <v>76404964</v>
      </c>
      <c r="F465" s="6" t="s">
        <v>1317</v>
      </c>
      <c r="G465" s="6" t="s">
        <v>1316</v>
      </c>
      <c r="H465" s="8" t="s">
        <v>1318</v>
      </c>
      <c r="I465" s="14">
        <v>45306</v>
      </c>
    </row>
    <row r="466" spans="1:9" x14ac:dyDescent="0.15">
      <c r="A466" s="5">
        <v>465</v>
      </c>
      <c r="B466" s="6" t="s">
        <v>9</v>
      </c>
      <c r="C466" s="7">
        <v>1884</v>
      </c>
      <c r="D466" s="8">
        <v>45402</v>
      </c>
      <c r="E466" s="9" t="str">
        <f>+HYPERLINK("http://trademark.i-assist.jp/data/china/image_1884th/76406940.pdf", "76406940")</f>
        <v>76406940</v>
      </c>
      <c r="F466" s="6" t="s">
        <v>1320</v>
      </c>
      <c r="G466" s="6" t="s">
        <v>1319</v>
      </c>
      <c r="H466" s="8" t="s">
        <v>1321</v>
      </c>
      <c r="I466" s="14">
        <v>45307</v>
      </c>
    </row>
    <row r="467" spans="1:9" x14ac:dyDescent="0.15">
      <c r="A467" s="5">
        <v>466</v>
      </c>
      <c r="B467" s="6" t="s">
        <v>9</v>
      </c>
      <c r="C467" s="7">
        <v>1884</v>
      </c>
      <c r="D467" s="8">
        <v>45402</v>
      </c>
      <c r="E467" s="9" t="str">
        <f>+HYPERLINK("http://trademark.i-assist.jp/data/china/image_1884th/76407545.pdf", "76407545")</f>
        <v>76407545</v>
      </c>
      <c r="F467" s="6" t="s">
        <v>1323</v>
      </c>
      <c r="G467" s="6" t="s">
        <v>1322</v>
      </c>
      <c r="H467" s="8" t="s">
        <v>1324</v>
      </c>
      <c r="I467" s="14">
        <v>45307</v>
      </c>
    </row>
    <row r="468" spans="1:9" x14ac:dyDescent="0.15">
      <c r="A468" s="5">
        <v>467</v>
      </c>
      <c r="B468" s="6" t="s">
        <v>9</v>
      </c>
      <c r="C468" s="7">
        <v>1884</v>
      </c>
      <c r="D468" s="8">
        <v>45402</v>
      </c>
      <c r="E468" s="9" t="str">
        <f>+HYPERLINK("http://trademark.i-assist.jp/data/china/image_1884th/76407952.pdf", "76407952")</f>
        <v>76407952</v>
      </c>
      <c r="F468" s="6" t="s">
        <v>1326</v>
      </c>
      <c r="G468" s="6" t="s">
        <v>1325</v>
      </c>
      <c r="H468" s="8" t="s">
        <v>1327</v>
      </c>
      <c r="I468" s="14">
        <v>45307</v>
      </c>
    </row>
    <row r="469" spans="1:9" x14ac:dyDescent="0.15">
      <c r="A469" s="5">
        <v>468</v>
      </c>
      <c r="B469" s="6" t="s">
        <v>9</v>
      </c>
      <c r="C469" s="7">
        <v>1884</v>
      </c>
      <c r="D469" s="8">
        <v>45402</v>
      </c>
      <c r="E469" s="9" t="str">
        <f>+HYPERLINK("http://trademark.i-assist.jp/data/china/image_1884th/76408028.pdf", "76408028")</f>
        <v>76408028</v>
      </c>
      <c r="F469" s="6" t="s">
        <v>1329</v>
      </c>
      <c r="G469" s="6" t="s">
        <v>1328</v>
      </c>
      <c r="H469" s="8" t="s">
        <v>1330</v>
      </c>
      <c r="I469" s="14">
        <v>45307</v>
      </c>
    </row>
    <row r="470" spans="1:9" x14ac:dyDescent="0.15">
      <c r="A470" s="5">
        <v>469</v>
      </c>
      <c r="B470" s="6" t="s">
        <v>9</v>
      </c>
      <c r="C470" s="7">
        <v>1884</v>
      </c>
      <c r="D470" s="8">
        <v>45402</v>
      </c>
      <c r="E470" s="9" t="str">
        <f>+HYPERLINK("http://trademark.i-assist.jp/data/china/image_1884th/76409498.pdf", "76409498")</f>
        <v>76409498</v>
      </c>
      <c r="F470" s="6" t="s">
        <v>1331</v>
      </c>
      <c r="G470" s="6" t="s">
        <v>1328</v>
      </c>
      <c r="H470" s="8" t="s">
        <v>1332</v>
      </c>
      <c r="I470" s="14">
        <v>45307</v>
      </c>
    </row>
    <row r="471" spans="1:9" x14ac:dyDescent="0.15">
      <c r="A471" s="5">
        <v>470</v>
      </c>
      <c r="B471" s="6" t="s">
        <v>9</v>
      </c>
      <c r="C471" s="7">
        <v>1884</v>
      </c>
      <c r="D471" s="8">
        <v>45402</v>
      </c>
      <c r="E471" s="9" t="str">
        <f>+HYPERLINK("http://trademark.i-assist.jp/data/china/image_1884th/76409842.pdf", "76409842")</f>
        <v>76409842</v>
      </c>
      <c r="F471" s="6" t="s">
        <v>1334</v>
      </c>
      <c r="G471" s="6" t="s">
        <v>1333</v>
      </c>
      <c r="H471" s="8" t="s">
        <v>1335</v>
      </c>
      <c r="I471" s="14">
        <v>45307</v>
      </c>
    </row>
    <row r="472" spans="1:9" x14ac:dyDescent="0.15">
      <c r="A472" s="5">
        <v>471</v>
      </c>
      <c r="B472" s="6" t="s">
        <v>9</v>
      </c>
      <c r="C472" s="7">
        <v>1884</v>
      </c>
      <c r="D472" s="8">
        <v>45402</v>
      </c>
      <c r="E472" s="9" t="str">
        <f>+HYPERLINK("http://trademark.i-assist.jp/data/china/image_1884th/76409990.pdf", "76409990")</f>
        <v>76409990</v>
      </c>
      <c r="F472" s="6" t="s">
        <v>1337</v>
      </c>
      <c r="G472" s="6" t="s">
        <v>1336</v>
      </c>
      <c r="H472" s="8" t="s">
        <v>1338</v>
      </c>
      <c r="I472" s="14">
        <v>45307</v>
      </c>
    </row>
    <row r="473" spans="1:9" x14ac:dyDescent="0.15">
      <c r="A473" s="5">
        <v>472</v>
      </c>
      <c r="B473" s="6" t="s">
        <v>9</v>
      </c>
      <c r="C473" s="7">
        <v>1884</v>
      </c>
      <c r="D473" s="8">
        <v>45402</v>
      </c>
      <c r="E473" s="9" t="str">
        <f>+HYPERLINK("http://trademark.i-assist.jp/data/china/image_1884th/76410038.pdf", "76410038")</f>
        <v>76410038</v>
      </c>
      <c r="F473" s="6" t="s">
        <v>1340</v>
      </c>
      <c r="G473" s="6" t="s">
        <v>1339</v>
      </c>
      <c r="H473" s="8" t="s">
        <v>1341</v>
      </c>
      <c r="I473" s="14">
        <v>45307</v>
      </c>
    </row>
    <row r="474" spans="1:9" x14ac:dyDescent="0.15">
      <c r="A474" s="5">
        <v>473</v>
      </c>
      <c r="B474" s="6" t="s">
        <v>9</v>
      </c>
      <c r="C474" s="7">
        <v>1884</v>
      </c>
      <c r="D474" s="8">
        <v>45402</v>
      </c>
      <c r="E474" s="9" t="str">
        <f>+HYPERLINK("http://trademark.i-assist.jp/data/china/image_1884th/76410644.pdf", "76410644")</f>
        <v>76410644</v>
      </c>
      <c r="F474" s="6" t="s">
        <v>1343</v>
      </c>
      <c r="G474" s="6" t="s">
        <v>1342</v>
      </c>
      <c r="H474" s="8" t="s">
        <v>1344</v>
      </c>
      <c r="I474" s="14">
        <v>45307</v>
      </c>
    </row>
    <row r="475" spans="1:9" x14ac:dyDescent="0.15">
      <c r="A475" s="5">
        <v>474</v>
      </c>
      <c r="B475" s="6" t="s">
        <v>9</v>
      </c>
      <c r="C475" s="7">
        <v>1884</v>
      </c>
      <c r="D475" s="8">
        <v>45402</v>
      </c>
      <c r="E475" s="9" t="str">
        <f>+HYPERLINK("http://trademark.i-assist.jp/data/china/image_1884th/76411514.pdf", "76411514")</f>
        <v>76411514</v>
      </c>
      <c r="F475" s="6" t="s">
        <v>1346</v>
      </c>
      <c r="G475" s="6" t="s">
        <v>1345</v>
      </c>
      <c r="H475" s="8" t="s">
        <v>1347</v>
      </c>
      <c r="I475" s="14">
        <v>45307</v>
      </c>
    </row>
    <row r="476" spans="1:9" x14ac:dyDescent="0.15">
      <c r="A476" s="5">
        <v>475</v>
      </c>
      <c r="B476" s="6" t="s">
        <v>9</v>
      </c>
      <c r="C476" s="7">
        <v>1884</v>
      </c>
      <c r="D476" s="8">
        <v>45402</v>
      </c>
      <c r="E476" s="9" t="str">
        <f>+HYPERLINK("http://trademark.i-assist.jp/data/china/image_1884th/76412494.pdf", "76412494")</f>
        <v>76412494</v>
      </c>
      <c r="F476" s="6" t="s">
        <v>1349</v>
      </c>
      <c r="G476" s="6" t="s">
        <v>1348</v>
      </c>
      <c r="H476" s="8" t="s">
        <v>1350</v>
      </c>
      <c r="I476" s="14">
        <v>45307</v>
      </c>
    </row>
    <row r="477" spans="1:9" x14ac:dyDescent="0.15">
      <c r="A477" s="5">
        <v>476</v>
      </c>
      <c r="B477" s="6" t="s">
        <v>9</v>
      </c>
      <c r="C477" s="7">
        <v>1884</v>
      </c>
      <c r="D477" s="8">
        <v>45402</v>
      </c>
      <c r="E477" s="9" t="str">
        <f>+HYPERLINK("http://trademark.i-assist.jp/data/china/image_1884th/76412706.pdf", "76412706")</f>
        <v>76412706</v>
      </c>
      <c r="F477" s="6" t="s">
        <v>1352</v>
      </c>
      <c r="G477" s="6" t="s">
        <v>1351</v>
      </c>
      <c r="H477" s="8" t="s">
        <v>1353</v>
      </c>
      <c r="I477" s="14">
        <v>45307</v>
      </c>
    </row>
    <row r="478" spans="1:9" x14ac:dyDescent="0.15">
      <c r="A478" s="5">
        <v>477</v>
      </c>
      <c r="B478" s="6" t="s">
        <v>9</v>
      </c>
      <c r="C478" s="7">
        <v>1884</v>
      </c>
      <c r="D478" s="8">
        <v>45402</v>
      </c>
      <c r="E478" s="9" t="str">
        <f>+HYPERLINK("http://trademark.i-assist.jp/data/china/image_1884th/76412860.pdf", "76412860")</f>
        <v>76412860</v>
      </c>
      <c r="F478" s="6" t="s">
        <v>1355</v>
      </c>
      <c r="G478" s="6" t="s">
        <v>1354</v>
      </c>
      <c r="H478" s="8" t="s">
        <v>1356</v>
      </c>
      <c r="I478" s="14">
        <v>45307</v>
      </c>
    </row>
    <row r="479" spans="1:9" x14ac:dyDescent="0.15">
      <c r="A479" s="5">
        <v>478</v>
      </c>
      <c r="B479" s="6" t="s">
        <v>9</v>
      </c>
      <c r="C479" s="7">
        <v>1884</v>
      </c>
      <c r="D479" s="8">
        <v>45402</v>
      </c>
      <c r="E479" s="9" t="str">
        <f>+HYPERLINK("http://trademark.i-assist.jp/data/china/image_1884th/76413086.pdf", "76413086")</f>
        <v>76413086</v>
      </c>
      <c r="F479" s="6" t="s">
        <v>1358</v>
      </c>
      <c r="G479" s="6" t="s">
        <v>1357</v>
      </c>
      <c r="H479" s="8" t="s">
        <v>1359</v>
      </c>
      <c r="I479" s="14">
        <v>45307</v>
      </c>
    </row>
    <row r="480" spans="1:9" x14ac:dyDescent="0.15">
      <c r="A480" s="5">
        <v>479</v>
      </c>
      <c r="B480" s="6" t="s">
        <v>9</v>
      </c>
      <c r="C480" s="7">
        <v>1884</v>
      </c>
      <c r="D480" s="8">
        <v>45402</v>
      </c>
      <c r="E480" s="9" t="str">
        <f>+HYPERLINK("http://trademark.i-assist.jp/data/china/image_1884th/76413920.pdf", "76413920")</f>
        <v>76413920</v>
      </c>
      <c r="F480" s="6" t="s">
        <v>1361</v>
      </c>
      <c r="G480" s="6" t="s">
        <v>1360</v>
      </c>
      <c r="H480" s="8" t="s">
        <v>1362</v>
      </c>
      <c r="I480" s="14">
        <v>45307</v>
      </c>
    </row>
    <row r="481" spans="1:9" x14ac:dyDescent="0.15">
      <c r="A481" s="5">
        <v>480</v>
      </c>
      <c r="B481" s="6" t="s">
        <v>9</v>
      </c>
      <c r="C481" s="7">
        <v>1884</v>
      </c>
      <c r="D481" s="8">
        <v>45402</v>
      </c>
      <c r="E481" s="9" t="str">
        <f>+HYPERLINK("http://trademark.i-assist.jp/data/china/image_1884th/76414024.pdf", "76414024")</f>
        <v>76414024</v>
      </c>
      <c r="F481" s="6" t="s">
        <v>1364</v>
      </c>
      <c r="G481" s="6" t="s">
        <v>1363</v>
      </c>
      <c r="H481" s="8" t="s">
        <v>1365</v>
      </c>
      <c r="I481" s="14">
        <v>45307</v>
      </c>
    </row>
    <row r="482" spans="1:9" x14ac:dyDescent="0.15">
      <c r="A482" s="5">
        <v>481</v>
      </c>
      <c r="B482" s="6" t="s">
        <v>9</v>
      </c>
      <c r="C482" s="7">
        <v>1884</v>
      </c>
      <c r="D482" s="8">
        <v>45402</v>
      </c>
      <c r="E482" s="9" t="str">
        <f>+HYPERLINK("http://trademark.i-assist.jp/data/china/image_1884th/76414782.pdf", "76414782")</f>
        <v>76414782</v>
      </c>
      <c r="F482" s="6" t="s">
        <v>1367</v>
      </c>
      <c r="G482" s="6" t="s">
        <v>1366</v>
      </c>
      <c r="H482" s="8" t="s">
        <v>1368</v>
      </c>
      <c r="I482" s="14">
        <v>45307</v>
      </c>
    </row>
    <row r="483" spans="1:9" x14ac:dyDescent="0.15">
      <c r="A483" s="5">
        <v>482</v>
      </c>
      <c r="B483" s="6" t="s">
        <v>9</v>
      </c>
      <c r="C483" s="7">
        <v>1884</v>
      </c>
      <c r="D483" s="8">
        <v>45402</v>
      </c>
      <c r="E483" s="9" t="str">
        <f>+HYPERLINK("http://trademark.i-assist.jp/data/china/image_1884th/76415306.pdf", "76415306")</f>
        <v>76415306</v>
      </c>
      <c r="F483" s="6" t="s">
        <v>1370</v>
      </c>
      <c r="G483" s="6" t="s">
        <v>1369</v>
      </c>
      <c r="H483" s="8" t="s">
        <v>1371</v>
      </c>
      <c r="I483" s="14">
        <v>45307</v>
      </c>
    </row>
    <row r="484" spans="1:9" x14ac:dyDescent="0.15">
      <c r="A484" s="5">
        <v>483</v>
      </c>
      <c r="B484" s="6" t="s">
        <v>9</v>
      </c>
      <c r="C484" s="7">
        <v>1884</v>
      </c>
      <c r="D484" s="8">
        <v>45402</v>
      </c>
      <c r="E484" s="9" t="str">
        <f>+HYPERLINK("http://trademark.i-assist.jp/data/china/image_1884th/76415630.pdf", "76415630")</f>
        <v>76415630</v>
      </c>
      <c r="F484" s="6" t="s">
        <v>1373</v>
      </c>
      <c r="G484" s="6" t="s">
        <v>1372</v>
      </c>
      <c r="H484" s="8" t="s">
        <v>1374</v>
      </c>
      <c r="I484" s="14">
        <v>45307</v>
      </c>
    </row>
    <row r="485" spans="1:9" x14ac:dyDescent="0.15">
      <c r="A485" s="5">
        <v>484</v>
      </c>
      <c r="B485" s="6" t="s">
        <v>9</v>
      </c>
      <c r="C485" s="7">
        <v>1884</v>
      </c>
      <c r="D485" s="8">
        <v>45402</v>
      </c>
      <c r="E485" s="9" t="str">
        <f>+HYPERLINK("http://trademark.i-assist.jp/data/china/image_1884th/76415743.pdf", "76415743")</f>
        <v>76415743</v>
      </c>
      <c r="F485" s="6" t="s">
        <v>1376</v>
      </c>
      <c r="G485" s="6" t="s">
        <v>1375</v>
      </c>
      <c r="H485" s="8" t="s">
        <v>1377</v>
      </c>
      <c r="I485" s="14">
        <v>45307</v>
      </c>
    </row>
    <row r="486" spans="1:9" x14ac:dyDescent="0.15">
      <c r="A486" s="5">
        <v>485</v>
      </c>
      <c r="B486" s="6" t="s">
        <v>9</v>
      </c>
      <c r="C486" s="7">
        <v>1884</v>
      </c>
      <c r="D486" s="8">
        <v>45402</v>
      </c>
      <c r="E486" s="9" t="str">
        <f>+HYPERLINK("http://trademark.i-assist.jp/data/china/image_1884th/76415754.pdf", "76415754")</f>
        <v>76415754</v>
      </c>
      <c r="F486" s="6" t="s">
        <v>1378</v>
      </c>
      <c r="G486" s="6" t="s">
        <v>1375</v>
      </c>
      <c r="H486" s="8" t="s">
        <v>1379</v>
      </c>
      <c r="I486" s="14">
        <v>45307</v>
      </c>
    </row>
    <row r="487" spans="1:9" x14ac:dyDescent="0.15">
      <c r="A487" s="5">
        <v>486</v>
      </c>
      <c r="B487" s="6" t="s">
        <v>9</v>
      </c>
      <c r="C487" s="7">
        <v>1884</v>
      </c>
      <c r="D487" s="8">
        <v>45402</v>
      </c>
      <c r="E487" s="9" t="str">
        <f>+HYPERLINK("http://trademark.i-assist.jp/data/china/image_1884th/76416920.pdf", "76416920")</f>
        <v>76416920</v>
      </c>
      <c r="F487" s="6" t="s">
        <v>1381</v>
      </c>
      <c r="G487" s="6" t="s">
        <v>1380</v>
      </c>
      <c r="H487" s="8" t="s">
        <v>1382</v>
      </c>
      <c r="I487" s="14">
        <v>45307</v>
      </c>
    </row>
    <row r="488" spans="1:9" x14ac:dyDescent="0.15">
      <c r="A488" s="5">
        <v>487</v>
      </c>
      <c r="B488" s="6" t="s">
        <v>9</v>
      </c>
      <c r="C488" s="7">
        <v>1884</v>
      </c>
      <c r="D488" s="8">
        <v>45402</v>
      </c>
      <c r="E488" s="9" t="str">
        <f>+HYPERLINK("http://trademark.i-assist.jp/data/china/image_1884th/76418369.pdf", "76418369")</f>
        <v>76418369</v>
      </c>
      <c r="F488" s="6" t="s">
        <v>1384</v>
      </c>
      <c r="G488" s="6" t="s">
        <v>1383</v>
      </c>
      <c r="H488" s="8" t="s">
        <v>1385</v>
      </c>
      <c r="I488" s="14">
        <v>45307</v>
      </c>
    </row>
    <row r="489" spans="1:9" x14ac:dyDescent="0.15">
      <c r="A489" s="5">
        <v>488</v>
      </c>
      <c r="B489" s="6" t="s">
        <v>9</v>
      </c>
      <c r="C489" s="7">
        <v>1884</v>
      </c>
      <c r="D489" s="8">
        <v>45402</v>
      </c>
      <c r="E489" s="9" t="str">
        <f>+HYPERLINK("http://trademark.i-assist.jp/data/china/image_1884th/76419860.pdf", "76419860")</f>
        <v>76419860</v>
      </c>
      <c r="F489" s="6" t="s">
        <v>1387</v>
      </c>
      <c r="G489" s="6" t="s">
        <v>1386</v>
      </c>
      <c r="H489" s="8" t="s">
        <v>1388</v>
      </c>
      <c r="I489" s="14">
        <v>45307</v>
      </c>
    </row>
    <row r="490" spans="1:9" x14ac:dyDescent="0.15">
      <c r="A490" s="5">
        <v>489</v>
      </c>
      <c r="B490" s="6" t="s">
        <v>9</v>
      </c>
      <c r="C490" s="7">
        <v>1884</v>
      </c>
      <c r="D490" s="8">
        <v>45402</v>
      </c>
      <c r="E490" s="9" t="str">
        <f>+HYPERLINK("http://trademark.i-assist.jp/data/china/image_1884th/76420992.pdf", "76420992")</f>
        <v>76420992</v>
      </c>
      <c r="F490" s="6" t="s">
        <v>1390</v>
      </c>
      <c r="G490" s="6" t="s">
        <v>1389</v>
      </c>
      <c r="H490" s="8" t="s">
        <v>1391</v>
      </c>
      <c r="I490" s="14">
        <v>45307</v>
      </c>
    </row>
    <row r="491" spans="1:9" x14ac:dyDescent="0.15">
      <c r="A491" s="5">
        <v>490</v>
      </c>
      <c r="B491" s="6" t="s">
        <v>9</v>
      </c>
      <c r="C491" s="7">
        <v>1884</v>
      </c>
      <c r="D491" s="8">
        <v>45402</v>
      </c>
      <c r="E491" s="9" t="str">
        <f>+HYPERLINK("http://trademark.i-assist.jp/data/china/image_1884th/76421694.pdf", "76421694")</f>
        <v>76421694</v>
      </c>
      <c r="F491" s="6" t="s">
        <v>1393</v>
      </c>
      <c r="G491" s="6" t="s">
        <v>1392</v>
      </c>
      <c r="H491" s="8" t="s">
        <v>1394</v>
      </c>
      <c r="I491" s="14">
        <v>45307</v>
      </c>
    </row>
    <row r="492" spans="1:9" x14ac:dyDescent="0.15">
      <c r="A492" s="5">
        <v>491</v>
      </c>
      <c r="B492" s="6" t="s">
        <v>9</v>
      </c>
      <c r="C492" s="7">
        <v>1884</v>
      </c>
      <c r="D492" s="8">
        <v>45402</v>
      </c>
      <c r="E492" s="9" t="str">
        <f>+HYPERLINK("http://trademark.i-assist.jp/data/china/image_1884th/76422867.pdf", "76422867")</f>
        <v>76422867</v>
      </c>
      <c r="F492" s="6" t="s">
        <v>1395</v>
      </c>
      <c r="G492" s="6" t="s">
        <v>34</v>
      </c>
      <c r="H492" s="8" t="s">
        <v>1396</v>
      </c>
      <c r="I492" s="14">
        <v>45307</v>
      </c>
    </row>
    <row r="493" spans="1:9" x14ac:dyDescent="0.15">
      <c r="A493" s="5">
        <v>492</v>
      </c>
      <c r="B493" s="6" t="s">
        <v>9</v>
      </c>
      <c r="C493" s="7">
        <v>1884</v>
      </c>
      <c r="D493" s="8">
        <v>45402</v>
      </c>
      <c r="E493" s="9" t="str">
        <f>+HYPERLINK("http://trademark.i-assist.jp/data/china/image_1884th/76424190.pdf", "76424190")</f>
        <v>76424190</v>
      </c>
      <c r="F493" s="6" t="s">
        <v>1397</v>
      </c>
      <c r="G493" s="6" t="s">
        <v>1375</v>
      </c>
      <c r="H493" s="8" t="s">
        <v>1398</v>
      </c>
      <c r="I493" s="14">
        <v>45307</v>
      </c>
    </row>
    <row r="494" spans="1:9" x14ac:dyDescent="0.15">
      <c r="A494" s="5">
        <v>493</v>
      </c>
      <c r="B494" s="6" t="s">
        <v>9</v>
      </c>
      <c r="C494" s="7">
        <v>1884</v>
      </c>
      <c r="D494" s="8">
        <v>45402</v>
      </c>
      <c r="E494" s="9" t="str">
        <f>+HYPERLINK("http://trademark.i-assist.jp/data/china/image_1884th/76424235.pdf", "76424235")</f>
        <v>76424235</v>
      </c>
      <c r="F494" s="6" t="s">
        <v>1400</v>
      </c>
      <c r="G494" s="6" t="s">
        <v>1399</v>
      </c>
      <c r="H494" s="8" t="s">
        <v>1401</v>
      </c>
      <c r="I494" s="14">
        <v>45307</v>
      </c>
    </row>
    <row r="495" spans="1:9" x14ac:dyDescent="0.15">
      <c r="A495" s="5">
        <v>494</v>
      </c>
      <c r="B495" s="6" t="s">
        <v>9</v>
      </c>
      <c r="C495" s="7">
        <v>1884</v>
      </c>
      <c r="D495" s="8">
        <v>45402</v>
      </c>
      <c r="E495" s="9" t="str">
        <f>+HYPERLINK("http://trademark.i-assist.jp/data/china/image_1884th/76424358.pdf", "76424358")</f>
        <v>76424358</v>
      </c>
      <c r="F495" s="6" t="s">
        <v>1403</v>
      </c>
      <c r="G495" s="6" t="s">
        <v>1402</v>
      </c>
      <c r="H495" s="8" t="s">
        <v>1404</v>
      </c>
      <c r="I495" s="14">
        <v>45307</v>
      </c>
    </row>
    <row r="496" spans="1:9" x14ac:dyDescent="0.15">
      <c r="A496" s="5">
        <v>495</v>
      </c>
      <c r="B496" s="6" t="s">
        <v>9</v>
      </c>
      <c r="C496" s="7">
        <v>1884</v>
      </c>
      <c r="D496" s="8">
        <v>45402</v>
      </c>
      <c r="E496" s="9" t="str">
        <f>+HYPERLINK("http://trademark.i-assist.jp/data/china/image_1884th/76425175.pdf", "76425175")</f>
        <v>76425175</v>
      </c>
      <c r="F496" s="6" t="s">
        <v>1405</v>
      </c>
      <c r="G496" s="6" t="s">
        <v>17</v>
      </c>
      <c r="H496" s="8" t="s">
        <v>1406</v>
      </c>
      <c r="I496" s="14">
        <v>45307</v>
      </c>
    </row>
    <row r="497" spans="1:9" x14ac:dyDescent="0.15">
      <c r="A497" s="5">
        <v>496</v>
      </c>
      <c r="B497" s="6" t="s">
        <v>9</v>
      </c>
      <c r="C497" s="7">
        <v>1884</v>
      </c>
      <c r="D497" s="8">
        <v>45402</v>
      </c>
      <c r="E497" s="9" t="str">
        <f>+HYPERLINK("http://trademark.i-assist.jp/data/china/image_1884th/76425317.pdf", "76425317")</f>
        <v>76425317</v>
      </c>
      <c r="F497" s="6" t="s">
        <v>1407</v>
      </c>
      <c r="G497" s="6" t="s">
        <v>1389</v>
      </c>
      <c r="H497" s="8" t="s">
        <v>1408</v>
      </c>
      <c r="I497" s="14">
        <v>45307</v>
      </c>
    </row>
    <row r="498" spans="1:9" x14ac:dyDescent="0.15">
      <c r="A498" s="5">
        <v>497</v>
      </c>
      <c r="B498" s="6" t="s">
        <v>9</v>
      </c>
      <c r="C498" s="7">
        <v>1884</v>
      </c>
      <c r="D498" s="8">
        <v>45402</v>
      </c>
      <c r="E498" s="9" t="str">
        <f>+HYPERLINK("http://trademark.i-assist.jp/data/china/image_1884th/76425578.pdf", "76425578")</f>
        <v>76425578</v>
      </c>
      <c r="F498" s="6" t="s">
        <v>1410</v>
      </c>
      <c r="G498" s="6" t="s">
        <v>1409</v>
      </c>
      <c r="H498" s="8" t="s">
        <v>1411</v>
      </c>
      <c r="I498" s="14">
        <v>45307</v>
      </c>
    </row>
    <row r="499" spans="1:9" x14ac:dyDescent="0.15">
      <c r="A499" s="5">
        <v>498</v>
      </c>
      <c r="B499" s="6" t="s">
        <v>9</v>
      </c>
      <c r="C499" s="7">
        <v>1884</v>
      </c>
      <c r="D499" s="8">
        <v>45402</v>
      </c>
      <c r="E499" s="9" t="str">
        <f>+HYPERLINK("http://trademark.i-assist.jp/data/china/image_1884th/76425733.pdf", "76425733")</f>
        <v>76425733</v>
      </c>
      <c r="F499" s="6" t="s">
        <v>1412</v>
      </c>
      <c r="G499" s="6" t="s">
        <v>1375</v>
      </c>
      <c r="H499" s="8" t="s">
        <v>1413</v>
      </c>
      <c r="I499" s="14">
        <v>45307</v>
      </c>
    </row>
    <row r="500" spans="1:9" x14ac:dyDescent="0.15">
      <c r="A500" s="5">
        <v>499</v>
      </c>
      <c r="B500" s="6" t="s">
        <v>9</v>
      </c>
      <c r="C500" s="7">
        <v>1884</v>
      </c>
      <c r="D500" s="8">
        <v>45402</v>
      </c>
      <c r="E500" s="9" t="str">
        <f>+HYPERLINK("http://trademark.i-assist.jp/data/china/image_1884th/76426138.pdf", "76426138")</f>
        <v>76426138</v>
      </c>
      <c r="F500" s="6" t="s">
        <v>1415</v>
      </c>
      <c r="G500" s="6" t="s">
        <v>1414</v>
      </c>
      <c r="H500" s="8" t="s">
        <v>1416</v>
      </c>
      <c r="I500" s="14">
        <v>45307</v>
      </c>
    </row>
    <row r="501" spans="1:9" x14ac:dyDescent="0.15">
      <c r="A501" s="5">
        <v>500</v>
      </c>
      <c r="B501" s="6" t="s">
        <v>9</v>
      </c>
      <c r="C501" s="7">
        <v>1884</v>
      </c>
      <c r="D501" s="8">
        <v>45402</v>
      </c>
      <c r="E501" s="9" t="str">
        <f>+HYPERLINK("http://trademark.i-assist.jp/data/china/image_1884th/76426582.pdf", "76426582")</f>
        <v>76426582</v>
      </c>
      <c r="F501" s="6" t="s">
        <v>1418</v>
      </c>
      <c r="G501" s="6" t="s">
        <v>1417</v>
      </c>
      <c r="H501" s="8" t="s">
        <v>1419</v>
      </c>
      <c r="I501" s="14">
        <v>45307</v>
      </c>
    </row>
    <row r="502" spans="1:9" x14ac:dyDescent="0.15">
      <c r="A502" s="5">
        <v>501</v>
      </c>
      <c r="B502" s="6" t="s">
        <v>9</v>
      </c>
      <c r="C502" s="7">
        <v>1884</v>
      </c>
      <c r="D502" s="8">
        <v>45402</v>
      </c>
      <c r="E502" s="9" t="str">
        <f>+HYPERLINK("http://trademark.i-assist.jp/data/china/image_1884th/76427637.pdf", "76427637")</f>
        <v>76427637</v>
      </c>
      <c r="F502" s="6" t="s">
        <v>1421</v>
      </c>
      <c r="G502" s="6" t="s">
        <v>1420</v>
      </c>
      <c r="H502" s="8" t="s">
        <v>1422</v>
      </c>
      <c r="I502" s="14">
        <v>45307</v>
      </c>
    </row>
    <row r="503" spans="1:9" x14ac:dyDescent="0.15">
      <c r="A503" s="5">
        <v>502</v>
      </c>
      <c r="B503" s="6" t="s">
        <v>9</v>
      </c>
      <c r="C503" s="7">
        <v>1884</v>
      </c>
      <c r="D503" s="8">
        <v>45402</v>
      </c>
      <c r="E503" s="9" t="str">
        <f>+HYPERLINK("http://trademark.i-assist.jp/data/china/image_1884th/76428110.pdf", "76428110")</f>
        <v>76428110</v>
      </c>
      <c r="F503" s="6" t="s">
        <v>1424</v>
      </c>
      <c r="G503" s="6" t="s">
        <v>1423</v>
      </c>
      <c r="H503" s="8" t="s">
        <v>1425</v>
      </c>
      <c r="I503" s="14">
        <v>45307</v>
      </c>
    </row>
    <row r="504" spans="1:9" x14ac:dyDescent="0.15">
      <c r="A504" s="5">
        <v>503</v>
      </c>
      <c r="B504" s="6" t="s">
        <v>9</v>
      </c>
      <c r="C504" s="7">
        <v>1884</v>
      </c>
      <c r="D504" s="8">
        <v>45402</v>
      </c>
      <c r="E504" s="9" t="str">
        <f>+HYPERLINK("http://trademark.i-assist.jp/data/china/image_1884th/76428598.pdf", "76428598")</f>
        <v>76428598</v>
      </c>
      <c r="F504" s="6" t="s">
        <v>167</v>
      </c>
      <c r="G504" s="6" t="s">
        <v>1426</v>
      </c>
      <c r="H504" s="8" t="s">
        <v>1427</v>
      </c>
      <c r="I504" s="14">
        <v>45307</v>
      </c>
    </row>
    <row r="505" spans="1:9" x14ac:dyDescent="0.15">
      <c r="A505" s="5">
        <v>504</v>
      </c>
      <c r="B505" s="6" t="s">
        <v>9</v>
      </c>
      <c r="C505" s="7">
        <v>1884</v>
      </c>
      <c r="D505" s="8">
        <v>45402</v>
      </c>
      <c r="E505" s="9" t="str">
        <f>+HYPERLINK("http://trademark.i-assist.jp/data/china/image_1884th/76428654.pdf", "76428654")</f>
        <v>76428654</v>
      </c>
      <c r="F505" s="6" t="s">
        <v>1429</v>
      </c>
      <c r="G505" s="6" t="s">
        <v>1428</v>
      </c>
      <c r="H505" s="8" t="s">
        <v>1430</v>
      </c>
      <c r="I505" s="14">
        <v>45307</v>
      </c>
    </row>
    <row r="506" spans="1:9" x14ac:dyDescent="0.15">
      <c r="A506" s="5">
        <v>505</v>
      </c>
      <c r="B506" s="6" t="s">
        <v>9</v>
      </c>
      <c r="C506" s="7">
        <v>1884</v>
      </c>
      <c r="D506" s="8">
        <v>45402</v>
      </c>
      <c r="E506" s="9" t="str">
        <f>+HYPERLINK("http://trademark.i-assist.jp/data/china/image_1884th/76428856.pdf", "76428856")</f>
        <v>76428856</v>
      </c>
      <c r="F506" s="6" t="s">
        <v>1432</v>
      </c>
      <c r="G506" s="6" t="s">
        <v>1431</v>
      </c>
      <c r="H506" s="8" t="s">
        <v>1433</v>
      </c>
      <c r="I506" s="14">
        <v>45307</v>
      </c>
    </row>
    <row r="507" spans="1:9" x14ac:dyDescent="0.15">
      <c r="A507" s="5">
        <v>506</v>
      </c>
      <c r="B507" s="6" t="s">
        <v>9</v>
      </c>
      <c r="C507" s="7">
        <v>1884</v>
      </c>
      <c r="D507" s="8">
        <v>45402</v>
      </c>
      <c r="E507" s="9" t="str">
        <f>+HYPERLINK("http://trademark.i-assist.jp/data/china/image_1884th/76429045.pdf", "76429045")</f>
        <v>76429045</v>
      </c>
      <c r="F507" s="6" t="s">
        <v>1435</v>
      </c>
      <c r="G507" s="6" t="s">
        <v>1434</v>
      </c>
      <c r="H507" s="8" t="s">
        <v>1436</v>
      </c>
      <c r="I507" s="14">
        <v>45307</v>
      </c>
    </row>
    <row r="508" spans="1:9" x14ac:dyDescent="0.15">
      <c r="A508" s="5">
        <v>507</v>
      </c>
      <c r="B508" s="6" t="s">
        <v>9</v>
      </c>
      <c r="C508" s="7">
        <v>1884</v>
      </c>
      <c r="D508" s="8">
        <v>45402</v>
      </c>
      <c r="E508" s="9" t="str">
        <f>+HYPERLINK("http://trademark.i-assist.jp/data/china/image_1884th/76429769.pdf", "76429769")</f>
        <v>76429769</v>
      </c>
      <c r="F508" s="6" t="s">
        <v>1438</v>
      </c>
      <c r="G508" s="6" t="s">
        <v>1437</v>
      </c>
      <c r="H508" s="8" t="s">
        <v>1439</v>
      </c>
      <c r="I508" s="14">
        <v>45307</v>
      </c>
    </row>
    <row r="509" spans="1:9" x14ac:dyDescent="0.15">
      <c r="A509" s="5">
        <v>508</v>
      </c>
      <c r="B509" s="6" t="s">
        <v>9</v>
      </c>
      <c r="C509" s="7">
        <v>1884</v>
      </c>
      <c r="D509" s="8">
        <v>45402</v>
      </c>
      <c r="E509" s="9" t="str">
        <f>+HYPERLINK("http://trademark.i-assist.jp/data/china/image_1884th/76429980.pdf", "76429980")</f>
        <v>76429980</v>
      </c>
      <c r="F509" s="6" t="s">
        <v>1441</v>
      </c>
      <c r="G509" s="6" t="s">
        <v>1440</v>
      </c>
      <c r="H509" s="8" t="s">
        <v>1442</v>
      </c>
      <c r="I509" s="14">
        <v>45307</v>
      </c>
    </row>
    <row r="510" spans="1:9" x14ac:dyDescent="0.15">
      <c r="A510" s="5">
        <v>509</v>
      </c>
      <c r="B510" s="6" t="s">
        <v>9</v>
      </c>
      <c r="C510" s="7">
        <v>1884</v>
      </c>
      <c r="D510" s="8">
        <v>45402</v>
      </c>
      <c r="E510" s="9" t="str">
        <f>+HYPERLINK("http://trademark.i-assist.jp/data/china/image_1884th/76430414.pdf", "76430414")</f>
        <v>76430414</v>
      </c>
      <c r="F510" s="6" t="s">
        <v>1444</v>
      </c>
      <c r="G510" s="6" t="s">
        <v>1443</v>
      </c>
      <c r="H510" s="8" t="s">
        <v>1445</v>
      </c>
      <c r="I510" s="14">
        <v>45307</v>
      </c>
    </row>
    <row r="511" spans="1:9" x14ac:dyDescent="0.15">
      <c r="A511" s="5">
        <v>510</v>
      </c>
      <c r="B511" s="6" t="s">
        <v>9</v>
      </c>
      <c r="C511" s="7">
        <v>1884</v>
      </c>
      <c r="D511" s="8">
        <v>45402</v>
      </c>
      <c r="E511" s="9" t="str">
        <f>+HYPERLINK("http://trademark.i-assist.jp/data/china/image_1884th/76430447.pdf", "76430447")</f>
        <v>76430447</v>
      </c>
      <c r="F511" s="6" t="s">
        <v>1447</v>
      </c>
      <c r="G511" s="6" t="s">
        <v>1446</v>
      </c>
      <c r="H511" s="8" t="s">
        <v>1448</v>
      </c>
      <c r="I511" s="14">
        <v>45307</v>
      </c>
    </row>
    <row r="512" spans="1:9" x14ac:dyDescent="0.15">
      <c r="A512" s="5">
        <v>511</v>
      </c>
      <c r="B512" s="6" t="s">
        <v>9</v>
      </c>
      <c r="C512" s="7">
        <v>1884</v>
      </c>
      <c r="D512" s="8">
        <v>45402</v>
      </c>
      <c r="E512" s="9" t="str">
        <f>+HYPERLINK("http://trademark.i-assist.jp/data/china/image_1884th/76431763.pdf", "76431763")</f>
        <v>76431763</v>
      </c>
      <c r="F512" s="6" t="s">
        <v>1450</v>
      </c>
      <c r="G512" s="6" t="s">
        <v>1449</v>
      </c>
      <c r="H512" s="8" t="s">
        <v>1451</v>
      </c>
      <c r="I512" s="14">
        <v>45307</v>
      </c>
    </row>
    <row r="513" spans="1:9" x14ac:dyDescent="0.15">
      <c r="A513" s="5">
        <v>512</v>
      </c>
      <c r="B513" s="6" t="s">
        <v>9</v>
      </c>
      <c r="C513" s="7">
        <v>1884</v>
      </c>
      <c r="D513" s="8">
        <v>45402</v>
      </c>
      <c r="E513" s="9" t="str">
        <f>+HYPERLINK("http://trademark.i-assist.jp/data/china/image_1884th/76432121.pdf", "76432121")</f>
        <v>76432121</v>
      </c>
      <c r="F513" s="6" t="s">
        <v>1452</v>
      </c>
      <c r="G513" s="6" t="s">
        <v>1342</v>
      </c>
      <c r="H513" s="8" t="s">
        <v>1453</v>
      </c>
      <c r="I513" s="14">
        <v>45307</v>
      </c>
    </row>
    <row r="514" spans="1:9" x14ac:dyDescent="0.15">
      <c r="A514" s="5">
        <v>513</v>
      </c>
      <c r="B514" s="6" t="s">
        <v>9</v>
      </c>
      <c r="C514" s="7">
        <v>1884</v>
      </c>
      <c r="D514" s="8">
        <v>45402</v>
      </c>
      <c r="E514" s="9" t="str">
        <f>+HYPERLINK("http://trademark.i-assist.jp/data/china/image_1884th/76432582.pdf", "76432582")</f>
        <v>76432582</v>
      </c>
      <c r="F514" s="6" t="s">
        <v>1455</v>
      </c>
      <c r="G514" s="6" t="s">
        <v>1454</v>
      </c>
      <c r="H514" s="8" t="s">
        <v>1456</v>
      </c>
      <c r="I514" s="14">
        <v>45307</v>
      </c>
    </row>
    <row r="515" spans="1:9" x14ac:dyDescent="0.15">
      <c r="A515" s="5">
        <v>514</v>
      </c>
      <c r="B515" s="6" t="s">
        <v>9</v>
      </c>
      <c r="C515" s="7">
        <v>1884</v>
      </c>
      <c r="D515" s="8">
        <v>45402</v>
      </c>
      <c r="E515" s="9" t="str">
        <f>+HYPERLINK("http://trademark.i-assist.jp/data/china/image_1884th/76433539.pdf", "76433539")</f>
        <v>76433539</v>
      </c>
      <c r="F515" s="6" t="s">
        <v>1458</v>
      </c>
      <c r="G515" s="6" t="s">
        <v>1457</v>
      </c>
      <c r="H515" s="8" t="s">
        <v>1459</v>
      </c>
      <c r="I515" s="14">
        <v>45308</v>
      </c>
    </row>
    <row r="516" spans="1:9" x14ac:dyDescent="0.15">
      <c r="A516" s="5">
        <v>515</v>
      </c>
      <c r="B516" s="6" t="s">
        <v>9</v>
      </c>
      <c r="C516" s="7">
        <v>1884</v>
      </c>
      <c r="D516" s="8">
        <v>45402</v>
      </c>
      <c r="E516" s="9" t="str">
        <f>+HYPERLINK("http://trademark.i-assist.jp/data/china/image_1884th/76433795.pdf", "76433795")</f>
        <v>76433795</v>
      </c>
      <c r="F516" s="6" t="s">
        <v>1460</v>
      </c>
      <c r="G516" s="6" t="s">
        <v>1460</v>
      </c>
      <c r="H516" s="8" t="s">
        <v>1461</v>
      </c>
      <c r="I516" s="14">
        <v>45308</v>
      </c>
    </row>
    <row r="517" spans="1:9" x14ac:dyDescent="0.15">
      <c r="A517" s="5">
        <v>516</v>
      </c>
      <c r="B517" s="6" t="s">
        <v>9</v>
      </c>
      <c r="C517" s="7">
        <v>1884</v>
      </c>
      <c r="D517" s="8">
        <v>45402</v>
      </c>
      <c r="E517" s="9" t="str">
        <f>+HYPERLINK("http://trademark.i-assist.jp/data/china/image_1884th/76434249.pdf", "76434249")</f>
        <v>76434249</v>
      </c>
      <c r="F517" s="6" t="s">
        <v>1463</v>
      </c>
      <c r="G517" s="6" t="s">
        <v>1462</v>
      </c>
      <c r="H517" s="8" t="s">
        <v>1464</v>
      </c>
      <c r="I517" s="14">
        <v>45308</v>
      </c>
    </row>
    <row r="518" spans="1:9" x14ac:dyDescent="0.15">
      <c r="A518" s="5">
        <v>517</v>
      </c>
      <c r="B518" s="6" t="s">
        <v>9</v>
      </c>
      <c r="C518" s="7">
        <v>1884</v>
      </c>
      <c r="D518" s="8">
        <v>45402</v>
      </c>
      <c r="E518" s="9" t="str">
        <f>+HYPERLINK("http://trademark.i-assist.jp/data/china/image_1884th/76434601.pdf", "76434601")</f>
        <v>76434601</v>
      </c>
      <c r="F518" s="6" t="s">
        <v>1466</v>
      </c>
      <c r="G518" s="6" t="s">
        <v>1465</v>
      </c>
      <c r="H518" s="8" t="s">
        <v>1467</v>
      </c>
      <c r="I518" s="14">
        <v>45308</v>
      </c>
    </row>
    <row r="519" spans="1:9" x14ac:dyDescent="0.15">
      <c r="A519" s="5">
        <v>518</v>
      </c>
      <c r="B519" s="6" t="s">
        <v>9</v>
      </c>
      <c r="C519" s="7">
        <v>1884</v>
      </c>
      <c r="D519" s="8">
        <v>45402</v>
      </c>
      <c r="E519" s="9" t="str">
        <f>+HYPERLINK("http://trademark.i-assist.jp/data/china/image_1884th/76436530.pdf", "76436530")</f>
        <v>76436530</v>
      </c>
      <c r="F519" s="6" t="s">
        <v>1469</v>
      </c>
      <c r="G519" s="6" t="s">
        <v>1468</v>
      </c>
      <c r="H519" s="8" t="s">
        <v>1470</v>
      </c>
      <c r="I519" s="14">
        <v>45308</v>
      </c>
    </row>
    <row r="520" spans="1:9" x14ac:dyDescent="0.15">
      <c r="A520" s="5">
        <v>519</v>
      </c>
      <c r="B520" s="6" t="s">
        <v>9</v>
      </c>
      <c r="C520" s="7">
        <v>1884</v>
      </c>
      <c r="D520" s="8">
        <v>45402</v>
      </c>
      <c r="E520" s="9" t="str">
        <f>+HYPERLINK("http://trademark.i-assist.jp/data/china/image_1884th/76436635.pdf", "76436635")</f>
        <v>76436635</v>
      </c>
      <c r="F520" s="6" t="s">
        <v>1472</v>
      </c>
      <c r="G520" s="6" t="s">
        <v>1471</v>
      </c>
      <c r="H520" s="8" t="s">
        <v>1473</v>
      </c>
      <c r="I520" s="14">
        <v>45308</v>
      </c>
    </row>
    <row r="521" spans="1:9" x14ac:dyDescent="0.15">
      <c r="A521" s="5">
        <v>520</v>
      </c>
      <c r="B521" s="6" t="s">
        <v>9</v>
      </c>
      <c r="C521" s="7">
        <v>1884</v>
      </c>
      <c r="D521" s="8">
        <v>45402</v>
      </c>
      <c r="E521" s="9" t="str">
        <f>+HYPERLINK("http://trademark.i-assist.jp/data/china/image_1884th/76437303.pdf", "76437303")</f>
        <v>76437303</v>
      </c>
      <c r="F521" s="6" t="s">
        <v>1474</v>
      </c>
      <c r="G521" s="6" t="s">
        <v>1462</v>
      </c>
      <c r="H521" s="8" t="s">
        <v>1475</v>
      </c>
      <c r="I521" s="14">
        <v>45308</v>
      </c>
    </row>
    <row r="522" spans="1:9" x14ac:dyDescent="0.15">
      <c r="A522" s="5">
        <v>521</v>
      </c>
      <c r="B522" s="6" t="s">
        <v>9</v>
      </c>
      <c r="C522" s="7">
        <v>1884</v>
      </c>
      <c r="D522" s="8">
        <v>45402</v>
      </c>
      <c r="E522" s="9" t="str">
        <f>+HYPERLINK("http://trademark.i-assist.jp/data/china/image_1884th/76438423.pdf", "76438423")</f>
        <v>76438423</v>
      </c>
      <c r="F522" s="6" t="s">
        <v>167</v>
      </c>
      <c r="G522" s="6" t="s">
        <v>1476</v>
      </c>
      <c r="H522" s="8" t="s">
        <v>1477</v>
      </c>
      <c r="I522" s="14">
        <v>45308</v>
      </c>
    </row>
    <row r="523" spans="1:9" x14ac:dyDescent="0.15">
      <c r="A523" s="5">
        <v>522</v>
      </c>
      <c r="B523" s="6" t="s">
        <v>9</v>
      </c>
      <c r="C523" s="7">
        <v>1884</v>
      </c>
      <c r="D523" s="8">
        <v>45402</v>
      </c>
      <c r="E523" s="9" t="str">
        <f>+HYPERLINK("http://trademark.i-assist.jp/data/china/image_1884th/76439019.pdf", "76439019")</f>
        <v>76439019</v>
      </c>
      <c r="F523" s="6" t="s">
        <v>1479</v>
      </c>
      <c r="G523" s="6" t="s">
        <v>1478</v>
      </c>
      <c r="H523" s="8" t="s">
        <v>1480</v>
      </c>
      <c r="I523" s="14">
        <v>45308</v>
      </c>
    </row>
    <row r="524" spans="1:9" x14ac:dyDescent="0.15">
      <c r="A524" s="5">
        <v>523</v>
      </c>
      <c r="B524" s="6" t="s">
        <v>9</v>
      </c>
      <c r="C524" s="7">
        <v>1884</v>
      </c>
      <c r="D524" s="8">
        <v>45402</v>
      </c>
      <c r="E524" s="9" t="str">
        <f>+HYPERLINK("http://trademark.i-assist.jp/data/china/image_1884th/76440178.pdf", "76440178")</f>
        <v>76440178</v>
      </c>
      <c r="F524" s="6" t="s">
        <v>1482</v>
      </c>
      <c r="G524" s="6" t="s">
        <v>1481</v>
      </c>
      <c r="H524" s="8" t="s">
        <v>1483</v>
      </c>
      <c r="I524" s="14">
        <v>45308</v>
      </c>
    </row>
    <row r="525" spans="1:9" x14ac:dyDescent="0.15">
      <c r="A525" s="5">
        <v>524</v>
      </c>
      <c r="B525" s="6" t="s">
        <v>9</v>
      </c>
      <c r="C525" s="7">
        <v>1884</v>
      </c>
      <c r="D525" s="8">
        <v>45402</v>
      </c>
      <c r="E525" s="9" t="str">
        <f>+HYPERLINK("http://trademark.i-assist.jp/data/china/image_1884th/76441903.pdf", "76441903")</f>
        <v>76441903</v>
      </c>
      <c r="F525" s="6" t="s">
        <v>1485</v>
      </c>
      <c r="G525" s="6" t="s">
        <v>1484</v>
      </c>
      <c r="H525" s="8" t="s">
        <v>1486</v>
      </c>
      <c r="I525" s="14">
        <v>45308</v>
      </c>
    </row>
    <row r="526" spans="1:9" x14ac:dyDescent="0.15">
      <c r="A526" s="5">
        <v>525</v>
      </c>
      <c r="B526" s="6" t="s">
        <v>9</v>
      </c>
      <c r="C526" s="7">
        <v>1884</v>
      </c>
      <c r="D526" s="8">
        <v>45402</v>
      </c>
      <c r="E526" s="9" t="str">
        <f>+HYPERLINK("http://trademark.i-assist.jp/data/china/image_1884th/76442211.pdf", "76442211")</f>
        <v>76442211</v>
      </c>
      <c r="F526" s="6" t="s">
        <v>1488</v>
      </c>
      <c r="G526" s="6" t="s">
        <v>1487</v>
      </c>
      <c r="H526" s="8" t="s">
        <v>1489</v>
      </c>
      <c r="I526" s="14">
        <v>45308</v>
      </c>
    </row>
    <row r="527" spans="1:9" x14ac:dyDescent="0.15">
      <c r="A527" s="5">
        <v>526</v>
      </c>
      <c r="B527" s="6" t="s">
        <v>9</v>
      </c>
      <c r="C527" s="7">
        <v>1884</v>
      </c>
      <c r="D527" s="8">
        <v>45402</v>
      </c>
      <c r="E527" s="9" t="str">
        <f>+HYPERLINK("http://trademark.i-assist.jp/data/china/image_1884th/76442903.pdf", "76442903")</f>
        <v>76442903</v>
      </c>
      <c r="F527" s="6" t="s">
        <v>1491</v>
      </c>
      <c r="G527" s="6" t="s">
        <v>1490</v>
      </c>
      <c r="H527" s="8" t="s">
        <v>1492</v>
      </c>
      <c r="I527" s="14">
        <v>45308</v>
      </c>
    </row>
    <row r="528" spans="1:9" x14ac:dyDescent="0.15">
      <c r="A528" s="5">
        <v>527</v>
      </c>
      <c r="B528" s="6" t="s">
        <v>9</v>
      </c>
      <c r="C528" s="7">
        <v>1884</v>
      </c>
      <c r="D528" s="8">
        <v>45402</v>
      </c>
      <c r="E528" s="9" t="str">
        <f>+HYPERLINK("http://trademark.i-assist.jp/data/china/image_1884th/76443058.pdf", "76443058")</f>
        <v>76443058</v>
      </c>
      <c r="F528" s="6" t="s">
        <v>1494</v>
      </c>
      <c r="G528" s="6" t="s">
        <v>1493</v>
      </c>
      <c r="H528" s="8" t="s">
        <v>1495</v>
      </c>
      <c r="I528" s="14">
        <v>45308</v>
      </c>
    </row>
    <row r="529" spans="1:9" x14ac:dyDescent="0.15">
      <c r="A529" s="5">
        <v>528</v>
      </c>
      <c r="B529" s="6" t="s">
        <v>9</v>
      </c>
      <c r="C529" s="7">
        <v>1884</v>
      </c>
      <c r="D529" s="8">
        <v>45402</v>
      </c>
      <c r="E529" s="9" t="str">
        <f>+HYPERLINK("http://trademark.i-assist.jp/data/china/image_1884th/76443505.pdf", "76443505")</f>
        <v>76443505</v>
      </c>
      <c r="F529" s="6" t="s">
        <v>1496</v>
      </c>
      <c r="G529" s="6" t="s">
        <v>1460</v>
      </c>
      <c r="H529" s="8" t="s">
        <v>1497</v>
      </c>
      <c r="I529" s="14">
        <v>45308</v>
      </c>
    </row>
    <row r="530" spans="1:9" x14ac:dyDescent="0.15">
      <c r="A530" s="5">
        <v>529</v>
      </c>
      <c r="B530" s="6" t="s">
        <v>9</v>
      </c>
      <c r="C530" s="7">
        <v>1884</v>
      </c>
      <c r="D530" s="8">
        <v>45402</v>
      </c>
      <c r="E530" s="9" t="str">
        <f>+HYPERLINK("http://trademark.i-assist.jp/data/china/image_1884th/76443613.pdf", "76443613")</f>
        <v>76443613</v>
      </c>
      <c r="F530" s="6" t="s">
        <v>1499</v>
      </c>
      <c r="G530" s="6" t="s">
        <v>1498</v>
      </c>
      <c r="H530" s="8" t="s">
        <v>1500</v>
      </c>
      <c r="I530" s="14">
        <v>45308</v>
      </c>
    </row>
    <row r="531" spans="1:9" x14ac:dyDescent="0.15">
      <c r="A531" s="5">
        <v>530</v>
      </c>
      <c r="B531" s="6" t="s">
        <v>9</v>
      </c>
      <c r="C531" s="7">
        <v>1884</v>
      </c>
      <c r="D531" s="8">
        <v>45402</v>
      </c>
      <c r="E531" s="9" t="str">
        <f>+HYPERLINK("http://trademark.i-assist.jp/data/china/image_1884th/76444063.pdf", "76444063")</f>
        <v>76444063</v>
      </c>
      <c r="F531" s="6" t="s">
        <v>1502</v>
      </c>
      <c r="G531" s="6" t="s">
        <v>1501</v>
      </c>
      <c r="H531" s="8" t="s">
        <v>1503</v>
      </c>
      <c r="I531" s="14">
        <v>45308</v>
      </c>
    </row>
    <row r="532" spans="1:9" x14ac:dyDescent="0.15">
      <c r="A532" s="5">
        <v>531</v>
      </c>
      <c r="B532" s="6" t="s">
        <v>9</v>
      </c>
      <c r="C532" s="7">
        <v>1884</v>
      </c>
      <c r="D532" s="8">
        <v>45402</v>
      </c>
      <c r="E532" s="9" t="str">
        <f>+HYPERLINK("http://trademark.i-assist.jp/data/china/image_1884th/76444638.pdf", "76444638")</f>
        <v>76444638</v>
      </c>
      <c r="F532" s="6" t="s">
        <v>1505</v>
      </c>
      <c r="G532" s="6" t="s">
        <v>1504</v>
      </c>
      <c r="H532" s="8" t="s">
        <v>1506</v>
      </c>
      <c r="I532" s="14">
        <v>45308</v>
      </c>
    </row>
    <row r="533" spans="1:9" x14ac:dyDescent="0.15">
      <c r="A533" s="5">
        <v>532</v>
      </c>
      <c r="B533" s="6" t="s">
        <v>9</v>
      </c>
      <c r="C533" s="7">
        <v>1884</v>
      </c>
      <c r="D533" s="8">
        <v>45402</v>
      </c>
      <c r="E533" s="9" t="str">
        <f>+HYPERLINK("http://trademark.i-assist.jp/data/china/image_1884th/76445289.pdf", "76445289")</f>
        <v>76445289</v>
      </c>
      <c r="F533" s="6" t="s">
        <v>1508</v>
      </c>
      <c r="G533" s="6" t="s">
        <v>1507</v>
      </c>
      <c r="H533" s="8" t="s">
        <v>1509</v>
      </c>
      <c r="I533" s="14">
        <v>45308</v>
      </c>
    </row>
    <row r="534" spans="1:9" x14ac:dyDescent="0.15">
      <c r="A534" s="5">
        <v>533</v>
      </c>
      <c r="B534" s="6" t="s">
        <v>9</v>
      </c>
      <c r="C534" s="7">
        <v>1884</v>
      </c>
      <c r="D534" s="8">
        <v>45402</v>
      </c>
      <c r="E534" s="9" t="str">
        <f>+HYPERLINK("http://trademark.i-assist.jp/data/china/image_1884th/76445435.pdf", "76445435")</f>
        <v>76445435</v>
      </c>
      <c r="F534" s="6" t="s">
        <v>1511</v>
      </c>
      <c r="G534" s="6" t="s">
        <v>1510</v>
      </c>
      <c r="H534" s="8" t="s">
        <v>1512</v>
      </c>
      <c r="I534" s="14">
        <v>45308</v>
      </c>
    </row>
    <row r="535" spans="1:9" x14ac:dyDescent="0.15">
      <c r="A535" s="5">
        <v>534</v>
      </c>
      <c r="B535" s="6" t="s">
        <v>9</v>
      </c>
      <c r="C535" s="7">
        <v>1884</v>
      </c>
      <c r="D535" s="8">
        <v>45402</v>
      </c>
      <c r="E535" s="9" t="str">
        <f>+HYPERLINK("http://trademark.i-assist.jp/data/china/image_1884th/76446060.pdf", "76446060")</f>
        <v>76446060</v>
      </c>
      <c r="F535" s="6" t="s">
        <v>1514</v>
      </c>
      <c r="G535" s="6" t="s">
        <v>1513</v>
      </c>
      <c r="H535" s="8" t="s">
        <v>1515</v>
      </c>
      <c r="I535" s="14">
        <v>45308</v>
      </c>
    </row>
    <row r="536" spans="1:9" x14ac:dyDescent="0.15">
      <c r="A536" s="5">
        <v>535</v>
      </c>
      <c r="B536" s="6" t="s">
        <v>9</v>
      </c>
      <c r="C536" s="7">
        <v>1884</v>
      </c>
      <c r="D536" s="8">
        <v>45402</v>
      </c>
      <c r="E536" s="9" t="str">
        <f>+HYPERLINK("http://trademark.i-assist.jp/data/china/image_1884th/76446178.pdf", "76446178")</f>
        <v>76446178</v>
      </c>
      <c r="F536" s="6" t="s">
        <v>1517</v>
      </c>
      <c r="G536" s="6" t="s">
        <v>1516</v>
      </c>
      <c r="H536" s="8" t="s">
        <v>1518</v>
      </c>
      <c r="I536" s="14">
        <v>45308</v>
      </c>
    </row>
    <row r="537" spans="1:9" x14ac:dyDescent="0.15">
      <c r="A537" s="5">
        <v>536</v>
      </c>
      <c r="B537" s="6" t="s">
        <v>9</v>
      </c>
      <c r="C537" s="7">
        <v>1884</v>
      </c>
      <c r="D537" s="8">
        <v>45402</v>
      </c>
      <c r="E537" s="9" t="str">
        <f>+HYPERLINK("http://trademark.i-assist.jp/data/china/image_1884th/76446206.pdf", "76446206")</f>
        <v>76446206</v>
      </c>
      <c r="F537" s="6" t="s">
        <v>167</v>
      </c>
      <c r="G537" s="6" t="s">
        <v>1519</v>
      </c>
      <c r="H537" s="8" t="s">
        <v>1520</v>
      </c>
      <c r="I537" s="14">
        <v>45308</v>
      </c>
    </row>
    <row r="538" spans="1:9" x14ac:dyDescent="0.15">
      <c r="A538" s="5">
        <v>537</v>
      </c>
      <c r="B538" s="6" t="s">
        <v>9</v>
      </c>
      <c r="C538" s="7">
        <v>1884</v>
      </c>
      <c r="D538" s="8">
        <v>45402</v>
      </c>
      <c r="E538" s="9" t="str">
        <f>+HYPERLINK("http://trademark.i-assist.jp/data/china/image_1884th/76446356.pdf", "76446356")</f>
        <v>76446356</v>
      </c>
      <c r="F538" s="6" t="s">
        <v>1522</v>
      </c>
      <c r="G538" s="6" t="s">
        <v>1521</v>
      </c>
      <c r="H538" s="8" t="s">
        <v>1523</v>
      </c>
      <c r="I538" s="14">
        <v>45308</v>
      </c>
    </row>
    <row r="539" spans="1:9" x14ac:dyDescent="0.15">
      <c r="A539" s="5">
        <v>538</v>
      </c>
      <c r="B539" s="6" t="s">
        <v>9</v>
      </c>
      <c r="C539" s="7">
        <v>1884</v>
      </c>
      <c r="D539" s="8">
        <v>45402</v>
      </c>
      <c r="E539" s="9" t="str">
        <f>+HYPERLINK("http://trademark.i-assist.jp/data/china/image_1884th/76446593.pdf", "76446593")</f>
        <v>76446593</v>
      </c>
      <c r="F539" s="6" t="s">
        <v>1525</v>
      </c>
      <c r="G539" s="6" t="s">
        <v>1524</v>
      </c>
      <c r="H539" s="8" t="s">
        <v>1526</v>
      </c>
      <c r="I539" s="14">
        <v>45308</v>
      </c>
    </row>
    <row r="540" spans="1:9" x14ac:dyDescent="0.15">
      <c r="A540" s="5">
        <v>539</v>
      </c>
      <c r="B540" s="6" t="s">
        <v>9</v>
      </c>
      <c r="C540" s="7">
        <v>1884</v>
      </c>
      <c r="D540" s="8">
        <v>45402</v>
      </c>
      <c r="E540" s="9" t="str">
        <f>+HYPERLINK("http://trademark.i-assist.jp/data/china/image_1884th/76446615.pdf", "76446615")</f>
        <v>76446615</v>
      </c>
      <c r="F540" s="6" t="s">
        <v>1528</v>
      </c>
      <c r="G540" s="6" t="s">
        <v>1527</v>
      </c>
      <c r="H540" s="8" t="s">
        <v>1529</v>
      </c>
      <c r="I540" s="14">
        <v>45308</v>
      </c>
    </row>
    <row r="541" spans="1:9" x14ac:dyDescent="0.15">
      <c r="A541" s="5">
        <v>540</v>
      </c>
      <c r="B541" s="6" t="s">
        <v>9</v>
      </c>
      <c r="C541" s="7">
        <v>1884</v>
      </c>
      <c r="D541" s="8">
        <v>45402</v>
      </c>
      <c r="E541" s="9" t="str">
        <f>+HYPERLINK("http://trademark.i-assist.jp/data/china/image_1884th/76446949.pdf", "76446949")</f>
        <v>76446949</v>
      </c>
      <c r="F541" s="6" t="s">
        <v>1531</v>
      </c>
      <c r="G541" s="6" t="s">
        <v>1530</v>
      </c>
      <c r="H541" s="8" t="s">
        <v>1532</v>
      </c>
      <c r="I541" s="14">
        <v>45308</v>
      </c>
    </row>
    <row r="542" spans="1:9" x14ac:dyDescent="0.15">
      <c r="A542" s="5">
        <v>541</v>
      </c>
      <c r="B542" s="6" t="s">
        <v>9</v>
      </c>
      <c r="C542" s="7">
        <v>1884</v>
      </c>
      <c r="D542" s="8">
        <v>45402</v>
      </c>
      <c r="E542" s="9" t="str">
        <f>+HYPERLINK("http://trademark.i-assist.jp/data/china/image_1884th/76447188.pdf", "76447188")</f>
        <v>76447188</v>
      </c>
      <c r="F542" s="6" t="s">
        <v>1534</v>
      </c>
      <c r="G542" s="6" t="s">
        <v>1533</v>
      </c>
      <c r="H542" s="8" t="s">
        <v>1535</v>
      </c>
      <c r="I542" s="14">
        <v>45308</v>
      </c>
    </row>
    <row r="543" spans="1:9" x14ac:dyDescent="0.15">
      <c r="A543" s="5">
        <v>542</v>
      </c>
      <c r="B543" s="6" t="s">
        <v>9</v>
      </c>
      <c r="C543" s="7">
        <v>1884</v>
      </c>
      <c r="D543" s="8">
        <v>45402</v>
      </c>
      <c r="E543" s="9" t="str">
        <f>+HYPERLINK("http://trademark.i-assist.jp/data/china/image_1884th/76447318.pdf", "76447318")</f>
        <v>76447318</v>
      </c>
      <c r="F543" s="6" t="s">
        <v>1537</v>
      </c>
      <c r="G543" s="6" t="s">
        <v>1536</v>
      </c>
      <c r="H543" s="8" t="s">
        <v>1538</v>
      </c>
      <c r="I543" s="14">
        <v>45308</v>
      </c>
    </row>
    <row r="544" spans="1:9" x14ac:dyDescent="0.15">
      <c r="A544" s="5">
        <v>543</v>
      </c>
      <c r="B544" s="6" t="s">
        <v>9</v>
      </c>
      <c r="C544" s="7">
        <v>1884</v>
      </c>
      <c r="D544" s="8">
        <v>45402</v>
      </c>
      <c r="E544" s="9" t="str">
        <f>+HYPERLINK("http://trademark.i-assist.jp/data/china/image_1884th/76447540.pdf", "76447540")</f>
        <v>76447540</v>
      </c>
      <c r="F544" s="6" t="s">
        <v>1540</v>
      </c>
      <c r="G544" s="6" t="s">
        <v>1539</v>
      </c>
      <c r="H544" s="8" t="s">
        <v>1541</v>
      </c>
      <c r="I544" s="14">
        <v>45308</v>
      </c>
    </row>
    <row r="545" spans="1:9" x14ac:dyDescent="0.15">
      <c r="A545" s="5">
        <v>544</v>
      </c>
      <c r="B545" s="6" t="s">
        <v>9</v>
      </c>
      <c r="C545" s="7">
        <v>1884</v>
      </c>
      <c r="D545" s="8">
        <v>45402</v>
      </c>
      <c r="E545" s="9" t="str">
        <f>+HYPERLINK("http://trademark.i-assist.jp/data/china/image_1884th/76448073.pdf", "76448073")</f>
        <v>76448073</v>
      </c>
      <c r="F545" s="6" t="s">
        <v>1543</v>
      </c>
      <c r="G545" s="6" t="s">
        <v>1542</v>
      </c>
      <c r="H545" s="8" t="s">
        <v>1544</v>
      </c>
      <c r="I545" s="14">
        <v>45308</v>
      </c>
    </row>
    <row r="546" spans="1:9" x14ac:dyDescent="0.15">
      <c r="A546" s="5">
        <v>545</v>
      </c>
      <c r="B546" s="6" t="s">
        <v>9</v>
      </c>
      <c r="C546" s="7">
        <v>1884</v>
      </c>
      <c r="D546" s="8">
        <v>45402</v>
      </c>
      <c r="E546" s="9" t="str">
        <f>+HYPERLINK("http://trademark.i-assist.jp/data/china/image_1884th/76448257.pdf", "76448257")</f>
        <v>76448257</v>
      </c>
      <c r="F546" s="6" t="s">
        <v>1546</v>
      </c>
      <c r="G546" s="6" t="s">
        <v>1545</v>
      </c>
      <c r="H546" s="8" t="s">
        <v>1547</v>
      </c>
      <c r="I546" s="14">
        <v>45308</v>
      </c>
    </row>
    <row r="547" spans="1:9" x14ac:dyDescent="0.15">
      <c r="A547" s="5">
        <v>546</v>
      </c>
      <c r="B547" s="6" t="s">
        <v>9</v>
      </c>
      <c r="C547" s="7">
        <v>1884</v>
      </c>
      <c r="D547" s="8">
        <v>45402</v>
      </c>
      <c r="E547" s="9" t="str">
        <f>+HYPERLINK("http://trademark.i-assist.jp/data/china/image_1884th/76448405.pdf", "76448405")</f>
        <v>76448405</v>
      </c>
      <c r="F547" s="6" t="s">
        <v>1549</v>
      </c>
      <c r="G547" s="6" t="s">
        <v>1548</v>
      </c>
      <c r="H547" s="8" t="s">
        <v>1550</v>
      </c>
      <c r="I547" s="14">
        <v>45308</v>
      </c>
    </row>
    <row r="548" spans="1:9" x14ac:dyDescent="0.15">
      <c r="A548" s="5">
        <v>547</v>
      </c>
      <c r="B548" s="6" t="s">
        <v>9</v>
      </c>
      <c r="C548" s="7">
        <v>1884</v>
      </c>
      <c r="D548" s="8">
        <v>45402</v>
      </c>
      <c r="E548" s="9" t="str">
        <f>+HYPERLINK("http://trademark.i-assist.jp/data/china/image_1884th/76449371.pdf", "76449371")</f>
        <v>76449371</v>
      </c>
      <c r="F548" s="6" t="s">
        <v>1552</v>
      </c>
      <c r="G548" s="6" t="s">
        <v>1551</v>
      </c>
      <c r="H548" s="8" t="s">
        <v>1553</v>
      </c>
      <c r="I548" s="14">
        <v>45308</v>
      </c>
    </row>
    <row r="549" spans="1:9" x14ac:dyDescent="0.15">
      <c r="A549" s="5">
        <v>548</v>
      </c>
      <c r="B549" s="6" t="s">
        <v>9</v>
      </c>
      <c r="C549" s="7">
        <v>1884</v>
      </c>
      <c r="D549" s="8">
        <v>45402</v>
      </c>
      <c r="E549" s="9" t="str">
        <f>+HYPERLINK("http://trademark.i-assist.jp/data/china/image_1884th/76449392.pdf", "76449392")</f>
        <v>76449392</v>
      </c>
      <c r="F549" s="6" t="s">
        <v>1555</v>
      </c>
      <c r="G549" s="6" t="s">
        <v>1554</v>
      </c>
      <c r="H549" s="8" t="s">
        <v>1556</v>
      </c>
      <c r="I549" s="14">
        <v>45308</v>
      </c>
    </row>
    <row r="550" spans="1:9" x14ac:dyDescent="0.15">
      <c r="A550" s="5">
        <v>549</v>
      </c>
      <c r="B550" s="6" t="s">
        <v>9</v>
      </c>
      <c r="C550" s="7">
        <v>1884</v>
      </c>
      <c r="D550" s="8">
        <v>45402</v>
      </c>
      <c r="E550" s="9" t="str">
        <f>+HYPERLINK("http://trademark.i-assist.jp/data/china/image_1884th/76450078.pdf", "76450078")</f>
        <v>76450078</v>
      </c>
      <c r="F550" s="6" t="s">
        <v>167</v>
      </c>
      <c r="G550" s="6" t="s">
        <v>1557</v>
      </c>
      <c r="H550" s="8" t="s">
        <v>1558</v>
      </c>
      <c r="I550" s="14">
        <v>45308</v>
      </c>
    </row>
    <row r="551" spans="1:9" x14ac:dyDescent="0.15">
      <c r="A551" s="5">
        <v>550</v>
      </c>
      <c r="B551" s="6" t="s">
        <v>9</v>
      </c>
      <c r="C551" s="7">
        <v>1884</v>
      </c>
      <c r="D551" s="8">
        <v>45402</v>
      </c>
      <c r="E551" s="9" t="str">
        <f>+HYPERLINK("http://trademark.i-assist.jp/data/china/image_1884th/76450112.pdf", "76450112")</f>
        <v>76450112</v>
      </c>
      <c r="F551" s="6" t="s">
        <v>1559</v>
      </c>
      <c r="G551" s="6" t="s">
        <v>939</v>
      </c>
      <c r="H551" s="8" t="s">
        <v>1560</v>
      </c>
      <c r="I551" s="14">
        <v>45308</v>
      </c>
    </row>
    <row r="552" spans="1:9" x14ac:dyDescent="0.15">
      <c r="A552" s="5">
        <v>551</v>
      </c>
      <c r="B552" s="6" t="s">
        <v>9</v>
      </c>
      <c r="C552" s="7">
        <v>1884</v>
      </c>
      <c r="D552" s="8">
        <v>45402</v>
      </c>
      <c r="E552" s="9" t="str">
        <f>+HYPERLINK("http://trademark.i-assist.jp/data/china/image_1884th/76450746.pdf", "76450746")</f>
        <v>76450746</v>
      </c>
      <c r="F552" s="6" t="s">
        <v>1562</v>
      </c>
      <c r="G552" s="6" t="s">
        <v>1561</v>
      </c>
      <c r="H552" s="8" t="s">
        <v>1563</v>
      </c>
      <c r="I552" s="14">
        <v>45308</v>
      </c>
    </row>
    <row r="553" spans="1:9" x14ac:dyDescent="0.15">
      <c r="A553" s="5">
        <v>552</v>
      </c>
      <c r="B553" s="6" t="s">
        <v>9</v>
      </c>
      <c r="C553" s="7">
        <v>1884</v>
      </c>
      <c r="D553" s="8">
        <v>45402</v>
      </c>
      <c r="E553" s="9" t="str">
        <f>+HYPERLINK("http://trademark.i-assist.jp/data/china/image_1884th/76450937.pdf", "76450937")</f>
        <v>76450937</v>
      </c>
      <c r="F553" s="6" t="s">
        <v>1564</v>
      </c>
      <c r="G553" s="6" t="s">
        <v>927</v>
      </c>
      <c r="H553" s="8" t="s">
        <v>1565</v>
      </c>
      <c r="I553" s="14">
        <v>45308</v>
      </c>
    </row>
    <row r="554" spans="1:9" x14ac:dyDescent="0.15">
      <c r="A554" s="5">
        <v>553</v>
      </c>
      <c r="B554" s="6" t="s">
        <v>9</v>
      </c>
      <c r="C554" s="7">
        <v>1884</v>
      </c>
      <c r="D554" s="8">
        <v>45402</v>
      </c>
      <c r="E554" s="9" t="str">
        <f>+HYPERLINK("http://trademark.i-assist.jp/data/china/image_1884th/76452532.pdf", "76452532")</f>
        <v>76452532</v>
      </c>
      <c r="F554" s="6" t="s">
        <v>1567</v>
      </c>
      <c r="G554" s="6" t="s">
        <v>1566</v>
      </c>
      <c r="H554" s="8" t="s">
        <v>1568</v>
      </c>
      <c r="I554" s="14">
        <v>45308</v>
      </c>
    </row>
    <row r="555" spans="1:9" x14ac:dyDescent="0.15">
      <c r="A555" s="5">
        <v>554</v>
      </c>
      <c r="B555" s="6" t="s">
        <v>9</v>
      </c>
      <c r="C555" s="7">
        <v>1884</v>
      </c>
      <c r="D555" s="8">
        <v>45402</v>
      </c>
      <c r="E555" s="9" t="str">
        <f>+HYPERLINK("http://trademark.i-assist.jp/data/china/image_1884th/76452575.pdf", "76452575")</f>
        <v>76452575</v>
      </c>
      <c r="F555" s="6" t="s">
        <v>1570</v>
      </c>
      <c r="G555" s="6" t="s">
        <v>1569</v>
      </c>
      <c r="H555" s="8" t="s">
        <v>1571</v>
      </c>
      <c r="I555" s="14">
        <v>45308</v>
      </c>
    </row>
    <row r="556" spans="1:9" x14ac:dyDescent="0.15">
      <c r="A556" s="5">
        <v>555</v>
      </c>
      <c r="B556" s="6" t="s">
        <v>9</v>
      </c>
      <c r="C556" s="7">
        <v>1884</v>
      </c>
      <c r="D556" s="8">
        <v>45402</v>
      </c>
      <c r="E556" s="9" t="str">
        <f>+HYPERLINK("http://trademark.i-assist.jp/data/china/image_1884th/76453606.pdf", "76453606")</f>
        <v>76453606</v>
      </c>
      <c r="F556" s="6" t="s">
        <v>1573</v>
      </c>
      <c r="G556" s="6" t="s">
        <v>1572</v>
      </c>
      <c r="H556" s="8" t="s">
        <v>1574</v>
      </c>
      <c r="I556" s="14">
        <v>45308</v>
      </c>
    </row>
    <row r="557" spans="1:9" x14ac:dyDescent="0.15">
      <c r="A557" s="5">
        <v>556</v>
      </c>
      <c r="B557" s="6" t="s">
        <v>9</v>
      </c>
      <c r="C557" s="7">
        <v>1884</v>
      </c>
      <c r="D557" s="8">
        <v>45402</v>
      </c>
      <c r="E557" s="9" t="str">
        <f>+HYPERLINK("http://trademark.i-assist.jp/data/china/image_1884th/76453896.pdf", "76453896")</f>
        <v>76453896</v>
      </c>
      <c r="F557" s="6" t="s">
        <v>1576</v>
      </c>
      <c r="G557" s="6" t="s">
        <v>1575</v>
      </c>
      <c r="H557" s="8" t="s">
        <v>1577</v>
      </c>
      <c r="I557" s="14">
        <v>45308</v>
      </c>
    </row>
    <row r="558" spans="1:9" x14ac:dyDescent="0.15">
      <c r="A558" s="5">
        <v>557</v>
      </c>
      <c r="B558" s="6" t="s">
        <v>9</v>
      </c>
      <c r="C558" s="7">
        <v>1884</v>
      </c>
      <c r="D558" s="8">
        <v>45402</v>
      </c>
      <c r="E558" s="9" t="str">
        <f>+HYPERLINK("http://trademark.i-assist.jp/data/china/image_1884th/76454125.pdf", "76454125")</f>
        <v>76454125</v>
      </c>
      <c r="F558" s="6" t="s">
        <v>1578</v>
      </c>
      <c r="G558" s="6" t="s">
        <v>939</v>
      </c>
      <c r="H558" s="8" t="s">
        <v>1579</v>
      </c>
      <c r="I558" s="14">
        <v>45308</v>
      </c>
    </row>
    <row r="559" spans="1:9" x14ac:dyDescent="0.15">
      <c r="A559" s="5">
        <v>558</v>
      </c>
      <c r="B559" s="6" t="s">
        <v>9</v>
      </c>
      <c r="C559" s="7">
        <v>1884</v>
      </c>
      <c r="D559" s="8">
        <v>45402</v>
      </c>
      <c r="E559" s="9" t="str">
        <f>+HYPERLINK("http://trademark.i-assist.jp/data/china/image_1884th/76454581.pdf", "76454581")</f>
        <v>76454581</v>
      </c>
      <c r="F559" s="6" t="s">
        <v>1581</v>
      </c>
      <c r="G559" s="6" t="s">
        <v>1580</v>
      </c>
      <c r="H559" s="8" t="s">
        <v>1582</v>
      </c>
      <c r="I559" s="14">
        <v>45308</v>
      </c>
    </row>
    <row r="560" spans="1:9" x14ac:dyDescent="0.15">
      <c r="A560" s="5">
        <v>559</v>
      </c>
      <c r="B560" s="6" t="s">
        <v>9</v>
      </c>
      <c r="C560" s="7">
        <v>1884</v>
      </c>
      <c r="D560" s="8">
        <v>45402</v>
      </c>
      <c r="E560" s="9" t="str">
        <f>+HYPERLINK("http://trademark.i-assist.jp/data/china/image_1884th/76454930.pdf", "76454930")</f>
        <v>76454930</v>
      </c>
      <c r="F560" s="6" t="s">
        <v>1584</v>
      </c>
      <c r="G560" s="6" t="s">
        <v>1583</v>
      </c>
      <c r="H560" s="8" t="s">
        <v>1585</v>
      </c>
      <c r="I560" s="14">
        <v>45308</v>
      </c>
    </row>
    <row r="561" spans="1:9" x14ac:dyDescent="0.15">
      <c r="A561" s="5">
        <v>560</v>
      </c>
      <c r="B561" s="6" t="s">
        <v>9</v>
      </c>
      <c r="C561" s="7">
        <v>1884</v>
      </c>
      <c r="D561" s="8">
        <v>45402</v>
      </c>
      <c r="E561" s="9" t="str">
        <f>+HYPERLINK("http://trademark.i-assist.jp/data/china/image_1884th/76455529.pdf", "76455529")</f>
        <v>76455529</v>
      </c>
      <c r="F561" s="6" t="s">
        <v>1586</v>
      </c>
      <c r="G561" s="6" t="s">
        <v>1542</v>
      </c>
      <c r="H561" s="8" t="s">
        <v>1587</v>
      </c>
      <c r="I561" s="14">
        <v>45308</v>
      </c>
    </row>
    <row r="562" spans="1:9" x14ac:dyDescent="0.15">
      <c r="A562" s="5">
        <v>561</v>
      </c>
      <c r="B562" s="6" t="s">
        <v>9</v>
      </c>
      <c r="C562" s="7">
        <v>1884</v>
      </c>
      <c r="D562" s="8">
        <v>45402</v>
      </c>
      <c r="E562" s="9" t="str">
        <f>+HYPERLINK("http://trademark.i-assist.jp/data/china/image_1884th/76455959.pdf", "76455959")</f>
        <v>76455959</v>
      </c>
      <c r="F562" s="6" t="s">
        <v>1589</v>
      </c>
      <c r="G562" s="6" t="s">
        <v>1588</v>
      </c>
      <c r="H562" s="8" t="s">
        <v>1590</v>
      </c>
      <c r="I562" s="14">
        <v>45308</v>
      </c>
    </row>
    <row r="563" spans="1:9" x14ac:dyDescent="0.15">
      <c r="A563" s="5">
        <v>562</v>
      </c>
      <c r="B563" s="6" t="s">
        <v>9</v>
      </c>
      <c r="C563" s="7">
        <v>1884</v>
      </c>
      <c r="D563" s="8">
        <v>45402</v>
      </c>
      <c r="E563" s="9" t="str">
        <f>+HYPERLINK("http://trademark.i-assist.jp/data/china/image_1884th/76456253.pdf", "76456253")</f>
        <v>76456253</v>
      </c>
      <c r="F563" s="6" t="s">
        <v>1592</v>
      </c>
      <c r="G563" s="6" t="s">
        <v>1591</v>
      </c>
      <c r="H563" s="8" t="s">
        <v>1593</v>
      </c>
      <c r="I563" s="14">
        <v>45308</v>
      </c>
    </row>
    <row r="564" spans="1:9" x14ac:dyDescent="0.15">
      <c r="A564" s="5">
        <v>563</v>
      </c>
      <c r="B564" s="6" t="s">
        <v>9</v>
      </c>
      <c r="C564" s="7">
        <v>1884</v>
      </c>
      <c r="D564" s="8">
        <v>45402</v>
      </c>
      <c r="E564" s="9" t="str">
        <f>+HYPERLINK("http://trademark.i-assist.jp/data/china/image_1884th/76456734.pdf", "76456734")</f>
        <v>76456734</v>
      </c>
      <c r="F564" s="6" t="s">
        <v>1595</v>
      </c>
      <c r="G564" s="6" t="s">
        <v>1594</v>
      </c>
      <c r="H564" s="8" t="s">
        <v>1596</v>
      </c>
      <c r="I564" s="14">
        <v>45308</v>
      </c>
    </row>
    <row r="565" spans="1:9" x14ac:dyDescent="0.15">
      <c r="A565" s="5">
        <v>564</v>
      </c>
      <c r="B565" s="6" t="s">
        <v>9</v>
      </c>
      <c r="C565" s="7">
        <v>1884</v>
      </c>
      <c r="D565" s="8">
        <v>45402</v>
      </c>
      <c r="E565" s="9" t="str">
        <f>+HYPERLINK("http://trademark.i-assist.jp/data/china/image_1884th/76456892.pdf", "76456892")</f>
        <v>76456892</v>
      </c>
      <c r="F565" s="6" t="s">
        <v>1598</v>
      </c>
      <c r="G565" s="6" t="s">
        <v>1597</v>
      </c>
      <c r="H565" s="8" t="s">
        <v>1599</v>
      </c>
      <c r="I565" s="14">
        <v>45308</v>
      </c>
    </row>
    <row r="566" spans="1:9" x14ac:dyDescent="0.15">
      <c r="A566" s="5">
        <v>565</v>
      </c>
      <c r="B566" s="6" t="s">
        <v>9</v>
      </c>
      <c r="C566" s="7">
        <v>1884</v>
      </c>
      <c r="D566" s="8">
        <v>45402</v>
      </c>
      <c r="E566" s="9" t="str">
        <f>+HYPERLINK("http://trademark.i-assist.jp/data/china/image_1884th/76457268.pdf", "76457268")</f>
        <v>76457268</v>
      </c>
      <c r="F566" s="6" t="s">
        <v>1600</v>
      </c>
      <c r="G566" s="6" t="s">
        <v>927</v>
      </c>
      <c r="H566" s="8" t="s">
        <v>1601</v>
      </c>
      <c r="I566" s="14">
        <v>45308</v>
      </c>
    </row>
    <row r="567" spans="1:9" x14ac:dyDescent="0.15">
      <c r="A567" s="5">
        <v>566</v>
      </c>
      <c r="B567" s="6" t="s">
        <v>9</v>
      </c>
      <c r="C567" s="7">
        <v>1884</v>
      </c>
      <c r="D567" s="8">
        <v>45402</v>
      </c>
      <c r="E567" s="9" t="str">
        <f>+HYPERLINK("http://trademark.i-assist.jp/data/china/image_1884th/76457920.pdf", "76457920")</f>
        <v>76457920</v>
      </c>
      <c r="F567" s="6" t="s">
        <v>1603</v>
      </c>
      <c r="G567" s="6" t="s">
        <v>1602</v>
      </c>
      <c r="H567" s="8" t="s">
        <v>1604</v>
      </c>
      <c r="I567" s="14">
        <v>45308</v>
      </c>
    </row>
    <row r="568" spans="1:9" x14ac:dyDescent="0.15">
      <c r="A568" s="5">
        <v>567</v>
      </c>
      <c r="B568" s="6" t="s">
        <v>9</v>
      </c>
      <c r="C568" s="7">
        <v>1884</v>
      </c>
      <c r="D568" s="8">
        <v>45402</v>
      </c>
      <c r="E568" s="9" t="str">
        <f>+HYPERLINK("http://trademark.i-assist.jp/data/china/image_1884th/76458280.pdf", "76458280")</f>
        <v>76458280</v>
      </c>
      <c r="F568" s="6" t="s">
        <v>1606</v>
      </c>
      <c r="G568" s="6" t="s">
        <v>1605</v>
      </c>
      <c r="H568" s="8" t="s">
        <v>1607</v>
      </c>
      <c r="I568" s="14">
        <v>45308</v>
      </c>
    </row>
    <row r="569" spans="1:9" x14ac:dyDescent="0.15">
      <c r="A569" s="5">
        <v>568</v>
      </c>
      <c r="B569" s="6" t="s">
        <v>9</v>
      </c>
      <c r="C569" s="7">
        <v>1884</v>
      </c>
      <c r="D569" s="8">
        <v>45402</v>
      </c>
      <c r="E569" s="9" t="str">
        <f>+HYPERLINK("http://trademark.i-assist.jp/data/china/image_1884th/76458362.pdf", "76458362")</f>
        <v>76458362</v>
      </c>
      <c r="F569" s="6" t="s">
        <v>1609</v>
      </c>
      <c r="G569" s="6" t="s">
        <v>1608</v>
      </c>
      <c r="H569" s="8" t="s">
        <v>1610</v>
      </c>
      <c r="I569" s="14">
        <v>45308</v>
      </c>
    </row>
    <row r="570" spans="1:9" x14ac:dyDescent="0.15">
      <c r="A570" s="5">
        <v>569</v>
      </c>
      <c r="B570" s="6" t="s">
        <v>9</v>
      </c>
      <c r="C570" s="7">
        <v>1884</v>
      </c>
      <c r="D570" s="8">
        <v>45402</v>
      </c>
      <c r="E570" s="9" t="str">
        <f>+HYPERLINK("http://trademark.i-assist.jp/data/china/image_1884th/76458760.pdf", "76458760")</f>
        <v>76458760</v>
      </c>
      <c r="F570" s="6" t="s">
        <v>1612</v>
      </c>
      <c r="G570" s="6" t="s">
        <v>1611</v>
      </c>
      <c r="H570" s="8" t="s">
        <v>1613</v>
      </c>
      <c r="I570" s="14">
        <v>45308</v>
      </c>
    </row>
    <row r="571" spans="1:9" x14ac:dyDescent="0.15">
      <c r="A571" s="5">
        <v>570</v>
      </c>
      <c r="B571" s="6" t="s">
        <v>9</v>
      </c>
      <c r="C571" s="7">
        <v>1884</v>
      </c>
      <c r="D571" s="8">
        <v>45402</v>
      </c>
      <c r="E571" s="9" t="str">
        <f>+HYPERLINK("http://trademark.i-assist.jp/data/china/image_1884th/76459002.pdf", "76459002")</f>
        <v>76459002</v>
      </c>
      <c r="F571" s="6" t="s">
        <v>1615</v>
      </c>
      <c r="G571" s="6" t="s">
        <v>1614</v>
      </c>
      <c r="H571" s="8" t="s">
        <v>1616</v>
      </c>
      <c r="I571" s="14">
        <v>45308</v>
      </c>
    </row>
    <row r="572" spans="1:9" x14ac:dyDescent="0.15">
      <c r="A572" s="5">
        <v>571</v>
      </c>
      <c r="B572" s="6" t="s">
        <v>9</v>
      </c>
      <c r="C572" s="7">
        <v>1884</v>
      </c>
      <c r="D572" s="8">
        <v>45402</v>
      </c>
      <c r="E572" s="9" t="str">
        <f>+HYPERLINK("http://trademark.i-assist.jp/data/china/image_1884th/76459583.pdf", "76459583")</f>
        <v>76459583</v>
      </c>
      <c r="F572" s="6" t="s">
        <v>1618</v>
      </c>
      <c r="G572" s="6" t="s">
        <v>1617</v>
      </c>
      <c r="H572" s="8" t="s">
        <v>1619</v>
      </c>
      <c r="I572" s="14">
        <v>45309</v>
      </c>
    </row>
    <row r="573" spans="1:9" x14ac:dyDescent="0.15">
      <c r="A573" s="5">
        <v>572</v>
      </c>
      <c r="B573" s="6" t="s">
        <v>9</v>
      </c>
      <c r="C573" s="7">
        <v>1884</v>
      </c>
      <c r="D573" s="8">
        <v>45402</v>
      </c>
      <c r="E573" s="9" t="str">
        <f>+HYPERLINK("http://trademark.i-assist.jp/data/china/image_1884th/76459975.pdf", "76459975")</f>
        <v>76459975</v>
      </c>
      <c r="F573" s="6" t="s">
        <v>1621</v>
      </c>
      <c r="G573" s="6" t="s">
        <v>1620</v>
      </c>
      <c r="H573" s="8" t="s">
        <v>1622</v>
      </c>
      <c r="I573" s="14">
        <v>45309</v>
      </c>
    </row>
    <row r="574" spans="1:9" x14ac:dyDescent="0.15">
      <c r="A574" s="5">
        <v>573</v>
      </c>
      <c r="B574" s="6" t="s">
        <v>9</v>
      </c>
      <c r="C574" s="7">
        <v>1884</v>
      </c>
      <c r="D574" s="8">
        <v>45402</v>
      </c>
      <c r="E574" s="9" t="str">
        <f>+HYPERLINK("http://trademark.i-assist.jp/data/china/image_1884th/76461409.pdf", "76461409")</f>
        <v>76461409</v>
      </c>
      <c r="F574" s="6" t="s">
        <v>1624</v>
      </c>
      <c r="G574" s="6" t="s">
        <v>1623</v>
      </c>
      <c r="H574" s="8" t="s">
        <v>1625</v>
      </c>
      <c r="I574" s="14">
        <v>45309</v>
      </c>
    </row>
    <row r="575" spans="1:9" x14ac:dyDescent="0.15">
      <c r="A575" s="5">
        <v>574</v>
      </c>
      <c r="B575" s="6" t="s">
        <v>9</v>
      </c>
      <c r="C575" s="7">
        <v>1884</v>
      </c>
      <c r="D575" s="8">
        <v>45402</v>
      </c>
      <c r="E575" s="9" t="str">
        <f>+HYPERLINK("http://trademark.i-assist.jp/data/china/image_1884th/76462206.pdf", "76462206")</f>
        <v>76462206</v>
      </c>
      <c r="F575" s="6" t="s">
        <v>1627</v>
      </c>
      <c r="G575" s="6" t="s">
        <v>1626</v>
      </c>
      <c r="H575" s="8" t="s">
        <v>1628</v>
      </c>
      <c r="I575" s="14">
        <v>45309</v>
      </c>
    </row>
    <row r="576" spans="1:9" x14ac:dyDescent="0.15">
      <c r="A576" s="5">
        <v>575</v>
      </c>
      <c r="B576" s="6" t="s">
        <v>9</v>
      </c>
      <c r="C576" s="7">
        <v>1884</v>
      </c>
      <c r="D576" s="8">
        <v>45402</v>
      </c>
      <c r="E576" s="9" t="str">
        <f>+HYPERLINK("http://trademark.i-assist.jp/data/china/image_1884th/76462263.pdf", "76462263")</f>
        <v>76462263</v>
      </c>
      <c r="F576" s="6" t="s">
        <v>1630</v>
      </c>
      <c r="G576" s="6" t="s">
        <v>1629</v>
      </c>
      <c r="H576" s="8" t="s">
        <v>1631</v>
      </c>
      <c r="I576" s="14">
        <v>45309</v>
      </c>
    </row>
    <row r="577" spans="1:9" x14ac:dyDescent="0.15">
      <c r="A577" s="5">
        <v>576</v>
      </c>
      <c r="B577" s="6" t="s">
        <v>9</v>
      </c>
      <c r="C577" s="7">
        <v>1884</v>
      </c>
      <c r="D577" s="8">
        <v>45402</v>
      </c>
      <c r="E577" s="9" t="str">
        <f>+HYPERLINK("http://trademark.i-assist.jp/data/china/image_1884th/76462424.pdf", "76462424")</f>
        <v>76462424</v>
      </c>
      <c r="F577" s="6" t="s">
        <v>1633</v>
      </c>
      <c r="G577" s="6" t="s">
        <v>1632</v>
      </c>
      <c r="H577" s="8" t="s">
        <v>1634</v>
      </c>
      <c r="I577" s="14">
        <v>45309</v>
      </c>
    </row>
    <row r="578" spans="1:9" x14ac:dyDescent="0.15">
      <c r="A578" s="5">
        <v>577</v>
      </c>
      <c r="B578" s="6" t="s">
        <v>9</v>
      </c>
      <c r="C578" s="7">
        <v>1884</v>
      </c>
      <c r="D578" s="8">
        <v>45402</v>
      </c>
      <c r="E578" s="9" t="str">
        <f>+HYPERLINK("http://trademark.i-assist.jp/data/china/image_1884th/76463121.pdf", "76463121")</f>
        <v>76463121</v>
      </c>
      <c r="F578" s="6" t="s">
        <v>1636</v>
      </c>
      <c r="G578" s="6" t="s">
        <v>1635</v>
      </c>
      <c r="H578" s="8" t="s">
        <v>1637</v>
      </c>
      <c r="I578" s="14">
        <v>45309</v>
      </c>
    </row>
    <row r="579" spans="1:9" x14ac:dyDescent="0.15">
      <c r="A579" s="5">
        <v>578</v>
      </c>
      <c r="B579" s="6" t="s">
        <v>9</v>
      </c>
      <c r="C579" s="7">
        <v>1884</v>
      </c>
      <c r="D579" s="8">
        <v>45402</v>
      </c>
      <c r="E579" s="9" t="str">
        <f>+HYPERLINK("http://trademark.i-assist.jp/data/china/image_1884th/76464411.pdf", "76464411")</f>
        <v>76464411</v>
      </c>
      <c r="F579" s="6" t="s">
        <v>1639</v>
      </c>
      <c r="G579" s="6" t="s">
        <v>1638</v>
      </c>
      <c r="H579" s="8" t="s">
        <v>1640</v>
      </c>
      <c r="I579" s="14">
        <v>45309</v>
      </c>
    </row>
    <row r="580" spans="1:9" x14ac:dyDescent="0.15">
      <c r="A580" s="5">
        <v>579</v>
      </c>
      <c r="B580" s="6" t="s">
        <v>9</v>
      </c>
      <c r="C580" s="7">
        <v>1884</v>
      </c>
      <c r="D580" s="8">
        <v>45402</v>
      </c>
      <c r="E580" s="9" t="str">
        <f>+HYPERLINK("http://trademark.i-assist.jp/data/china/image_1884th/76465128.pdf", "76465128")</f>
        <v>76465128</v>
      </c>
      <c r="F580" s="6" t="s">
        <v>1642</v>
      </c>
      <c r="G580" s="6" t="s">
        <v>1641</v>
      </c>
      <c r="H580" s="8" t="s">
        <v>1643</v>
      </c>
      <c r="I580" s="14">
        <v>45309</v>
      </c>
    </row>
    <row r="581" spans="1:9" x14ac:dyDescent="0.15">
      <c r="A581" s="5">
        <v>580</v>
      </c>
      <c r="B581" s="6" t="s">
        <v>9</v>
      </c>
      <c r="C581" s="7">
        <v>1884</v>
      </c>
      <c r="D581" s="8">
        <v>45402</v>
      </c>
      <c r="E581" s="9" t="str">
        <f>+HYPERLINK("http://trademark.i-assist.jp/data/china/image_1884th/76465130.pdf", "76465130")</f>
        <v>76465130</v>
      </c>
      <c r="F581" s="6" t="s">
        <v>1645</v>
      </c>
      <c r="G581" s="6" t="s">
        <v>1644</v>
      </c>
      <c r="H581" s="8" t="s">
        <v>1646</v>
      </c>
      <c r="I581" s="14">
        <v>45309</v>
      </c>
    </row>
    <row r="582" spans="1:9" x14ac:dyDescent="0.15">
      <c r="A582" s="5">
        <v>581</v>
      </c>
      <c r="B582" s="6" t="s">
        <v>9</v>
      </c>
      <c r="C582" s="7">
        <v>1884</v>
      </c>
      <c r="D582" s="8">
        <v>45402</v>
      </c>
      <c r="E582" s="9" t="str">
        <f>+HYPERLINK("http://trademark.i-assist.jp/data/china/image_1884th/76467198.pdf", "76467198")</f>
        <v>76467198</v>
      </c>
      <c r="F582" s="6" t="s">
        <v>1648</v>
      </c>
      <c r="G582" s="6" t="s">
        <v>1647</v>
      </c>
      <c r="H582" s="8" t="s">
        <v>467</v>
      </c>
      <c r="I582" s="14">
        <v>45310</v>
      </c>
    </row>
    <row r="583" spans="1:9" x14ac:dyDescent="0.15">
      <c r="A583" s="5">
        <v>582</v>
      </c>
      <c r="B583" s="6" t="s">
        <v>9</v>
      </c>
      <c r="C583" s="7">
        <v>1884</v>
      </c>
      <c r="D583" s="8">
        <v>45402</v>
      </c>
      <c r="E583" s="9" t="str">
        <f>+HYPERLINK("http://trademark.i-assist.jp/data/china/image_1884th/76467506.pdf", "76467506")</f>
        <v>76467506</v>
      </c>
      <c r="F583" s="6" t="s">
        <v>1650</v>
      </c>
      <c r="G583" s="6" t="s">
        <v>1649</v>
      </c>
      <c r="H583" s="8" t="s">
        <v>1651</v>
      </c>
      <c r="I583" s="14">
        <v>45310</v>
      </c>
    </row>
    <row r="584" spans="1:9" x14ac:dyDescent="0.15">
      <c r="A584" s="5">
        <v>583</v>
      </c>
      <c r="B584" s="6" t="s">
        <v>9</v>
      </c>
      <c r="C584" s="7">
        <v>1884</v>
      </c>
      <c r="D584" s="8">
        <v>45402</v>
      </c>
      <c r="E584" s="9" t="str">
        <f>+HYPERLINK("http://trademark.i-assist.jp/data/china/image_1884th/76467618.pdf", "76467618")</f>
        <v>76467618</v>
      </c>
      <c r="F584" s="6" t="s">
        <v>1653</v>
      </c>
      <c r="G584" s="6" t="s">
        <v>1652</v>
      </c>
      <c r="H584" s="8" t="s">
        <v>1654</v>
      </c>
      <c r="I584" s="14">
        <v>45310</v>
      </c>
    </row>
    <row r="585" spans="1:9" x14ac:dyDescent="0.15">
      <c r="A585" s="5">
        <v>584</v>
      </c>
      <c r="B585" s="6" t="s">
        <v>9</v>
      </c>
      <c r="C585" s="7">
        <v>1884</v>
      </c>
      <c r="D585" s="8">
        <v>45402</v>
      </c>
      <c r="E585" s="9" t="str">
        <f>+HYPERLINK("http://trademark.i-assist.jp/data/china/image_1884th/76467625.pdf", "76467625")</f>
        <v>76467625</v>
      </c>
      <c r="F585" s="6" t="s">
        <v>1655</v>
      </c>
      <c r="G585" s="6" t="s">
        <v>927</v>
      </c>
      <c r="H585" s="8" t="s">
        <v>1656</v>
      </c>
      <c r="I585" s="14">
        <v>45310</v>
      </c>
    </row>
    <row r="586" spans="1:9" x14ac:dyDescent="0.15">
      <c r="A586" s="5">
        <v>585</v>
      </c>
      <c r="B586" s="6" t="s">
        <v>9</v>
      </c>
      <c r="C586" s="7">
        <v>1884</v>
      </c>
      <c r="D586" s="8">
        <v>45402</v>
      </c>
      <c r="E586" s="9" t="str">
        <f>+HYPERLINK("http://trademark.i-assist.jp/data/china/image_1884th/76467808.pdf", "76467808")</f>
        <v>76467808</v>
      </c>
      <c r="F586" s="6" t="s">
        <v>1658</v>
      </c>
      <c r="G586" s="6" t="s">
        <v>1657</v>
      </c>
      <c r="H586" s="8" t="s">
        <v>1659</v>
      </c>
      <c r="I586" s="14">
        <v>45309</v>
      </c>
    </row>
    <row r="587" spans="1:9" x14ac:dyDescent="0.15">
      <c r="A587" s="5">
        <v>586</v>
      </c>
      <c r="B587" s="6" t="s">
        <v>9</v>
      </c>
      <c r="C587" s="7">
        <v>1884</v>
      </c>
      <c r="D587" s="8">
        <v>45402</v>
      </c>
      <c r="E587" s="9" t="str">
        <f>+HYPERLINK("http://trademark.i-assist.jp/data/china/image_1884th/76468523.pdf", "76468523")</f>
        <v>76468523</v>
      </c>
      <c r="F587" s="6" t="s">
        <v>1661</v>
      </c>
      <c r="G587" s="6" t="s">
        <v>1660</v>
      </c>
      <c r="H587" s="8" t="s">
        <v>1662</v>
      </c>
      <c r="I587" s="14">
        <v>45310</v>
      </c>
    </row>
    <row r="588" spans="1:9" x14ac:dyDescent="0.15">
      <c r="A588" s="5">
        <v>587</v>
      </c>
      <c r="B588" s="6" t="s">
        <v>9</v>
      </c>
      <c r="C588" s="7">
        <v>1884</v>
      </c>
      <c r="D588" s="8">
        <v>45402</v>
      </c>
      <c r="E588" s="9" t="str">
        <f>+HYPERLINK("http://trademark.i-assist.jp/data/china/image_1884th/76468587.pdf", "76468587")</f>
        <v>76468587</v>
      </c>
      <c r="F588" s="6" t="s">
        <v>1664</v>
      </c>
      <c r="G588" s="6" t="s">
        <v>1663</v>
      </c>
      <c r="H588" s="8" t="s">
        <v>1665</v>
      </c>
      <c r="I588" s="14">
        <v>45310</v>
      </c>
    </row>
    <row r="589" spans="1:9" x14ac:dyDescent="0.15">
      <c r="A589" s="5">
        <v>588</v>
      </c>
      <c r="B589" s="6" t="s">
        <v>9</v>
      </c>
      <c r="C589" s="7">
        <v>1884</v>
      </c>
      <c r="D589" s="8">
        <v>45402</v>
      </c>
      <c r="E589" s="9" t="str">
        <f>+HYPERLINK("http://trademark.i-assist.jp/data/china/image_1884th/76469875.pdf", "76469875")</f>
        <v>76469875</v>
      </c>
      <c r="F589" s="6" t="s">
        <v>1667</v>
      </c>
      <c r="G589" s="6" t="s">
        <v>1666</v>
      </c>
      <c r="H589" s="8" t="s">
        <v>1668</v>
      </c>
      <c r="I589" s="14">
        <v>45309</v>
      </c>
    </row>
    <row r="590" spans="1:9" x14ac:dyDescent="0.15">
      <c r="A590" s="5">
        <v>589</v>
      </c>
      <c r="B590" s="6" t="s">
        <v>9</v>
      </c>
      <c r="C590" s="7">
        <v>1884</v>
      </c>
      <c r="D590" s="8">
        <v>45402</v>
      </c>
      <c r="E590" s="9" t="str">
        <f>+HYPERLINK("http://trademark.i-assist.jp/data/china/image_1884th/76470176.pdf", "76470176")</f>
        <v>76470176</v>
      </c>
      <c r="F590" s="6" t="s">
        <v>1670</v>
      </c>
      <c r="G590" s="6" t="s">
        <v>1669</v>
      </c>
      <c r="H590" s="8" t="s">
        <v>1671</v>
      </c>
      <c r="I590" s="14">
        <v>45310</v>
      </c>
    </row>
    <row r="591" spans="1:9" x14ac:dyDescent="0.15">
      <c r="A591" s="5">
        <v>590</v>
      </c>
      <c r="B591" s="6" t="s">
        <v>9</v>
      </c>
      <c r="C591" s="7">
        <v>1884</v>
      </c>
      <c r="D591" s="8">
        <v>45402</v>
      </c>
      <c r="E591" s="9" t="str">
        <f>+HYPERLINK("http://trademark.i-assist.jp/data/china/image_1884th/76470409.pdf", "76470409")</f>
        <v>76470409</v>
      </c>
      <c r="F591" s="6" t="s">
        <v>167</v>
      </c>
      <c r="G591" s="6" t="s">
        <v>1672</v>
      </c>
      <c r="H591" s="8" t="s">
        <v>1673</v>
      </c>
      <c r="I591" s="14">
        <v>45310</v>
      </c>
    </row>
    <row r="592" spans="1:9" x14ac:dyDescent="0.15">
      <c r="A592" s="5">
        <v>591</v>
      </c>
      <c r="B592" s="6" t="s">
        <v>9</v>
      </c>
      <c r="C592" s="7">
        <v>1884</v>
      </c>
      <c r="D592" s="8">
        <v>45402</v>
      </c>
      <c r="E592" s="9" t="str">
        <f>+HYPERLINK("http://trademark.i-assist.jp/data/china/image_1884th/76470658.pdf", "76470658")</f>
        <v>76470658</v>
      </c>
      <c r="F592" s="6" t="s">
        <v>1675</v>
      </c>
      <c r="G592" s="6" t="s">
        <v>1674</v>
      </c>
      <c r="H592" s="8" t="s">
        <v>1676</v>
      </c>
      <c r="I592" s="14">
        <v>45309</v>
      </c>
    </row>
    <row r="593" spans="1:9" x14ac:dyDescent="0.15">
      <c r="A593" s="5">
        <v>592</v>
      </c>
      <c r="B593" s="6" t="s">
        <v>9</v>
      </c>
      <c r="C593" s="7">
        <v>1884</v>
      </c>
      <c r="D593" s="8">
        <v>45402</v>
      </c>
      <c r="E593" s="9" t="str">
        <f>+HYPERLINK("http://trademark.i-assist.jp/data/china/image_1884th/76471454.pdf", "76471454")</f>
        <v>76471454</v>
      </c>
      <c r="F593" s="6" t="s">
        <v>1678</v>
      </c>
      <c r="G593" s="6" t="s">
        <v>1677</v>
      </c>
      <c r="H593" s="8" t="s">
        <v>1679</v>
      </c>
      <c r="I593" s="14">
        <v>45309</v>
      </c>
    </row>
    <row r="594" spans="1:9" x14ac:dyDescent="0.15">
      <c r="A594" s="5">
        <v>593</v>
      </c>
      <c r="B594" s="6" t="s">
        <v>9</v>
      </c>
      <c r="C594" s="7">
        <v>1884</v>
      </c>
      <c r="D594" s="8">
        <v>45402</v>
      </c>
      <c r="E594" s="9" t="str">
        <f>+HYPERLINK("http://trademark.i-assist.jp/data/china/image_1884th/76471545.pdf", "76471545")</f>
        <v>76471545</v>
      </c>
      <c r="F594" s="6" t="s">
        <v>1681</v>
      </c>
      <c r="G594" s="6" t="s">
        <v>1680</v>
      </c>
      <c r="H594" s="8" t="s">
        <v>1682</v>
      </c>
      <c r="I594" s="14">
        <v>45309</v>
      </c>
    </row>
    <row r="595" spans="1:9" x14ac:dyDescent="0.15">
      <c r="A595" s="5">
        <v>594</v>
      </c>
      <c r="B595" s="6" t="s">
        <v>9</v>
      </c>
      <c r="C595" s="7">
        <v>1884</v>
      </c>
      <c r="D595" s="8">
        <v>45402</v>
      </c>
      <c r="E595" s="9" t="str">
        <f>+HYPERLINK("http://trademark.i-assist.jp/data/china/image_1884th/76471640.pdf", "76471640")</f>
        <v>76471640</v>
      </c>
      <c r="F595" s="6" t="s">
        <v>1684</v>
      </c>
      <c r="G595" s="6" t="s">
        <v>1683</v>
      </c>
      <c r="H595" s="8" t="s">
        <v>1685</v>
      </c>
      <c r="I595" s="14">
        <v>45310</v>
      </c>
    </row>
    <row r="596" spans="1:9" x14ac:dyDescent="0.15">
      <c r="A596" s="5">
        <v>595</v>
      </c>
      <c r="B596" s="6" t="s">
        <v>9</v>
      </c>
      <c r="C596" s="7">
        <v>1884</v>
      </c>
      <c r="D596" s="8">
        <v>45402</v>
      </c>
      <c r="E596" s="9" t="str">
        <f>+HYPERLINK("http://trademark.i-assist.jp/data/china/image_1884th/76471881.pdf", "76471881")</f>
        <v>76471881</v>
      </c>
      <c r="F596" s="6" t="s">
        <v>1687</v>
      </c>
      <c r="G596" s="6" t="s">
        <v>1686</v>
      </c>
      <c r="H596" s="8" t="s">
        <v>1688</v>
      </c>
      <c r="I596" s="14">
        <v>45309</v>
      </c>
    </row>
    <row r="597" spans="1:9" x14ac:dyDescent="0.15">
      <c r="A597" s="5">
        <v>596</v>
      </c>
      <c r="B597" s="6" t="s">
        <v>9</v>
      </c>
      <c r="C597" s="7">
        <v>1884</v>
      </c>
      <c r="D597" s="8">
        <v>45402</v>
      </c>
      <c r="E597" s="9" t="str">
        <f>+HYPERLINK("http://trademark.i-assist.jp/data/china/image_1884th/76472027.pdf", "76472027")</f>
        <v>76472027</v>
      </c>
      <c r="F597" s="6" t="s">
        <v>1690</v>
      </c>
      <c r="G597" s="6" t="s">
        <v>1689</v>
      </c>
      <c r="H597" s="8" t="s">
        <v>1691</v>
      </c>
      <c r="I597" s="14">
        <v>45310</v>
      </c>
    </row>
    <row r="598" spans="1:9" x14ac:dyDescent="0.15">
      <c r="A598" s="5">
        <v>597</v>
      </c>
      <c r="B598" s="6" t="s">
        <v>9</v>
      </c>
      <c r="C598" s="7">
        <v>1884</v>
      </c>
      <c r="D598" s="8">
        <v>45402</v>
      </c>
      <c r="E598" s="9" t="str">
        <f>+HYPERLINK("http://trademark.i-assist.jp/data/china/image_1884th/76472117.pdf", "76472117")</f>
        <v>76472117</v>
      </c>
      <c r="F598" s="6" t="s">
        <v>1693</v>
      </c>
      <c r="G598" s="6" t="s">
        <v>1692</v>
      </c>
      <c r="H598" s="8" t="s">
        <v>1694</v>
      </c>
      <c r="I598" s="14">
        <v>45309</v>
      </c>
    </row>
    <row r="599" spans="1:9" x14ac:dyDescent="0.15">
      <c r="A599" s="5">
        <v>598</v>
      </c>
      <c r="B599" s="6" t="s">
        <v>9</v>
      </c>
      <c r="C599" s="7">
        <v>1884</v>
      </c>
      <c r="D599" s="8">
        <v>45402</v>
      </c>
      <c r="E599" s="9" t="str">
        <f>+HYPERLINK("http://trademark.i-assist.jp/data/china/image_1884th/76472323.pdf", "76472323")</f>
        <v>76472323</v>
      </c>
      <c r="F599" s="6" t="s">
        <v>1696</v>
      </c>
      <c r="G599" s="6" t="s">
        <v>1695</v>
      </c>
      <c r="H599" s="8" t="s">
        <v>1697</v>
      </c>
      <c r="I599" s="14">
        <v>45309</v>
      </c>
    </row>
    <row r="600" spans="1:9" x14ac:dyDescent="0.15">
      <c r="A600" s="5">
        <v>599</v>
      </c>
      <c r="B600" s="6" t="s">
        <v>9</v>
      </c>
      <c r="C600" s="7">
        <v>1884</v>
      </c>
      <c r="D600" s="8">
        <v>45402</v>
      </c>
      <c r="E600" s="9" t="str">
        <f>+HYPERLINK("http://trademark.i-assist.jp/data/china/image_1884th/76472456.pdf", "76472456")</f>
        <v>76472456</v>
      </c>
      <c r="F600" s="6" t="s">
        <v>1698</v>
      </c>
      <c r="G600" s="6" t="s">
        <v>1669</v>
      </c>
      <c r="H600" s="8" t="s">
        <v>1699</v>
      </c>
      <c r="I600" s="14">
        <v>45310</v>
      </c>
    </row>
    <row r="601" spans="1:9" x14ac:dyDescent="0.15">
      <c r="A601" s="5">
        <v>600</v>
      </c>
      <c r="B601" s="6" t="s">
        <v>9</v>
      </c>
      <c r="C601" s="7">
        <v>1884</v>
      </c>
      <c r="D601" s="8">
        <v>45402</v>
      </c>
      <c r="E601" s="9" t="str">
        <f>+HYPERLINK("http://trademark.i-assist.jp/data/china/image_1884th/76472581.pdf", "76472581")</f>
        <v>76472581</v>
      </c>
      <c r="F601" s="6" t="s">
        <v>1701</v>
      </c>
      <c r="G601" s="6" t="s">
        <v>1700</v>
      </c>
      <c r="H601" s="8" t="s">
        <v>1702</v>
      </c>
      <c r="I601" s="14">
        <v>45309</v>
      </c>
    </row>
    <row r="602" spans="1:9" x14ac:dyDescent="0.15">
      <c r="A602" s="5">
        <v>601</v>
      </c>
      <c r="B602" s="6" t="s">
        <v>9</v>
      </c>
      <c r="C602" s="7">
        <v>1884</v>
      </c>
      <c r="D602" s="8">
        <v>45402</v>
      </c>
      <c r="E602" s="9" t="str">
        <f>+HYPERLINK("http://trademark.i-assist.jp/data/china/image_1884th/76474144.pdf", "76474144")</f>
        <v>76474144</v>
      </c>
      <c r="F602" s="6" t="s">
        <v>1704</v>
      </c>
      <c r="G602" s="6" t="s">
        <v>1703</v>
      </c>
      <c r="H602" s="8" t="s">
        <v>1705</v>
      </c>
      <c r="I602" s="14">
        <v>45310</v>
      </c>
    </row>
    <row r="603" spans="1:9" x14ac:dyDescent="0.15">
      <c r="A603" s="5">
        <v>602</v>
      </c>
      <c r="B603" s="6" t="s">
        <v>9</v>
      </c>
      <c r="C603" s="7">
        <v>1884</v>
      </c>
      <c r="D603" s="8">
        <v>45402</v>
      </c>
      <c r="E603" s="9" t="str">
        <f>+HYPERLINK("http://trademark.i-assist.jp/data/china/image_1884th/76474378.pdf", "76474378")</f>
        <v>76474378</v>
      </c>
      <c r="F603" s="6" t="s">
        <v>1707</v>
      </c>
      <c r="G603" s="6" t="s">
        <v>1706</v>
      </c>
      <c r="H603" s="8" t="s">
        <v>1708</v>
      </c>
      <c r="I603" s="14">
        <v>45309</v>
      </c>
    </row>
    <row r="604" spans="1:9" x14ac:dyDescent="0.15">
      <c r="A604" s="5">
        <v>603</v>
      </c>
      <c r="B604" s="6" t="s">
        <v>9</v>
      </c>
      <c r="C604" s="7">
        <v>1884</v>
      </c>
      <c r="D604" s="8">
        <v>45402</v>
      </c>
      <c r="E604" s="9" t="str">
        <f>+HYPERLINK("http://trademark.i-assist.jp/data/china/image_1884th/76475219.pdf", "76475219")</f>
        <v>76475219</v>
      </c>
      <c r="F604" s="6" t="s">
        <v>1710</v>
      </c>
      <c r="G604" s="6" t="s">
        <v>1709</v>
      </c>
      <c r="H604" s="8" t="s">
        <v>1711</v>
      </c>
      <c r="I604" s="14">
        <v>45309</v>
      </c>
    </row>
    <row r="605" spans="1:9" x14ac:dyDescent="0.15">
      <c r="A605" s="5">
        <v>604</v>
      </c>
      <c r="B605" s="6" t="s">
        <v>9</v>
      </c>
      <c r="C605" s="7">
        <v>1884</v>
      </c>
      <c r="D605" s="8">
        <v>45402</v>
      </c>
      <c r="E605" s="9" t="str">
        <f>+HYPERLINK("http://trademark.i-assist.jp/data/china/image_1884th/76475289.pdf", "76475289")</f>
        <v>76475289</v>
      </c>
      <c r="F605" s="6" t="s">
        <v>1713</v>
      </c>
      <c r="G605" s="6" t="s">
        <v>1712</v>
      </c>
      <c r="H605" s="8" t="s">
        <v>1714</v>
      </c>
      <c r="I605" s="14">
        <v>45310</v>
      </c>
    </row>
    <row r="606" spans="1:9" x14ac:dyDescent="0.15">
      <c r="A606" s="5">
        <v>605</v>
      </c>
      <c r="B606" s="6" t="s">
        <v>9</v>
      </c>
      <c r="C606" s="7">
        <v>1884</v>
      </c>
      <c r="D606" s="8">
        <v>45402</v>
      </c>
      <c r="E606" s="9" t="str">
        <f>+HYPERLINK("http://trademark.i-assist.jp/data/china/image_1884th/76475325.pdf", "76475325")</f>
        <v>76475325</v>
      </c>
      <c r="F606" s="6" t="s">
        <v>1716</v>
      </c>
      <c r="G606" s="6" t="s">
        <v>1715</v>
      </c>
      <c r="H606" s="8" t="s">
        <v>1717</v>
      </c>
      <c r="I606" s="14">
        <v>45310</v>
      </c>
    </row>
    <row r="607" spans="1:9" x14ac:dyDescent="0.15">
      <c r="A607" s="5">
        <v>606</v>
      </c>
      <c r="B607" s="6" t="s">
        <v>9</v>
      </c>
      <c r="C607" s="7">
        <v>1884</v>
      </c>
      <c r="D607" s="8">
        <v>45402</v>
      </c>
      <c r="E607" s="9" t="str">
        <f>+HYPERLINK("http://trademark.i-assist.jp/data/china/image_1884th/76475690.pdf", "76475690")</f>
        <v>76475690</v>
      </c>
      <c r="F607" s="6" t="s">
        <v>1719</v>
      </c>
      <c r="G607" s="6" t="s">
        <v>1718</v>
      </c>
      <c r="H607" s="8" t="s">
        <v>1720</v>
      </c>
      <c r="I607" s="14">
        <v>45310</v>
      </c>
    </row>
    <row r="608" spans="1:9" x14ac:dyDescent="0.15">
      <c r="A608" s="5">
        <v>607</v>
      </c>
      <c r="B608" s="6" t="s">
        <v>9</v>
      </c>
      <c r="C608" s="7">
        <v>1884</v>
      </c>
      <c r="D608" s="8">
        <v>45402</v>
      </c>
      <c r="E608" s="9" t="str">
        <f>+HYPERLINK("http://trademark.i-assist.jp/data/china/image_1884th/76476026.pdf", "76476026")</f>
        <v>76476026</v>
      </c>
      <c r="F608" s="6" t="s">
        <v>1722</v>
      </c>
      <c r="G608" s="6" t="s">
        <v>1721</v>
      </c>
      <c r="H608" s="8" t="s">
        <v>1723</v>
      </c>
      <c r="I608" s="14">
        <v>45310</v>
      </c>
    </row>
    <row r="609" spans="1:9" x14ac:dyDescent="0.15">
      <c r="A609" s="5">
        <v>608</v>
      </c>
      <c r="B609" s="6" t="s">
        <v>9</v>
      </c>
      <c r="C609" s="7">
        <v>1884</v>
      </c>
      <c r="D609" s="8">
        <v>45402</v>
      </c>
      <c r="E609" s="9" t="str">
        <f>+HYPERLINK("http://trademark.i-assist.jp/data/china/image_1884th/76476884.pdf", "76476884")</f>
        <v>76476884</v>
      </c>
      <c r="F609" s="6" t="s">
        <v>1725</v>
      </c>
      <c r="G609" s="6" t="s">
        <v>1724</v>
      </c>
      <c r="H609" s="8" t="s">
        <v>1726</v>
      </c>
      <c r="I609" s="14">
        <v>45309</v>
      </c>
    </row>
    <row r="610" spans="1:9" x14ac:dyDescent="0.15">
      <c r="A610" s="5">
        <v>609</v>
      </c>
      <c r="B610" s="6" t="s">
        <v>9</v>
      </c>
      <c r="C610" s="7">
        <v>1884</v>
      </c>
      <c r="D610" s="8">
        <v>45402</v>
      </c>
      <c r="E610" s="9" t="str">
        <f>+HYPERLINK("http://trademark.i-assist.jp/data/china/image_1884th/76477009.pdf", "76477009")</f>
        <v>76477009</v>
      </c>
      <c r="F610" s="6" t="s">
        <v>1728</v>
      </c>
      <c r="G610" s="6" t="s">
        <v>1727</v>
      </c>
      <c r="H610" s="8" t="s">
        <v>1729</v>
      </c>
      <c r="I610" s="14">
        <v>45309</v>
      </c>
    </row>
    <row r="611" spans="1:9" x14ac:dyDescent="0.15">
      <c r="A611" s="5">
        <v>610</v>
      </c>
      <c r="B611" s="6" t="s">
        <v>9</v>
      </c>
      <c r="C611" s="7">
        <v>1884</v>
      </c>
      <c r="D611" s="8">
        <v>45402</v>
      </c>
      <c r="E611" s="9" t="str">
        <f>+HYPERLINK("http://trademark.i-assist.jp/data/china/image_1884th/76477232.pdf", "76477232")</f>
        <v>76477232</v>
      </c>
      <c r="F611" s="6" t="s">
        <v>1731</v>
      </c>
      <c r="G611" s="6" t="s">
        <v>1730</v>
      </c>
      <c r="H611" s="8" t="s">
        <v>1732</v>
      </c>
      <c r="I611" s="14">
        <v>45309</v>
      </c>
    </row>
    <row r="612" spans="1:9" x14ac:dyDescent="0.15">
      <c r="A612" s="5">
        <v>611</v>
      </c>
      <c r="B612" s="6" t="s">
        <v>9</v>
      </c>
      <c r="C612" s="7">
        <v>1884</v>
      </c>
      <c r="D612" s="8">
        <v>45402</v>
      </c>
      <c r="E612" s="9" t="str">
        <f>+HYPERLINK("http://trademark.i-assist.jp/data/china/image_1884th/76477820.pdf", "76477820")</f>
        <v>76477820</v>
      </c>
      <c r="F612" s="6" t="s">
        <v>1734</v>
      </c>
      <c r="G612" s="6" t="s">
        <v>1733</v>
      </c>
      <c r="H612" s="8" t="s">
        <v>1735</v>
      </c>
      <c r="I612" s="14">
        <v>45309</v>
      </c>
    </row>
    <row r="613" spans="1:9" x14ac:dyDescent="0.15">
      <c r="A613" s="5">
        <v>612</v>
      </c>
      <c r="B613" s="6" t="s">
        <v>9</v>
      </c>
      <c r="C613" s="7">
        <v>1884</v>
      </c>
      <c r="D613" s="8">
        <v>45402</v>
      </c>
      <c r="E613" s="9" t="str">
        <f>+HYPERLINK("http://trademark.i-assist.jp/data/china/image_1884th/76479103.pdf", "76479103")</f>
        <v>76479103</v>
      </c>
      <c r="F613" s="6" t="s">
        <v>167</v>
      </c>
      <c r="G613" s="6" t="s">
        <v>1736</v>
      </c>
      <c r="H613" s="8" t="s">
        <v>1737</v>
      </c>
      <c r="I613" s="14">
        <v>45309</v>
      </c>
    </row>
    <row r="614" spans="1:9" x14ac:dyDescent="0.15">
      <c r="A614" s="5">
        <v>613</v>
      </c>
      <c r="B614" s="6" t="s">
        <v>9</v>
      </c>
      <c r="C614" s="7">
        <v>1884</v>
      </c>
      <c r="D614" s="8">
        <v>45402</v>
      </c>
      <c r="E614" s="9" t="str">
        <f>+HYPERLINK("http://trademark.i-assist.jp/data/china/image_1884th/76480077.pdf", "76480077")</f>
        <v>76480077</v>
      </c>
      <c r="F614" s="6" t="s">
        <v>1739</v>
      </c>
      <c r="G614" s="6" t="s">
        <v>1738</v>
      </c>
      <c r="H614" s="8" t="s">
        <v>1740</v>
      </c>
      <c r="I614" s="14">
        <v>45310</v>
      </c>
    </row>
    <row r="615" spans="1:9" x14ac:dyDescent="0.15">
      <c r="A615" s="5">
        <v>614</v>
      </c>
      <c r="B615" s="6" t="s">
        <v>9</v>
      </c>
      <c r="C615" s="7">
        <v>1884</v>
      </c>
      <c r="D615" s="8">
        <v>45402</v>
      </c>
      <c r="E615" s="9" t="str">
        <f>+HYPERLINK("http://trademark.i-assist.jp/data/china/image_1884th/76481127.pdf", "76481127")</f>
        <v>76481127</v>
      </c>
      <c r="F615" s="6" t="s">
        <v>1742</v>
      </c>
      <c r="G615" s="6" t="s">
        <v>1741</v>
      </c>
      <c r="H615" s="8" t="s">
        <v>1743</v>
      </c>
      <c r="I615" s="14">
        <v>45309</v>
      </c>
    </row>
    <row r="616" spans="1:9" x14ac:dyDescent="0.15">
      <c r="A616" s="5">
        <v>615</v>
      </c>
      <c r="B616" s="6" t="s">
        <v>9</v>
      </c>
      <c r="C616" s="7">
        <v>1884</v>
      </c>
      <c r="D616" s="8">
        <v>45402</v>
      </c>
      <c r="E616" s="9" t="str">
        <f>+HYPERLINK("http://trademark.i-assist.jp/data/china/image_1884th/76481166.pdf", "76481166")</f>
        <v>76481166</v>
      </c>
      <c r="F616" s="6" t="s">
        <v>1745</v>
      </c>
      <c r="G616" s="6" t="s">
        <v>1744</v>
      </c>
      <c r="H616" s="8" t="s">
        <v>1746</v>
      </c>
      <c r="I616" s="14">
        <v>45309</v>
      </c>
    </row>
    <row r="617" spans="1:9" x14ac:dyDescent="0.15">
      <c r="A617" s="5">
        <v>616</v>
      </c>
      <c r="B617" s="6" t="s">
        <v>9</v>
      </c>
      <c r="C617" s="7">
        <v>1884</v>
      </c>
      <c r="D617" s="8">
        <v>45402</v>
      </c>
      <c r="E617" s="9" t="str">
        <f>+HYPERLINK("http://trademark.i-assist.jp/data/china/image_1884th/76481222.pdf", "76481222")</f>
        <v>76481222</v>
      </c>
      <c r="F617" s="6" t="s">
        <v>1748</v>
      </c>
      <c r="G617" s="6" t="s">
        <v>1747</v>
      </c>
      <c r="H617" s="8" t="s">
        <v>1749</v>
      </c>
      <c r="I617" s="14">
        <v>45309</v>
      </c>
    </row>
    <row r="618" spans="1:9" x14ac:dyDescent="0.15">
      <c r="A618" s="5">
        <v>617</v>
      </c>
      <c r="B618" s="6" t="s">
        <v>9</v>
      </c>
      <c r="C618" s="7">
        <v>1884</v>
      </c>
      <c r="D618" s="8">
        <v>45402</v>
      </c>
      <c r="E618" s="9" t="str">
        <f>+HYPERLINK("http://trademark.i-assist.jp/data/china/image_1884th/76481536.pdf", "76481536")</f>
        <v>76481536</v>
      </c>
      <c r="F618" s="6" t="s">
        <v>1751</v>
      </c>
      <c r="G618" s="6" t="s">
        <v>1750</v>
      </c>
      <c r="H618" s="8" t="s">
        <v>1752</v>
      </c>
      <c r="I618" s="14">
        <v>45309</v>
      </c>
    </row>
    <row r="619" spans="1:9" x14ac:dyDescent="0.15">
      <c r="A619" s="5">
        <v>618</v>
      </c>
      <c r="B619" s="6" t="s">
        <v>9</v>
      </c>
      <c r="C619" s="7">
        <v>1884</v>
      </c>
      <c r="D619" s="8">
        <v>45402</v>
      </c>
      <c r="E619" s="9" t="str">
        <f>+HYPERLINK("http://trademark.i-assist.jp/data/china/image_1884th/76481702.pdf", "76481702")</f>
        <v>76481702</v>
      </c>
      <c r="F619" s="6" t="s">
        <v>1754</v>
      </c>
      <c r="G619" s="6" t="s">
        <v>1753</v>
      </c>
      <c r="H619" s="8" t="s">
        <v>1755</v>
      </c>
      <c r="I619" s="14">
        <v>45310</v>
      </c>
    </row>
    <row r="620" spans="1:9" x14ac:dyDescent="0.15">
      <c r="A620" s="5">
        <v>619</v>
      </c>
      <c r="B620" s="6" t="s">
        <v>9</v>
      </c>
      <c r="C620" s="7">
        <v>1884</v>
      </c>
      <c r="D620" s="8">
        <v>45402</v>
      </c>
      <c r="E620" s="9" t="str">
        <f>+HYPERLINK("http://trademark.i-assist.jp/data/china/image_1884th/76482009.pdf", "76482009")</f>
        <v>76482009</v>
      </c>
      <c r="F620" s="6" t="s">
        <v>1757</v>
      </c>
      <c r="G620" s="6" t="s">
        <v>1756</v>
      </c>
      <c r="H620" s="8" t="s">
        <v>1758</v>
      </c>
      <c r="I620" s="14">
        <v>45309</v>
      </c>
    </row>
    <row r="621" spans="1:9" x14ac:dyDescent="0.15">
      <c r="A621" s="5">
        <v>620</v>
      </c>
      <c r="B621" s="6" t="s">
        <v>9</v>
      </c>
      <c r="C621" s="7">
        <v>1884</v>
      </c>
      <c r="D621" s="8">
        <v>45402</v>
      </c>
      <c r="E621" s="9" t="str">
        <f>+HYPERLINK("http://trademark.i-assist.jp/data/china/image_1884th/76482337.pdf", "76482337")</f>
        <v>76482337</v>
      </c>
      <c r="F621" s="6" t="s">
        <v>1760</v>
      </c>
      <c r="G621" s="6" t="s">
        <v>1759</v>
      </c>
      <c r="H621" s="8" t="s">
        <v>1761</v>
      </c>
      <c r="I621" s="14">
        <v>45309</v>
      </c>
    </row>
    <row r="622" spans="1:9" x14ac:dyDescent="0.15">
      <c r="A622" s="5">
        <v>621</v>
      </c>
      <c r="B622" s="6" t="s">
        <v>9</v>
      </c>
      <c r="C622" s="7">
        <v>1884</v>
      </c>
      <c r="D622" s="8">
        <v>45402</v>
      </c>
      <c r="E622" s="9" t="str">
        <f>+HYPERLINK("http://trademark.i-assist.jp/data/china/image_1884th/76482624.pdf", "76482624")</f>
        <v>76482624</v>
      </c>
      <c r="F622" s="6" t="s">
        <v>167</v>
      </c>
      <c r="G622" s="6" t="s">
        <v>1762</v>
      </c>
      <c r="H622" s="8" t="s">
        <v>1763</v>
      </c>
      <c r="I622" s="14">
        <v>45310</v>
      </c>
    </row>
    <row r="623" spans="1:9" x14ac:dyDescent="0.15">
      <c r="A623" s="5">
        <v>622</v>
      </c>
      <c r="B623" s="6" t="s">
        <v>9</v>
      </c>
      <c r="C623" s="7">
        <v>1884</v>
      </c>
      <c r="D623" s="8">
        <v>45402</v>
      </c>
      <c r="E623" s="9" t="str">
        <f>+HYPERLINK("http://trademark.i-assist.jp/data/china/image_1884th/76482831.pdf", "76482831")</f>
        <v>76482831</v>
      </c>
      <c r="F623" s="6" t="s">
        <v>1764</v>
      </c>
      <c r="G623" s="6" t="s">
        <v>1683</v>
      </c>
      <c r="H623" s="8" t="s">
        <v>1765</v>
      </c>
      <c r="I623" s="14">
        <v>45310</v>
      </c>
    </row>
    <row r="624" spans="1:9" x14ac:dyDescent="0.15">
      <c r="A624" s="5">
        <v>623</v>
      </c>
      <c r="B624" s="6" t="s">
        <v>9</v>
      </c>
      <c r="C624" s="7">
        <v>1884</v>
      </c>
      <c r="D624" s="8">
        <v>45402</v>
      </c>
      <c r="E624" s="9" t="str">
        <f>+HYPERLINK("http://trademark.i-assist.jp/data/china/image_1884th/76483247.pdf", "76483247")</f>
        <v>76483247</v>
      </c>
      <c r="F624" s="6" t="s">
        <v>1766</v>
      </c>
      <c r="G624" s="6" t="s">
        <v>1683</v>
      </c>
      <c r="H624" s="8" t="s">
        <v>1767</v>
      </c>
      <c r="I624" s="14">
        <v>45310</v>
      </c>
    </row>
    <row r="625" spans="1:9" x14ac:dyDescent="0.15">
      <c r="A625" s="5">
        <v>624</v>
      </c>
      <c r="B625" s="6" t="s">
        <v>9</v>
      </c>
      <c r="C625" s="7">
        <v>1884</v>
      </c>
      <c r="D625" s="8">
        <v>45402</v>
      </c>
      <c r="E625" s="9" t="str">
        <f>+HYPERLINK("http://trademark.i-assist.jp/data/china/image_1884th/76484685.pdf", "76484685")</f>
        <v>76484685</v>
      </c>
      <c r="F625" s="6" t="s">
        <v>1769</v>
      </c>
      <c r="G625" s="6" t="s">
        <v>1768</v>
      </c>
      <c r="H625" s="8" t="s">
        <v>1770</v>
      </c>
      <c r="I625" s="14">
        <v>45309</v>
      </c>
    </row>
    <row r="626" spans="1:9" x14ac:dyDescent="0.15">
      <c r="A626" s="5">
        <v>625</v>
      </c>
      <c r="B626" s="6" t="s">
        <v>9</v>
      </c>
      <c r="C626" s="7">
        <v>1884</v>
      </c>
      <c r="D626" s="8">
        <v>45402</v>
      </c>
      <c r="E626" s="9" t="str">
        <f>+HYPERLINK("http://trademark.i-assist.jp/data/china/image_1884th/76484882.pdf", "76484882")</f>
        <v>76484882</v>
      </c>
      <c r="F626" s="6" t="s">
        <v>167</v>
      </c>
      <c r="G626" s="6" t="s">
        <v>1771</v>
      </c>
      <c r="H626" s="8" t="s">
        <v>1772</v>
      </c>
      <c r="I626" s="14">
        <v>45309</v>
      </c>
    </row>
    <row r="627" spans="1:9" x14ac:dyDescent="0.15">
      <c r="A627" s="5">
        <v>626</v>
      </c>
      <c r="B627" s="6" t="s">
        <v>9</v>
      </c>
      <c r="C627" s="7">
        <v>1884</v>
      </c>
      <c r="D627" s="8">
        <v>45402</v>
      </c>
      <c r="E627" s="9" t="str">
        <f>+HYPERLINK("http://trademark.i-assist.jp/data/china/image_1884th/76485104.pdf", "76485104")</f>
        <v>76485104</v>
      </c>
      <c r="F627" s="6" t="s">
        <v>1774</v>
      </c>
      <c r="G627" s="6" t="s">
        <v>1773</v>
      </c>
      <c r="H627" s="8" t="s">
        <v>1775</v>
      </c>
      <c r="I627" s="14">
        <v>45310</v>
      </c>
    </row>
    <row r="628" spans="1:9" x14ac:dyDescent="0.15">
      <c r="A628" s="5">
        <v>627</v>
      </c>
      <c r="B628" s="6" t="s">
        <v>9</v>
      </c>
      <c r="C628" s="7">
        <v>1884</v>
      </c>
      <c r="D628" s="8">
        <v>45402</v>
      </c>
      <c r="E628" s="9" t="str">
        <f>+HYPERLINK("http://trademark.i-assist.jp/data/china/image_1884th/76485358.pdf", "76485358")</f>
        <v>76485358</v>
      </c>
      <c r="F628" s="6" t="s">
        <v>167</v>
      </c>
      <c r="G628" s="6" t="s">
        <v>1776</v>
      </c>
      <c r="H628" s="8" t="s">
        <v>1777</v>
      </c>
      <c r="I628" s="14">
        <v>45310</v>
      </c>
    </row>
    <row r="629" spans="1:9" x14ac:dyDescent="0.15">
      <c r="A629" s="5">
        <v>628</v>
      </c>
      <c r="B629" s="6" t="s">
        <v>9</v>
      </c>
      <c r="C629" s="7">
        <v>1884</v>
      </c>
      <c r="D629" s="8">
        <v>45402</v>
      </c>
      <c r="E629" s="9" t="str">
        <f>+HYPERLINK("http://trademark.i-assist.jp/data/china/image_1884th/76486633.pdf", "76486633")</f>
        <v>76486633</v>
      </c>
      <c r="F629" s="6" t="s">
        <v>1779</v>
      </c>
      <c r="G629" s="6" t="s">
        <v>1778</v>
      </c>
      <c r="H629" s="8" t="s">
        <v>1780</v>
      </c>
      <c r="I629" s="14">
        <v>45310</v>
      </c>
    </row>
    <row r="630" spans="1:9" x14ac:dyDescent="0.15">
      <c r="A630" s="5">
        <v>629</v>
      </c>
      <c r="B630" s="6" t="s">
        <v>9</v>
      </c>
      <c r="C630" s="7">
        <v>1884</v>
      </c>
      <c r="D630" s="8">
        <v>45402</v>
      </c>
      <c r="E630" s="9" t="str">
        <f>+HYPERLINK("http://trademark.i-assist.jp/data/china/image_1884th/76487165.pdf", "76487165")</f>
        <v>76487165</v>
      </c>
      <c r="F630" s="6" t="s">
        <v>1782</v>
      </c>
      <c r="G630" s="6" t="s">
        <v>1781</v>
      </c>
      <c r="H630" s="8" t="s">
        <v>1783</v>
      </c>
      <c r="I630" s="14">
        <v>45310</v>
      </c>
    </row>
    <row r="631" spans="1:9" x14ac:dyDescent="0.15">
      <c r="A631" s="5">
        <v>630</v>
      </c>
      <c r="B631" s="6" t="s">
        <v>9</v>
      </c>
      <c r="C631" s="7">
        <v>1884</v>
      </c>
      <c r="D631" s="8">
        <v>45402</v>
      </c>
      <c r="E631" s="9" t="str">
        <f>+HYPERLINK("http://trademark.i-assist.jp/data/china/image_1884th/76487810.pdf", "76487810")</f>
        <v>76487810</v>
      </c>
      <c r="F631" s="6" t="s">
        <v>1784</v>
      </c>
      <c r="G631" s="6" t="s">
        <v>1660</v>
      </c>
      <c r="H631" s="8" t="s">
        <v>1785</v>
      </c>
      <c r="I631" s="14">
        <v>45310</v>
      </c>
    </row>
    <row r="632" spans="1:9" x14ac:dyDescent="0.15">
      <c r="A632" s="5">
        <v>631</v>
      </c>
      <c r="B632" s="6" t="s">
        <v>9</v>
      </c>
      <c r="C632" s="7">
        <v>1884</v>
      </c>
      <c r="D632" s="8">
        <v>45402</v>
      </c>
      <c r="E632" s="9" t="str">
        <f>+HYPERLINK("http://trademark.i-assist.jp/data/china/image_1884th/76488499.pdf", "76488499")</f>
        <v>76488499</v>
      </c>
      <c r="F632" s="6" t="s">
        <v>1787</v>
      </c>
      <c r="G632" s="6" t="s">
        <v>1786</v>
      </c>
      <c r="H632" s="8" t="s">
        <v>1788</v>
      </c>
      <c r="I632" s="14">
        <v>45310</v>
      </c>
    </row>
    <row r="633" spans="1:9" x14ac:dyDescent="0.15">
      <c r="A633" s="5">
        <v>632</v>
      </c>
      <c r="B633" s="6" t="s">
        <v>9</v>
      </c>
      <c r="C633" s="7">
        <v>1884</v>
      </c>
      <c r="D633" s="8">
        <v>45402</v>
      </c>
      <c r="E633" s="9" t="str">
        <f>+HYPERLINK("http://trademark.i-assist.jp/data/china/image_1884th/76488997.pdf", "76488997")</f>
        <v>76488997</v>
      </c>
      <c r="F633" s="6" t="s">
        <v>1790</v>
      </c>
      <c r="G633" s="6" t="s">
        <v>1789</v>
      </c>
      <c r="H633" s="8" t="s">
        <v>1791</v>
      </c>
      <c r="I633" s="14">
        <v>45310</v>
      </c>
    </row>
    <row r="634" spans="1:9" x14ac:dyDescent="0.15">
      <c r="A634" s="5">
        <v>633</v>
      </c>
      <c r="B634" s="6" t="s">
        <v>9</v>
      </c>
      <c r="C634" s="7">
        <v>1884</v>
      </c>
      <c r="D634" s="8">
        <v>45402</v>
      </c>
      <c r="E634" s="9" t="str">
        <f>+HYPERLINK("http://trademark.i-assist.jp/data/china/image_1884th/76489230.pdf", "76489230")</f>
        <v>76489230</v>
      </c>
      <c r="F634" s="6" t="s">
        <v>1793</v>
      </c>
      <c r="G634" s="6" t="s">
        <v>1792</v>
      </c>
      <c r="H634" s="8" t="s">
        <v>1794</v>
      </c>
      <c r="I634" s="14">
        <v>45310</v>
      </c>
    </row>
    <row r="635" spans="1:9" x14ac:dyDescent="0.15">
      <c r="A635" s="5">
        <v>634</v>
      </c>
      <c r="B635" s="6" t="s">
        <v>9</v>
      </c>
      <c r="C635" s="7">
        <v>1884</v>
      </c>
      <c r="D635" s="8">
        <v>45402</v>
      </c>
      <c r="E635" s="9" t="str">
        <f>+HYPERLINK("http://trademark.i-assist.jp/data/china/image_1884th/76489237.pdf", "76489237")</f>
        <v>76489237</v>
      </c>
      <c r="F635" s="6" t="s">
        <v>1796</v>
      </c>
      <c r="G635" s="6" t="s">
        <v>1795</v>
      </c>
      <c r="H635" s="8" t="s">
        <v>1797</v>
      </c>
      <c r="I635" s="14">
        <v>45310</v>
      </c>
    </row>
    <row r="636" spans="1:9" x14ac:dyDescent="0.15">
      <c r="A636" s="5">
        <v>635</v>
      </c>
      <c r="B636" s="6" t="s">
        <v>9</v>
      </c>
      <c r="C636" s="7">
        <v>1884</v>
      </c>
      <c r="D636" s="8">
        <v>45402</v>
      </c>
      <c r="E636" s="9" t="str">
        <f>+HYPERLINK("http://trademark.i-assist.jp/data/china/image_1884th/76489250.pdf", "76489250")</f>
        <v>76489250</v>
      </c>
      <c r="F636" s="6" t="s">
        <v>1799</v>
      </c>
      <c r="G636" s="6" t="s">
        <v>1798</v>
      </c>
      <c r="H636" s="8" t="s">
        <v>1800</v>
      </c>
      <c r="I636" s="14">
        <v>45310</v>
      </c>
    </row>
    <row r="637" spans="1:9" x14ac:dyDescent="0.15">
      <c r="A637" s="5">
        <v>636</v>
      </c>
      <c r="B637" s="6" t="s">
        <v>9</v>
      </c>
      <c r="C637" s="7">
        <v>1884</v>
      </c>
      <c r="D637" s="8">
        <v>45402</v>
      </c>
      <c r="E637" s="9" t="str">
        <f>+HYPERLINK("http://trademark.i-assist.jp/data/china/image_1884th/76489795.pdf", "76489795")</f>
        <v>76489795</v>
      </c>
      <c r="F637" s="6" t="s">
        <v>1802</v>
      </c>
      <c r="G637" s="6" t="s">
        <v>1801</v>
      </c>
      <c r="H637" s="8" t="s">
        <v>1803</v>
      </c>
      <c r="I637" s="14">
        <v>45310</v>
      </c>
    </row>
    <row r="638" spans="1:9" x14ac:dyDescent="0.15">
      <c r="A638" s="5">
        <v>637</v>
      </c>
      <c r="B638" s="6" t="s">
        <v>9</v>
      </c>
      <c r="C638" s="7">
        <v>1884</v>
      </c>
      <c r="D638" s="8">
        <v>45402</v>
      </c>
      <c r="E638" s="9" t="str">
        <f>+HYPERLINK("http://trademark.i-assist.jp/data/china/image_1884th/76489871.pdf", "76489871")</f>
        <v>76489871</v>
      </c>
      <c r="F638" s="6" t="s">
        <v>1805</v>
      </c>
      <c r="G638" s="6" t="s">
        <v>1804</v>
      </c>
      <c r="H638" s="8" t="s">
        <v>1806</v>
      </c>
      <c r="I638" s="14">
        <v>45310</v>
      </c>
    </row>
    <row r="639" spans="1:9" x14ac:dyDescent="0.15">
      <c r="A639" s="5">
        <v>638</v>
      </c>
      <c r="B639" s="6" t="s">
        <v>9</v>
      </c>
      <c r="C639" s="7">
        <v>1884</v>
      </c>
      <c r="D639" s="8">
        <v>45402</v>
      </c>
      <c r="E639" s="9" t="str">
        <f>+HYPERLINK("http://trademark.i-assist.jp/data/china/image_1884th/76490602.pdf", "76490602")</f>
        <v>76490602</v>
      </c>
      <c r="F639" s="6" t="s">
        <v>1808</v>
      </c>
      <c r="G639" s="6" t="s">
        <v>1807</v>
      </c>
      <c r="H639" s="8" t="s">
        <v>1809</v>
      </c>
      <c r="I639" s="14">
        <v>45310</v>
      </c>
    </row>
    <row r="640" spans="1:9" x14ac:dyDescent="0.15">
      <c r="A640" s="5">
        <v>639</v>
      </c>
      <c r="B640" s="6" t="s">
        <v>9</v>
      </c>
      <c r="C640" s="7">
        <v>1884</v>
      </c>
      <c r="D640" s="8">
        <v>45402</v>
      </c>
      <c r="E640" s="9" t="str">
        <f>+HYPERLINK("http://trademark.i-assist.jp/data/china/image_1884th/76490966.pdf", "76490966")</f>
        <v>76490966</v>
      </c>
      <c r="F640" s="6" t="s">
        <v>1811</v>
      </c>
      <c r="G640" s="6" t="s">
        <v>1810</v>
      </c>
      <c r="H640" s="8" t="s">
        <v>1812</v>
      </c>
      <c r="I640" s="14">
        <v>45309</v>
      </c>
    </row>
    <row r="641" spans="1:9" x14ac:dyDescent="0.15">
      <c r="A641" s="5">
        <v>640</v>
      </c>
      <c r="B641" s="6" t="s">
        <v>9</v>
      </c>
      <c r="C641" s="7">
        <v>1884</v>
      </c>
      <c r="D641" s="8">
        <v>45402</v>
      </c>
      <c r="E641" s="9" t="str">
        <f>+HYPERLINK("http://trademark.i-assist.jp/data/china/image_1884th/76491807.pdf", "76491807")</f>
        <v>76491807</v>
      </c>
      <c r="F641" s="6" t="s">
        <v>1814</v>
      </c>
      <c r="G641" s="6" t="s">
        <v>1813</v>
      </c>
      <c r="H641" s="8" t="s">
        <v>1815</v>
      </c>
      <c r="I641" s="14">
        <v>45309</v>
      </c>
    </row>
    <row r="642" spans="1:9" x14ac:dyDescent="0.15">
      <c r="A642" s="5">
        <v>641</v>
      </c>
      <c r="B642" s="6" t="s">
        <v>9</v>
      </c>
      <c r="C642" s="7">
        <v>1884</v>
      </c>
      <c r="D642" s="8">
        <v>45402</v>
      </c>
      <c r="E642" s="9" t="str">
        <f>+HYPERLINK("http://trademark.i-assist.jp/data/china/image_1884th/76492791.pdf", "76492791")</f>
        <v>76492791</v>
      </c>
      <c r="F642" s="6" t="s">
        <v>1817</v>
      </c>
      <c r="G642" s="6" t="s">
        <v>1816</v>
      </c>
      <c r="H642" s="8" t="s">
        <v>1818</v>
      </c>
      <c r="I642" s="14">
        <v>45309</v>
      </c>
    </row>
    <row r="643" spans="1:9" x14ac:dyDescent="0.15">
      <c r="A643" s="5">
        <v>642</v>
      </c>
      <c r="B643" s="6" t="s">
        <v>9</v>
      </c>
      <c r="C643" s="7">
        <v>1884</v>
      </c>
      <c r="D643" s="8">
        <v>45402</v>
      </c>
      <c r="E643" s="9" t="str">
        <f>+HYPERLINK("http://trademark.i-assist.jp/data/china/image_1884th/76492970.pdf", "76492970")</f>
        <v>76492970</v>
      </c>
      <c r="F643" s="6" t="s">
        <v>1820</v>
      </c>
      <c r="G643" s="6" t="s">
        <v>1819</v>
      </c>
      <c r="H643" s="8" t="s">
        <v>1821</v>
      </c>
      <c r="I643" s="14">
        <v>45310</v>
      </c>
    </row>
    <row r="644" spans="1:9" x14ac:dyDescent="0.15">
      <c r="A644" s="5">
        <v>643</v>
      </c>
      <c r="B644" s="6" t="s">
        <v>9</v>
      </c>
      <c r="C644" s="7">
        <v>1884</v>
      </c>
      <c r="D644" s="8">
        <v>45402</v>
      </c>
      <c r="E644" s="9" t="str">
        <f>+HYPERLINK("http://trademark.i-assist.jp/data/china/image_1884th/76493060.pdf", "76493060")</f>
        <v>76493060</v>
      </c>
      <c r="F644" s="6" t="s">
        <v>1823</v>
      </c>
      <c r="G644" s="6" t="s">
        <v>1822</v>
      </c>
      <c r="H644" s="8" t="s">
        <v>1824</v>
      </c>
      <c r="I644" s="14">
        <v>45311</v>
      </c>
    </row>
    <row r="645" spans="1:9" x14ac:dyDescent="0.15">
      <c r="A645" s="5">
        <v>644</v>
      </c>
      <c r="B645" s="6" t="s">
        <v>9</v>
      </c>
      <c r="C645" s="7">
        <v>1884</v>
      </c>
      <c r="D645" s="8">
        <v>45402</v>
      </c>
      <c r="E645" s="9" t="str">
        <f>+HYPERLINK("http://trademark.i-assist.jp/data/china/image_1884th/76493410.pdf", "76493410")</f>
        <v>76493410</v>
      </c>
      <c r="F645" s="6" t="s">
        <v>1826</v>
      </c>
      <c r="G645" s="6" t="s">
        <v>1825</v>
      </c>
      <c r="H645" s="8" t="s">
        <v>1827</v>
      </c>
      <c r="I645" s="14">
        <v>45310</v>
      </c>
    </row>
    <row r="646" spans="1:9" x14ac:dyDescent="0.15">
      <c r="A646" s="5">
        <v>645</v>
      </c>
      <c r="B646" s="6" t="s">
        <v>9</v>
      </c>
      <c r="C646" s="7">
        <v>1884</v>
      </c>
      <c r="D646" s="8">
        <v>45402</v>
      </c>
      <c r="E646" s="9" t="str">
        <f>+HYPERLINK("http://trademark.i-assist.jp/data/china/image_1884th/76493686.pdf", "76493686")</f>
        <v>76493686</v>
      </c>
      <c r="F646" s="6" t="s">
        <v>1829</v>
      </c>
      <c r="G646" s="6" t="s">
        <v>1828</v>
      </c>
      <c r="H646" s="8" t="s">
        <v>1830</v>
      </c>
      <c r="I646" s="14">
        <v>45310</v>
      </c>
    </row>
    <row r="647" spans="1:9" x14ac:dyDescent="0.15">
      <c r="A647" s="5">
        <v>646</v>
      </c>
      <c r="B647" s="6" t="s">
        <v>9</v>
      </c>
      <c r="C647" s="7">
        <v>1884</v>
      </c>
      <c r="D647" s="8">
        <v>45402</v>
      </c>
      <c r="E647" s="9" t="str">
        <f>+HYPERLINK("http://trademark.i-assist.jp/data/china/image_1884th/76494061.pdf", "76494061")</f>
        <v>76494061</v>
      </c>
      <c r="F647" s="6" t="s">
        <v>1832</v>
      </c>
      <c r="G647" s="6" t="s">
        <v>1831</v>
      </c>
      <c r="H647" s="8" t="s">
        <v>1833</v>
      </c>
      <c r="I647" s="14">
        <v>45310</v>
      </c>
    </row>
    <row r="648" spans="1:9" x14ac:dyDescent="0.15">
      <c r="A648" s="5">
        <v>647</v>
      </c>
      <c r="B648" s="6" t="s">
        <v>9</v>
      </c>
      <c r="C648" s="7">
        <v>1884</v>
      </c>
      <c r="D648" s="8">
        <v>45402</v>
      </c>
      <c r="E648" s="9" t="str">
        <f>+HYPERLINK("http://trademark.i-assist.jp/data/china/image_1884th/76494343.pdf", "76494343")</f>
        <v>76494343</v>
      </c>
      <c r="F648" s="6" t="s">
        <v>1835</v>
      </c>
      <c r="G648" s="6" t="s">
        <v>1834</v>
      </c>
      <c r="H648" s="8" t="s">
        <v>1836</v>
      </c>
      <c r="I648" s="14">
        <v>45311</v>
      </c>
    </row>
    <row r="649" spans="1:9" x14ac:dyDescent="0.15">
      <c r="A649" s="5">
        <v>648</v>
      </c>
      <c r="B649" s="6" t="s">
        <v>9</v>
      </c>
      <c r="C649" s="7">
        <v>1884</v>
      </c>
      <c r="D649" s="8">
        <v>45402</v>
      </c>
      <c r="E649" s="9" t="str">
        <f>+HYPERLINK("http://trademark.i-assist.jp/data/china/image_1884th/76494943.pdf", "76494943")</f>
        <v>76494943</v>
      </c>
      <c r="F649" s="6" t="s">
        <v>1837</v>
      </c>
      <c r="G649" s="6" t="s">
        <v>1786</v>
      </c>
      <c r="H649" s="8" t="s">
        <v>1838</v>
      </c>
      <c r="I649" s="14">
        <v>45310</v>
      </c>
    </row>
    <row r="650" spans="1:9" x14ac:dyDescent="0.15">
      <c r="A650" s="5">
        <v>649</v>
      </c>
      <c r="B650" s="6" t="s">
        <v>9</v>
      </c>
      <c r="C650" s="7">
        <v>1884</v>
      </c>
      <c r="D650" s="8">
        <v>45402</v>
      </c>
      <c r="E650" s="9" t="str">
        <f>+HYPERLINK("http://trademark.i-assist.jp/data/china/image_1884th/76495021.pdf", "76495021")</f>
        <v>76495021</v>
      </c>
      <c r="F650" s="6" t="s">
        <v>1839</v>
      </c>
      <c r="G650" s="6" t="s">
        <v>29</v>
      </c>
      <c r="H650" s="8" t="s">
        <v>1840</v>
      </c>
      <c r="I650" s="14">
        <v>45310</v>
      </c>
    </row>
    <row r="651" spans="1:9" x14ac:dyDescent="0.15">
      <c r="A651" s="5">
        <v>650</v>
      </c>
      <c r="B651" s="6" t="s">
        <v>9</v>
      </c>
      <c r="C651" s="7">
        <v>1884</v>
      </c>
      <c r="D651" s="8">
        <v>45402</v>
      </c>
      <c r="E651" s="9" t="str">
        <f>+HYPERLINK("http://trademark.i-assist.jp/data/china/image_1884th/76495059.pdf", "76495059")</f>
        <v>76495059</v>
      </c>
      <c r="F651" s="6" t="s">
        <v>1842</v>
      </c>
      <c r="G651" s="6" t="s">
        <v>1841</v>
      </c>
      <c r="H651" s="8" t="s">
        <v>1843</v>
      </c>
      <c r="I651" s="14">
        <v>45310</v>
      </c>
    </row>
    <row r="652" spans="1:9" x14ac:dyDescent="0.15">
      <c r="A652" s="5">
        <v>651</v>
      </c>
      <c r="B652" s="6" t="s">
        <v>9</v>
      </c>
      <c r="C652" s="7">
        <v>1884</v>
      </c>
      <c r="D652" s="8">
        <v>45402</v>
      </c>
      <c r="E652" s="9" t="str">
        <f>+HYPERLINK("http://trademark.i-assist.jp/data/china/image_1884th/76495994.pdf", "76495994")</f>
        <v>76495994</v>
      </c>
      <c r="F652" s="6" t="s">
        <v>1845</v>
      </c>
      <c r="G652" s="6" t="s">
        <v>1844</v>
      </c>
      <c r="H652" s="8" t="s">
        <v>1846</v>
      </c>
      <c r="I652" s="14">
        <v>45309</v>
      </c>
    </row>
    <row r="653" spans="1:9" x14ac:dyDescent="0.15">
      <c r="A653" s="5">
        <v>652</v>
      </c>
      <c r="B653" s="6" t="s">
        <v>9</v>
      </c>
      <c r="C653" s="7">
        <v>1884</v>
      </c>
      <c r="D653" s="8">
        <v>45402</v>
      </c>
      <c r="E653" s="9" t="str">
        <f>+HYPERLINK("http://trademark.i-assist.jp/data/china/image_1884th/76496243.pdf", "76496243")</f>
        <v>76496243</v>
      </c>
      <c r="F653" s="6" t="s">
        <v>1848</v>
      </c>
      <c r="G653" s="6" t="s">
        <v>1847</v>
      </c>
      <c r="H653" s="8" t="s">
        <v>1849</v>
      </c>
      <c r="I653" s="14">
        <v>45309</v>
      </c>
    </row>
    <row r="654" spans="1:9" x14ac:dyDescent="0.15">
      <c r="A654" s="5">
        <v>653</v>
      </c>
      <c r="B654" s="6" t="s">
        <v>9</v>
      </c>
      <c r="C654" s="7">
        <v>1884</v>
      </c>
      <c r="D654" s="8">
        <v>45402</v>
      </c>
      <c r="E654" s="9" t="str">
        <f>+HYPERLINK("http://trademark.i-assist.jp/data/china/image_1884th/76496561.pdf", "76496561")</f>
        <v>76496561</v>
      </c>
      <c r="F654" s="6" t="s">
        <v>1851</v>
      </c>
      <c r="G654" s="6" t="s">
        <v>1850</v>
      </c>
      <c r="H654" s="8" t="s">
        <v>1852</v>
      </c>
      <c r="I654" s="14">
        <v>45310</v>
      </c>
    </row>
    <row r="655" spans="1:9" x14ac:dyDescent="0.15">
      <c r="A655" s="5">
        <v>654</v>
      </c>
      <c r="B655" s="6" t="s">
        <v>9</v>
      </c>
      <c r="C655" s="7">
        <v>1884</v>
      </c>
      <c r="D655" s="8">
        <v>45402</v>
      </c>
      <c r="E655" s="9" t="str">
        <f>+HYPERLINK("http://trademark.i-assist.jp/data/china/image_1884th/76496656.pdf", "76496656")</f>
        <v>76496656</v>
      </c>
      <c r="F655" s="6" t="s">
        <v>1854</v>
      </c>
      <c r="G655" s="6" t="s">
        <v>1853</v>
      </c>
      <c r="H655" s="8" t="s">
        <v>1855</v>
      </c>
      <c r="I655" s="14">
        <v>45310</v>
      </c>
    </row>
    <row r="656" spans="1:9" x14ac:dyDescent="0.15">
      <c r="A656" s="5">
        <v>655</v>
      </c>
      <c r="B656" s="6" t="s">
        <v>9</v>
      </c>
      <c r="C656" s="7">
        <v>1884</v>
      </c>
      <c r="D656" s="8">
        <v>45402</v>
      </c>
      <c r="E656" s="9" t="str">
        <f>+HYPERLINK("http://trademark.i-assist.jp/data/china/image_1884th/76496978.pdf", "76496978")</f>
        <v>76496978</v>
      </c>
      <c r="F656" s="6" t="s">
        <v>1857</v>
      </c>
      <c r="G656" s="6" t="s">
        <v>1856</v>
      </c>
      <c r="H656" s="8" t="s">
        <v>1858</v>
      </c>
      <c r="I656" s="14">
        <v>45309</v>
      </c>
    </row>
    <row r="657" spans="1:9" x14ac:dyDescent="0.15">
      <c r="A657" s="5">
        <v>656</v>
      </c>
      <c r="B657" s="6" t="s">
        <v>9</v>
      </c>
      <c r="C657" s="7">
        <v>1884</v>
      </c>
      <c r="D657" s="8">
        <v>45402</v>
      </c>
      <c r="E657" s="9" t="str">
        <f>+HYPERLINK("http://trademark.i-assist.jp/data/china/image_1884th/76497480.pdf", "76497480")</f>
        <v>76497480</v>
      </c>
      <c r="F657" s="6" t="s">
        <v>1859</v>
      </c>
      <c r="G657" s="6" t="s">
        <v>1798</v>
      </c>
      <c r="H657" s="8" t="s">
        <v>1860</v>
      </c>
      <c r="I657" s="14">
        <v>45310</v>
      </c>
    </row>
    <row r="658" spans="1:9" x14ac:dyDescent="0.15">
      <c r="A658" s="5">
        <v>657</v>
      </c>
      <c r="B658" s="6" t="s">
        <v>9</v>
      </c>
      <c r="C658" s="7">
        <v>1884</v>
      </c>
      <c r="D658" s="8">
        <v>45402</v>
      </c>
      <c r="E658" s="9" t="str">
        <f>+HYPERLINK("http://trademark.i-assist.jp/data/china/image_1884th/76497562.pdf", "76497562")</f>
        <v>76497562</v>
      </c>
      <c r="F658" s="6" t="s">
        <v>1862</v>
      </c>
      <c r="G658" s="6" t="s">
        <v>1861</v>
      </c>
      <c r="H658" s="8" t="s">
        <v>1863</v>
      </c>
      <c r="I658" s="14">
        <v>45310</v>
      </c>
    </row>
    <row r="659" spans="1:9" x14ac:dyDescent="0.15">
      <c r="A659" s="5">
        <v>658</v>
      </c>
      <c r="B659" s="6" t="s">
        <v>9</v>
      </c>
      <c r="C659" s="7">
        <v>1884</v>
      </c>
      <c r="D659" s="8">
        <v>45402</v>
      </c>
      <c r="E659" s="9" t="str">
        <f>+HYPERLINK("http://trademark.i-assist.jp/data/china/image_1884th/76498183.pdf", "76498183")</f>
        <v>76498183</v>
      </c>
      <c r="F659" s="6" t="s">
        <v>1865</v>
      </c>
      <c r="G659" s="6" t="s">
        <v>1864</v>
      </c>
      <c r="H659" s="8" t="s">
        <v>1866</v>
      </c>
      <c r="I659" s="14">
        <v>45310</v>
      </c>
    </row>
    <row r="660" spans="1:9" x14ac:dyDescent="0.15">
      <c r="A660" s="5">
        <v>659</v>
      </c>
      <c r="B660" s="6" t="s">
        <v>9</v>
      </c>
      <c r="C660" s="7">
        <v>1884</v>
      </c>
      <c r="D660" s="8">
        <v>45402</v>
      </c>
      <c r="E660" s="9" t="str">
        <f>+HYPERLINK("http://trademark.i-assist.jp/data/china/image_1884th/76498964.pdf", "76498964")</f>
        <v>76498964</v>
      </c>
      <c r="F660" s="6" t="s">
        <v>1868</v>
      </c>
      <c r="G660" s="6" t="s">
        <v>1867</v>
      </c>
      <c r="H660" s="8" t="s">
        <v>1869</v>
      </c>
      <c r="I660" s="14">
        <v>45310</v>
      </c>
    </row>
    <row r="661" spans="1:9" x14ac:dyDescent="0.15">
      <c r="A661" s="5">
        <v>660</v>
      </c>
      <c r="B661" s="6" t="s">
        <v>9</v>
      </c>
      <c r="C661" s="7">
        <v>1884</v>
      </c>
      <c r="D661" s="8">
        <v>45402</v>
      </c>
      <c r="E661" s="9" t="str">
        <f>+HYPERLINK("http://trademark.i-assist.jp/data/china/image_1884th/76498965.pdf", "76498965")</f>
        <v>76498965</v>
      </c>
      <c r="F661" s="6" t="s">
        <v>1871</v>
      </c>
      <c r="G661" s="6" t="s">
        <v>1870</v>
      </c>
      <c r="H661" s="8" t="s">
        <v>1872</v>
      </c>
      <c r="I661" s="14">
        <v>45310</v>
      </c>
    </row>
    <row r="662" spans="1:9" x14ac:dyDescent="0.15">
      <c r="A662" s="5">
        <v>661</v>
      </c>
      <c r="B662" s="6" t="s">
        <v>9</v>
      </c>
      <c r="C662" s="7">
        <v>1884</v>
      </c>
      <c r="D662" s="8">
        <v>45402</v>
      </c>
      <c r="E662" s="9" t="str">
        <f>+HYPERLINK("http://trademark.i-assist.jp/data/china/image_1884th/76499080.pdf", "76499080")</f>
        <v>76499080</v>
      </c>
      <c r="F662" s="6" t="s">
        <v>1873</v>
      </c>
      <c r="G662" s="6" t="s">
        <v>1844</v>
      </c>
      <c r="H662" s="8" t="s">
        <v>1846</v>
      </c>
      <c r="I662" s="14">
        <v>45309</v>
      </c>
    </row>
    <row r="663" spans="1:9" x14ac:dyDescent="0.15">
      <c r="A663" s="5">
        <v>662</v>
      </c>
      <c r="B663" s="6" t="s">
        <v>9</v>
      </c>
      <c r="C663" s="7">
        <v>1884</v>
      </c>
      <c r="D663" s="8">
        <v>45402</v>
      </c>
      <c r="E663" s="9" t="str">
        <f>+HYPERLINK("http://trademark.i-assist.jp/data/china/image_1884th/76499112.pdf", "76499112")</f>
        <v>76499112</v>
      </c>
      <c r="F663" s="6" t="s">
        <v>1875</v>
      </c>
      <c r="G663" s="6" t="s">
        <v>1874</v>
      </c>
      <c r="H663" s="8" t="s">
        <v>1876</v>
      </c>
      <c r="I663" s="14">
        <v>45309</v>
      </c>
    </row>
    <row r="664" spans="1:9" x14ac:dyDescent="0.15">
      <c r="A664" s="5">
        <v>663</v>
      </c>
      <c r="B664" s="6" t="s">
        <v>9</v>
      </c>
      <c r="C664" s="7">
        <v>1884</v>
      </c>
      <c r="D664" s="8">
        <v>45402</v>
      </c>
      <c r="E664" s="9" t="str">
        <f>+HYPERLINK("http://trademark.i-assist.jp/data/china/image_1884th/76499809.pdf", "76499809")</f>
        <v>76499809</v>
      </c>
      <c r="F664" s="6" t="s">
        <v>1877</v>
      </c>
      <c r="G664" s="6" t="s">
        <v>927</v>
      </c>
      <c r="H664" s="8" t="s">
        <v>1840</v>
      </c>
      <c r="I664" s="14">
        <v>45310</v>
      </c>
    </row>
    <row r="665" spans="1:9" x14ac:dyDescent="0.15">
      <c r="A665" s="5">
        <v>664</v>
      </c>
      <c r="B665" s="6" t="s">
        <v>9</v>
      </c>
      <c r="C665" s="7">
        <v>1884</v>
      </c>
      <c r="D665" s="8">
        <v>45402</v>
      </c>
      <c r="E665" s="9" t="str">
        <f>+HYPERLINK("http://trademark.i-assist.jp/data/china/image_1884th/76500182.pdf", "76500182")</f>
        <v>76500182</v>
      </c>
      <c r="F665" s="6" t="s">
        <v>1878</v>
      </c>
      <c r="G665" s="6" t="s">
        <v>1789</v>
      </c>
      <c r="H665" s="8" t="s">
        <v>1879</v>
      </c>
      <c r="I665" s="14">
        <v>45310</v>
      </c>
    </row>
    <row r="666" spans="1:9" x14ac:dyDescent="0.15">
      <c r="A666" s="5">
        <v>665</v>
      </c>
      <c r="B666" s="6" t="s">
        <v>9</v>
      </c>
      <c r="C666" s="7">
        <v>1884</v>
      </c>
      <c r="D666" s="8">
        <v>45402</v>
      </c>
      <c r="E666" s="9" t="str">
        <f>+HYPERLINK("http://trademark.i-assist.jp/data/china/image_1884th/76500277.pdf", "76500277")</f>
        <v>76500277</v>
      </c>
      <c r="F666" s="6" t="s">
        <v>1881</v>
      </c>
      <c r="G666" s="6" t="s">
        <v>1880</v>
      </c>
      <c r="H666" s="8" t="s">
        <v>1882</v>
      </c>
      <c r="I666" s="14">
        <v>45309</v>
      </c>
    </row>
    <row r="667" spans="1:9" x14ac:dyDescent="0.15">
      <c r="A667" s="5">
        <v>666</v>
      </c>
      <c r="B667" s="6" t="s">
        <v>9</v>
      </c>
      <c r="C667" s="7">
        <v>1884</v>
      </c>
      <c r="D667" s="8">
        <v>45402</v>
      </c>
      <c r="E667" s="9" t="str">
        <f>+HYPERLINK("http://trademark.i-assist.jp/data/china/image_1884th/76501878.pdf", "76501878")</f>
        <v>76501878</v>
      </c>
      <c r="F667" s="6" t="s">
        <v>1884</v>
      </c>
      <c r="G667" s="6" t="s">
        <v>1883</v>
      </c>
      <c r="H667" s="8" t="s">
        <v>1885</v>
      </c>
      <c r="I667" s="14">
        <v>45310</v>
      </c>
    </row>
    <row r="668" spans="1:9" x14ac:dyDescent="0.15">
      <c r="A668" s="5">
        <v>667</v>
      </c>
      <c r="B668" s="6" t="s">
        <v>9</v>
      </c>
      <c r="C668" s="7">
        <v>1884</v>
      </c>
      <c r="D668" s="8">
        <v>45402</v>
      </c>
      <c r="E668" s="9" t="str">
        <f>+HYPERLINK("http://trademark.i-assist.jp/data/china/image_1884th/76503209.pdf", "76503209")</f>
        <v>76503209</v>
      </c>
      <c r="F668" s="6" t="s">
        <v>1887</v>
      </c>
      <c r="G668" s="6" t="s">
        <v>1886</v>
      </c>
      <c r="H668" s="8" t="s">
        <v>1888</v>
      </c>
      <c r="I668" s="14">
        <v>45309</v>
      </c>
    </row>
    <row r="669" spans="1:9" x14ac:dyDescent="0.15">
      <c r="A669" s="5">
        <v>668</v>
      </c>
      <c r="B669" s="6" t="s">
        <v>9</v>
      </c>
      <c r="C669" s="7">
        <v>1884</v>
      </c>
      <c r="D669" s="8">
        <v>45402</v>
      </c>
      <c r="E669" s="9" t="str">
        <f>+HYPERLINK("http://trademark.i-assist.jp/data/china/image_1884th/76503554.pdf", "76503554")</f>
        <v>76503554</v>
      </c>
      <c r="F669" s="6" t="s">
        <v>1890</v>
      </c>
      <c r="G669" s="6" t="s">
        <v>1889</v>
      </c>
      <c r="H669" s="8" t="s">
        <v>1891</v>
      </c>
      <c r="I669" s="14">
        <v>45310</v>
      </c>
    </row>
    <row r="670" spans="1:9" x14ac:dyDescent="0.15">
      <c r="A670" s="5">
        <v>669</v>
      </c>
      <c r="B670" s="6" t="s">
        <v>9</v>
      </c>
      <c r="C670" s="7">
        <v>1884</v>
      </c>
      <c r="D670" s="8">
        <v>45402</v>
      </c>
      <c r="E670" s="9" t="str">
        <f>+HYPERLINK("http://trademark.i-assist.jp/data/china/image_1884th/76503628.pdf", "76503628")</f>
        <v>76503628</v>
      </c>
      <c r="F670" s="6" t="s">
        <v>1892</v>
      </c>
      <c r="G670" s="6" t="s">
        <v>1867</v>
      </c>
      <c r="H670" s="8" t="s">
        <v>1869</v>
      </c>
      <c r="I670" s="14">
        <v>45310</v>
      </c>
    </row>
    <row r="671" spans="1:9" x14ac:dyDescent="0.15">
      <c r="A671" s="5">
        <v>670</v>
      </c>
      <c r="B671" s="6" t="s">
        <v>9</v>
      </c>
      <c r="C671" s="7">
        <v>1884</v>
      </c>
      <c r="D671" s="8">
        <v>45402</v>
      </c>
      <c r="E671" s="9" t="str">
        <f>+HYPERLINK("http://trademark.i-assist.jp/data/china/image_1884th/76504370.pdf", "76504370")</f>
        <v>76504370</v>
      </c>
      <c r="F671" s="6" t="s">
        <v>1894</v>
      </c>
      <c r="G671" s="6" t="s">
        <v>1893</v>
      </c>
      <c r="H671" s="8" t="s">
        <v>1895</v>
      </c>
      <c r="I671" s="14">
        <v>45310</v>
      </c>
    </row>
    <row r="672" spans="1:9" x14ac:dyDescent="0.15">
      <c r="A672" s="5">
        <v>671</v>
      </c>
      <c r="B672" s="6" t="s">
        <v>9</v>
      </c>
      <c r="C672" s="7">
        <v>1884</v>
      </c>
      <c r="D672" s="8">
        <v>45402</v>
      </c>
      <c r="E672" s="9" t="str">
        <f>+HYPERLINK("http://trademark.i-assist.jp/data/china/image_1884th/76505173.pdf", "76505173")</f>
        <v>76505173</v>
      </c>
      <c r="F672" s="6" t="s">
        <v>1832</v>
      </c>
      <c r="G672" s="6" t="s">
        <v>1831</v>
      </c>
      <c r="H672" s="8" t="s">
        <v>1896</v>
      </c>
      <c r="I672" s="14">
        <v>45310</v>
      </c>
    </row>
    <row r="673" spans="1:9" x14ac:dyDescent="0.15">
      <c r="A673" s="5">
        <v>672</v>
      </c>
      <c r="B673" s="6" t="s">
        <v>9</v>
      </c>
      <c r="C673" s="7">
        <v>1884</v>
      </c>
      <c r="D673" s="8">
        <v>45402</v>
      </c>
      <c r="E673" s="9" t="str">
        <f>+HYPERLINK("http://trademark.i-assist.jp/data/china/image_1884th/76505302.pdf", "76505302")</f>
        <v>76505302</v>
      </c>
      <c r="F673" s="6" t="s">
        <v>1898</v>
      </c>
      <c r="G673" s="6" t="s">
        <v>1897</v>
      </c>
      <c r="H673" s="8" t="s">
        <v>1899</v>
      </c>
      <c r="I673" s="14">
        <v>45310</v>
      </c>
    </row>
    <row r="674" spans="1:9" x14ac:dyDescent="0.15">
      <c r="A674" s="5">
        <v>673</v>
      </c>
      <c r="B674" s="6" t="s">
        <v>9</v>
      </c>
      <c r="C674" s="7">
        <v>1884</v>
      </c>
      <c r="D674" s="8">
        <v>45402</v>
      </c>
      <c r="E674" s="9" t="str">
        <f>+HYPERLINK("http://trademark.i-assist.jp/data/china/image_1884th/76505844.pdf", "76505844")</f>
        <v>76505844</v>
      </c>
      <c r="F674" s="6" t="s">
        <v>1900</v>
      </c>
      <c r="G674" s="6" t="s">
        <v>1789</v>
      </c>
      <c r="H674" s="8" t="s">
        <v>1901</v>
      </c>
      <c r="I674" s="14">
        <v>45310</v>
      </c>
    </row>
    <row r="675" spans="1:9" x14ac:dyDescent="0.15">
      <c r="A675" s="5">
        <v>674</v>
      </c>
      <c r="B675" s="6" t="s">
        <v>9</v>
      </c>
      <c r="C675" s="7">
        <v>1884</v>
      </c>
      <c r="D675" s="8">
        <v>45402</v>
      </c>
      <c r="E675" s="9" t="str">
        <f>+HYPERLINK("http://trademark.i-assist.jp/data/china/image_1884th/76505981.pdf", "76505981")</f>
        <v>76505981</v>
      </c>
      <c r="F675" s="6" t="s">
        <v>1903</v>
      </c>
      <c r="G675" s="6" t="s">
        <v>1902</v>
      </c>
      <c r="H675" s="8" t="s">
        <v>1904</v>
      </c>
      <c r="I675" s="14">
        <v>45311</v>
      </c>
    </row>
    <row r="676" spans="1:9" x14ac:dyDescent="0.15">
      <c r="A676" s="5">
        <v>675</v>
      </c>
      <c r="B676" s="6" t="s">
        <v>9</v>
      </c>
      <c r="C676" s="7">
        <v>1884</v>
      </c>
      <c r="D676" s="8">
        <v>45402</v>
      </c>
      <c r="E676" s="9" t="str">
        <f>+HYPERLINK("http://trademark.i-assist.jp/data/china/image_1884th/76505991.pdf", "76505991")</f>
        <v>76505991</v>
      </c>
      <c r="F676" s="6" t="s">
        <v>1905</v>
      </c>
      <c r="G676" s="6" t="s">
        <v>1902</v>
      </c>
      <c r="H676" s="8" t="s">
        <v>1906</v>
      </c>
      <c r="I676" s="14">
        <v>45311</v>
      </c>
    </row>
    <row r="677" spans="1:9" x14ac:dyDescent="0.15">
      <c r="A677" s="5">
        <v>676</v>
      </c>
      <c r="B677" s="6" t="s">
        <v>9</v>
      </c>
      <c r="C677" s="7">
        <v>1884</v>
      </c>
      <c r="D677" s="8">
        <v>45402</v>
      </c>
      <c r="E677" s="9" t="str">
        <f>+HYPERLINK("http://trademark.i-assist.jp/data/china/image_1884th/76508483.pdf", "76508483")</f>
        <v>76508483</v>
      </c>
      <c r="F677" s="6" t="s">
        <v>1908</v>
      </c>
      <c r="G677" s="6" t="s">
        <v>1907</v>
      </c>
      <c r="H677" s="8" t="s">
        <v>1909</v>
      </c>
      <c r="I677" s="14">
        <v>45310</v>
      </c>
    </row>
    <row r="678" spans="1:9" x14ac:dyDescent="0.15">
      <c r="A678" s="5">
        <v>677</v>
      </c>
      <c r="B678" s="6" t="s">
        <v>9</v>
      </c>
      <c r="C678" s="7">
        <v>1884</v>
      </c>
      <c r="D678" s="8">
        <v>45402</v>
      </c>
      <c r="E678" s="9" t="str">
        <f>+HYPERLINK("http://trademark.i-assist.jp/data/china/image_1884th/76509875.pdf", "76509875")</f>
        <v>76509875</v>
      </c>
      <c r="F678" s="6" t="s">
        <v>1911</v>
      </c>
      <c r="G678" s="6" t="s">
        <v>1910</v>
      </c>
      <c r="H678" s="8" t="s">
        <v>1912</v>
      </c>
      <c r="I678" s="14">
        <v>45310</v>
      </c>
    </row>
    <row r="679" spans="1:9" x14ac:dyDescent="0.15">
      <c r="A679" s="5">
        <v>678</v>
      </c>
      <c r="B679" s="6" t="s">
        <v>9</v>
      </c>
      <c r="C679" s="7">
        <v>1884</v>
      </c>
      <c r="D679" s="8">
        <v>45402</v>
      </c>
      <c r="E679" s="9" t="str">
        <f>+HYPERLINK("http://trademark.i-assist.jp/data/china/image_1884th/76510595.pdf", "76510595")</f>
        <v>76510595</v>
      </c>
      <c r="F679" s="6" t="s">
        <v>1914</v>
      </c>
      <c r="G679" s="6" t="s">
        <v>1913</v>
      </c>
      <c r="H679" s="8" t="s">
        <v>1915</v>
      </c>
      <c r="I679" s="14">
        <v>45311</v>
      </c>
    </row>
    <row r="680" spans="1:9" x14ac:dyDescent="0.15">
      <c r="A680" s="5">
        <v>679</v>
      </c>
      <c r="B680" s="6" t="s">
        <v>9</v>
      </c>
      <c r="C680" s="7">
        <v>1884</v>
      </c>
      <c r="D680" s="8">
        <v>45402</v>
      </c>
      <c r="E680" s="9" t="str">
        <f>+HYPERLINK("http://trademark.i-assist.jp/data/china/image_1884th/76510867.pdf", "76510867")</f>
        <v>76510867</v>
      </c>
      <c r="F680" s="6" t="s">
        <v>1917</v>
      </c>
      <c r="G680" s="6" t="s">
        <v>1916</v>
      </c>
      <c r="H680" s="8" t="s">
        <v>1918</v>
      </c>
      <c r="I680" s="14">
        <v>45311</v>
      </c>
    </row>
    <row r="681" spans="1:9" x14ac:dyDescent="0.15">
      <c r="A681" s="5">
        <v>680</v>
      </c>
      <c r="B681" s="6" t="s">
        <v>9</v>
      </c>
      <c r="C681" s="7">
        <v>1884</v>
      </c>
      <c r="D681" s="8">
        <v>45402</v>
      </c>
      <c r="E681" s="9" t="str">
        <f>+HYPERLINK("http://trademark.i-assist.jp/data/china/image_1884th/76510891.pdf", "76510891")</f>
        <v>76510891</v>
      </c>
      <c r="F681" s="6" t="s">
        <v>1919</v>
      </c>
      <c r="G681" s="6" t="s">
        <v>1834</v>
      </c>
      <c r="H681" s="8" t="s">
        <v>1920</v>
      </c>
      <c r="I681" s="14">
        <v>45311</v>
      </c>
    </row>
    <row r="682" spans="1:9" x14ac:dyDescent="0.15">
      <c r="A682" s="5">
        <v>681</v>
      </c>
      <c r="B682" s="6" t="s">
        <v>9</v>
      </c>
      <c r="C682" s="7">
        <v>1884</v>
      </c>
      <c r="D682" s="8">
        <v>45402</v>
      </c>
      <c r="E682" s="9" t="str">
        <f>+HYPERLINK("http://trademark.i-assist.jp/data/china/image_1884th/76511562.pdf", "76511562")</f>
        <v>76511562</v>
      </c>
      <c r="F682" s="6" t="s">
        <v>1922</v>
      </c>
      <c r="G682" s="6" t="s">
        <v>1921</v>
      </c>
      <c r="H682" s="8" t="s">
        <v>1923</v>
      </c>
      <c r="I682" s="14">
        <v>45311</v>
      </c>
    </row>
    <row r="683" spans="1:9" x14ac:dyDescent="0.15">
      <c r="A683" s="5">
        <v>682</v>
      </c>
      <c r="B683" s="6" t="s">
        <v>9</v>
      </c>
      <c r="C683" s="7">
        <v>1884</v>
      </c>
      <c r="D683" s="8">
        <v>45402</v>
      </c>
      <c r="E683" s="9" t="str">
        <f>+HYPERLINK("http://trademark.i-assist.jp/data/china/image_1884th/76511824.pdf", "76511824")</f>
        <v>76511824</v>
      </c>
      <c r="F683" s="6" t="s">
        <v>1924</v>
      </c>
      <c r="G683" s="6" t="s">
        <v>1834</v>
      </c>
      <c r="H683" s="8" t="s">
        <v>1925</v>
      </c>
      <c r="I683" s="14">
        <v>45311</v>
      </c>
    </row>
    <row r="684" spans="1:9" x14ac:dyDescent="0.15">
      <c r="A684" s="5">
        <v>683</v>
      </c>
      <c r="B684" s="6" t="s">
        <v>9</v>
      </c>
      <c r="C684" s="7">
        <v>1884</v>
      </c>
      <c r="D684" s="8">
        <v>45402</v>
      </c>
      <c r="E684" s="9" t="str">
        <f>+HYPERLINK("http://trademark.i-assist.jp/data/china/image_1884th/76512504.pdf", "76512504")</f>
        <v>76512504</v>
      </c>
      <c r="F684" s="6" t="s">
        <v>1927</v>
      </c>
      <c r="G684" s="6" t="s">
        <v>1926</v>
      </c>
      <c r="H684" s="8" t="s">
        <v>1928</v>
      </c>
      <c r="I684" s="14">
        <v>45309</v>
      </c>
    </row>
    <row r="685" spans="1:9" x14ac:dyDescent="0.15">
      <c r="A685" s="5">
        <v>684</v>
      </c>
      <c r="B685" s="6" t="s">
        <v>9</v>
      </c>
      <c r="C685" s="7">
        <v>1884</v>
      </c>
      <c r="D685" s="8">
        <v>45402</v>
      </c>
      <c r="E685" s="9" t="str">
        <f>+HYPERLINK("http://trademark.i-assist.jp/data/china/image_1884th/76512761.pdf", "76512761")</f>
        <v>76512761</v>
      </c>
      <c r="F685" s="6" t="s">
        <v>1930</v>
      </c>
      <c r="G685" s="6" t="s">
        <v>1929</v>
      </c>
      <c r="H685" s="8" t="s">
        <v>1931</v>
      </c>
      <c r="I685" s="14">
        <v>45311</v>
      </c>
    </row>
    <row r="686" spans="1:9" x14ac:dyDescent="0.15">
      <c r="A686" s="5">
        <v>685</v>
      </c>
      <c r="B686" s="6" t="s">
        <v>9</v>
      </c>
      <c r="C686" s="7">
        <v>1884</v>
      </c>
      <c r="D686" s="8">
        <v>45402</v>
      </c>
      <c r="E686" s="9" t="str">
        <f>+HYPERLINK("http://trademark.i-assist.jp/data/china/image_1884th/76512849.pdf", "76512849")</f>
        <v>76512849</v>
      </c>
      <c r="F686" s="6" t="s">
        <v>1932</v>
      </c>
      <c r="G686" s="6" t="s">
        <v>1929</v>
      </c>
      <c r="H686" s="8" t="s">
        <v>1933</v>
      </c>
      <c r="I686" s="14">
        <v>45311</v>
      </c>
    </row>
    <row r="687" spans="1:9" x14ac:dyDescent="0.15">
      <c r="A687" s="5">
        <v>686</v>
      </c>
      <c r="B687" s="6" t="s">
        <v>9</v>
      </c>
      <c r="C687" s="7">
        <v>1884</v>
      </c>
      <c r="D687" s="8">
        <v>45402</v>
      </c>
      <c r="E687" s="9" t="str">
        <f>+HYPERLINK("http://trademark.i-assist.jp/data/china/image_1884th/76513188.pdf", "76513188")</f>
        <v>76513188</v>
      </c>
      <c r="F687" s="6" t="s">
        <v>1935</v>
      </c>
      <c r="G687" s="6" t="s">
        <v>1934</v>
      </c>
      <c r="H687" s="8" t="s">
        <v>1936</v>
      </c>
      <c r="I687" s="14">
        <v>45311</v>
      </c>
    </row>
    <row r="688" spans="1:9" x14ac:dyDescent="0.15">
      <c r="A688" s="5">
        <v>687</v>
      </c>
      <c r="B688" s="6" t="s">
        <v>9</v>
      </c>
      <c r="C688" s="7">
        <v>1884</v>
      </c>
      <c r="D688" s="8">
        <v>45402</v>
      </c>
      <c r="E688" s="9" t="str">
        <f>+HYPERLINK("http://trademark.i-assist.jp/data/china/image_1884th/76513369.pdf", "76513369")</f>
        <v>76513369</v>
      </c>
      <c r="F688" s="6" t="s">
        <v>1937</v>
      </c>
      <c r="G688" s="6" t="s">
        <v>27</v>
      </c>
      <c r="H688" s="8" t="s">
        <v>1938</v>
      </c>
      <c r="I688" s="14">
        <v>45311</v>
      </c>
    </row>
    <row r="689" spans="1:9" x14ac:dyDescent="0.15">
      <c r="A689" s="5">
        <v>688</v>
      </c>
      <c r="B689" s="6" t="s">
        <v>9</v>
      </c>
      <c r="C689" s="7">
        <v>1884</v>
      </c>
      <c r="D689" s="8">
        <v>45402</v>
      </c>
      <c r="E689" s="9" t="str">
        <f>+HYPERLINK("http://trademark.i-assist.jp/data/china/image_1884th/76513413.pdf", "76513413")</f>
        <v>76513413</v>
      </c>
      <c r="F689" s="6" t="s">
        <v>1940</v>
      </c>
      <c r="G689" s="6" t="s">
        <v>1939</v>
      </c>
      <c r="H689" s="8" t="s">
        <v>1941</v>
      </c>
      <c r="I689" s="14">
        <v>45311</v>
      </c>
    </row>
    <row r="690" spans="1:9" x14ac:dyDescent="0.15">
      <c r="A690" s="5">
        <v>689</v>
      </c>
      <c r="B690" s="6" t="s">
        <v>9</v>
      </c>
      <c r="C690" s="7">
        <v>1884</v>
      </c>
      <c r="D690" s="8">
        <v>45402</v>
      </c>
      <c r="E690" s="9" t="str">
        <f>+HYPERLINK("http://trademark.i-assist.jp/data/china/image_1884th/76513498.pdf", "76513498")</f>
        <v>76513498</v>
      </c>
      <c r="F690" s="6" t="s">
        <v>1942</v>
      </c>
      <c r="G690" s="6" t="s">
        <v>1902</v>
      </c>
      <c r="H690" s="8" t="s">
        <v>1943</v>
      </c>
      <c r="I690" s="14">
        <v>45311</v>
      </c>
    </row>
    <row r="691" spans="1:9" x14ac:dyDescent="0.15">
      <c r="A691" s="5">
        <v>690</v>
      </c>
      <c r="B691" s="6" t="s">
        <v>9</v>
      </c>
      <c r="C691" s="7">
        <v>1884</v>
      </c>
      <c r="D691" s="8">
        <v>45402</v>
      </c>
      <c r="E691" s="9" t="str">
        <f>+HYPERLINK("http://trademark.i-assist.jp/data/china/image_1884th/76513540.pdf", "76513540")</f>
        <v>76513540</v>
      </c>
      <c r="F691" s="6" t="s">
        <v>1945</v>
      </c>
      <c r="G691" s="6" t="s">
        <v>1944</v>
      </c>
      <c r="H691" s="8" t="s">
        <v>1946</v>
      </c>
      <c r="I691" s="14">
        <v>45311</v>
      </c>
    </row>
    <row r="692" spans="1:9" x14ac:dyDescent="0.15">
      <c r="A692" s="5">
        <v>691</v>
      </c>
      <c r="B692" s="6" t="s">
        <v>9</v>
      </c>
      <c r="C692" s="7">
        <v>1884</v>
      </c>
      <c r="D692" s="8">
        <v>45402</v>
      </c>
      <c r="E692" s="9" t="str">
        <f>+HYPERLINK("http://trademark.i-assist.jp/data/china/image_1884th/76513680.pdf", "76513680")</f>
        <v>76513680</v>
      </c>
      <c r="F692" s="6" t="s">
        <v>1948</v>
      </c>
      <c r="G692" s="6" t="s">
        <v>1947</v>
      </c>
      <c r="H692" s="8" t="s">
        <v>1949</v>
      </c>
      <c r="I692" s="14">
        <v>45311</v>
      </c>
    </row>
    <row r="693" spans="1:9" x14ac:dyDescent="0.15">
      <c r="A693" s="5">
        <v>692</v>
      </c>
      <c r="B693" s="6" t="s">
        <v>9</v>
      </c>
      <c r="C693" s="7">
        <v>1884</v>
      </c>
      <c r="D693" s="8">
        <v>45402</v>
      </c>
      <c r="E693" s="9" t="str">
        <f>+HYPERLINK("http://trademark.i-assist.jp/data/china/image_1884th/76513969.pdf", "76513969")</f>
        <v>76513969</v>
      </c>
      <c r="F693" s="6" t="s">
        <v>1951</v>
      </c>
      <c r="G693" s="6" t="s">
        <v>1950</v>
      </c>
      <c r="H693" s="8" t="s">
        <v>1952</v>
      </c>
      <c r="I693" s="14">
        <v>45311</v>
      </c>
    </row>
    <row r="694" spans="1:9" x14ac:dyDescent="0.15">
      <c r="A694" s="5">
        <v>693</v>
      </c>
      <c r="B694" s="6" t="s">
        <v>9</v>
      </c>
      <c r="C694" s="7">
        <v>1884</v>
      </c>
      <c r="D694" s="8">
        <v>45402</v>
      </c>
      <c r="E694" s="9" t="str">
        <f>+HYPERLINK("http://trademark.i-assist.jp/data/china/image_1884th/76514246.pdf", "76514246")</f>
        <v>76514246</v>
      </c>
      <c r="F694" s="6" t="s">
        <v>1953</v>
      </c>
      <c r="G694" s="6" t="s">
        <v>1929</v>
      </c>
      <c r="H694" s="8" t="s">
        <v>1931</v>
      </c>
      <c r="I694" s="14">
        <v>45311</v>
      </c>
    </row>
    <row r="695" spans="1:9" x14ac:dyDescent="0.15">
      <c r="A695" s="5">
        <v>694</v>
      </c>
      <c r="B695" s="6" t="s">
        <v>9</v>
      </c>
      <c r="C695" s="7">
        <v>1884</v>
      </c>
      <c r="D695" s="8">
        <v>45402</v>
      </c>
      <c r="E695" s="9" t="str">
        <f>+HYPERLINK("http://trademark.i-assist.jp/data/china/image_1884th/76514545.pdf", "76514545")</f>
        <v>76514545</v>
      </c>
      <c r="F695" s="6" t="s">
        <v>1955</v>
      </c>
      <c r="G695" s="6" t="s">
        <v>1954</v>
      </c>
      <c r="H695" s="8" t="s">
        <v>1956</v>
      </c>
      <c r="I695" s="14">
        <v>45311</v>
      </c>
    </row>
    <row r="696" spans="1:9" x14ac:dyDescent="0.15">
      <c r="A696" s="5">
        <v>695</v>
      </c>
      <c r="B696" s="6" t="s">
        <v>9</v>
      </c>
      <c r="C696" s="7">
        <v>1884</v>
      </c>
      <c r="D696" s="8">
        <v>45402</v>
      </c>
      <c r="E696" s="9" t="str">
        <f>+HYPERLINK("http://trademark.i-assist.jp/data/china/image_1884th/76514843.pdf", "76514843")</f>
        <v>76514843</v>
      </c>
      <c r="F696" s="6" t="s">
        <v>1957</v>
      </c>
      <c r="G696" s="6" t="s">
        <v>1902</v>
      </c>
      <c r="H696" s="8" t="s">
        <v>1958</v>
      </c>
      <c r="I696" s="14">
        <v>45311</v>
      </c>
    </row>
    <row r="697" spans="1:9" x14ac:dyDescent="0.15">
      <c r="A697" s="5">
        <v>696</v>
      </c>
      <c r="B697" s="6" t="s">
        <v>9</v>
      </c>
      <c r="C697" s="7">
        <v>1884</v>
      </c>
      <c r="D697" s="8">
        <v>45402</v>
      </c>
      <c r="E697" s="9" t="str">
        <f>+HYPERLINK("http://trademark.i-assist.jp/data/china/image_1884th/76515025.pdf", "76515025")</f>
        <v>76515025</v>
      </c>
      <c r="F697" s="6" t="s">
        <v>167</v>
      </c>
      <c r="G697" s="6" t="s">
        <v>1959</v>
      </c>
      <c r="H697" s="8" t="s">
        <v>1960</v>
      </c>
      <c r="I697" s="14">
        <v>45311</v>
      </c>
    </row>
    <row r="698" spans="1:9" x14ac:dyDescent="0.15">
      <c r="A698" s="5">
        <v>697</v>
      </c>
      <c r="B698" s="6" t="s">
        <v>9</v>
      </c>
      <c r="C698" s="7">
        <v>1884</v>
      </c>
      <c r="D698" s="8">
        <v>45402</v>
      </c>
      <c r="E698" s="9" t="str">
        <f>+HYPERLINK("http://trademark.i-assist.jp/data/china/image_1884th/76515277.pdf", "76515277")</f>
        <v>76515277</v>
      </c>
      <c r="F698" s="6" t="s">
        <v>1961</v>
      </c>
      <c r="G698" s="6" t="s">
        <v>1834</v>
      </c>
      <c r="H698" s="8" t="s">
        <v>1906</v>
      </c>
      <c r="I698" s="14">
        <v>45311</v>
      </c>
    </row>
    <row r="699" spans="1:9" x14ac:dyDescent="0.15">
      <c r="A699" s="5">
        <v>698</v>
      </c>
      <c r="B699" s="6" t="s">
        <v>9</v>
      </c>
      <c r="C699" s="7">
        <v>1884</v>
      </c>
      <c r="D699" s="8">
        <v>45402</v>
      </c>
      <c r="E699" s="9" t="str">
        <f>+HYPERLINK("http://trademark.i-assist.jp/data/china/image_1884th/76515454.pdf", "76515454")</f>
        <v>76515454</v>
      </c>
      <c r="F699" s="6" t="s">
        <v>1962</v>
      </c>
      <c r="G699" s="6" t="s">
        <v>1954</v>
      </c>
      <c r="H699" s="8" t="s">
        <v>1963</v>
      </c>
      <c r="I699" s="14">
        <v>45311</v>
      </c>
    </row>
    <row r="700" spans="1:9" x14ac:dyDescent="0.15">
      <c r="A700" s="5">
        <v>699</v>
      </c>
      <c r="B700" s="6" t="s">
        <v>9</v>
      </c>
      <c r="C700" s="7">
        <v>1884</v>
      </c>
      <c r="D700" s="8">
        <v>45402</v>
      </c>
      <c r="E700" s="9" t="str">
        <f>+HYPERLINK("http://trademark.i-assist.jp/data/china/image_1884th/76515504.pdf", "76515504")</f>
        <v>76515504</v>
      </c>
      <c r="F700" s="6" t="s">
        <v>1965</v>
      </c>
      <c r="G700" s="6" t="s">
        <v>1964</v>
      </c>
      <c r="H700" s="8" t="s">
        <v>1966</v>
      </c>
      <c r="I700" s="14">
        <v>45309</v>
      </c>
    </row>
    <row r="701" spans="1:9" x14ac:dyDescent="0.15">
      <c r="A701" s="5">
        <v>700</v>
      </c>
      <c r="B701" s="6" t="s">
        <v>9</v>
      </c>
      <c r="C701" s="7">
        <v>1884</v>
      </c>
      <c r="D701" s="8">
        <v>45402</v>
      </c>
      <c r="E701" s="9" t="str">
        <f>+HYPERLINK("http://trademark.i-assist.jp/data/china/image_1884th/76515739.pdf", "76515739")</f>
        <v>76515739</v>
      </c>
      <c r="F701" s="6" t="s">
        <v>1967</v>
      </c>
      <c r="G701" s="6" t="s">
        <v>1902</v>
      </c>
      <c r="H701" s="8" t="s">
        <v>1906</v>
      </c>
      <c r="I701" s="14">
        <v>45311</v>
      </c>
    </row>
    <row r="702" spans="1:9" x14ac:dyDescent="0.15">
      <c r="A702" s="5">
        <v>701</v>
      </c>
      <c r="B702" s="6" t="s">
        <v>9</v>
      </c>
      <c r="C702" s="7">
        <v>1884</v>
      </c>
      <c r="D702" s="8">
        <v>45402</v>
      </c>
      <c r="E702" s="9" t="str">
        <f>+HYPERLINK("http://trademark.i-assist.jp/data/china/image_1884th/76516283.pdf", "76516283")</f>
        <v>76516283</v>
      </c>
      <c r="F702" s="6" t="s">
        <v>1969</v>
      </c>
      <c r="G702" s="6" t="s">
        <v>1968</v>
      </c>
      <c r="H702" s="8" t="s">
        <v>1970</v>
      </c>
      <c r="I702" s="14">
        <v>45311</v>
      </c>
    </row>
    <row r="703" spans="1:9" x14ac:dyDescent="0.15">
      <c r="A703" s="5">
        <v>702</v>
      </c>
      <c r="B703" s="6" t="s">
        <v>9</v>
      </c>
      <c r="C703" s="7">
        <v>1884</v>
      </c>
      <c r="D703" s="8">
        <v>45402</v>
      </c>
      <c r="E703" s="9" t="str">
        <f>+HYPERLINK("http://trademark.i-assist.jp/data/china/image_1884th/76516337.pdf", "76516337")</f>
        <v>76516337</v>
      </c>
      <c r="F703" s="6" t="s">
        <v>1971</v>
      </c>
      <c r="G703" s="6" t="s">
        <v>1916</v>
      </c>
      <c r="H703" s="8" t="s">
        <v>1906</v>
      </c>
      <c r="I703" s="14">
        <v>45311</v>
      </c>
    </row>
    <row r="704" spans="1:9" x14ac:dyDescent="0.15">
      <c r="A704" s="5">
        <v>703</v>
      </c>
      <c r="B704" s="6" t="s">
        <v>9</v>
      </c>
      <c r="C704" s="7">
        <v>1884</v>
      </c>
      <c r="D704" s="8">
        <v>45402</v>
      </c>
      <c r="E704" s="9" t="str">
        <f>+HYPERLINK("http://trademark.i-assist.jp/data/china/image_1884th/76516653.pdf", "76516653")</f>
        <v>76516653</v>
      </c>
      <c r="F704" s="6" t="s">
        <v>1972</v>
      </c>
      <c r="G704" s="6" t="s">
        <v>1916</v>
      </c>
      <c r="H704" s="8" t="s">
        <v>1906</v>
      </c>
      <c r="I704" s="14">
        <v>45311</v>
      </c>
    </row>
    <row r="705" spans="1:9" x14ac:dyDescent="0.15">
      <c r="A705" s="5">
        <v>704</v>
      </c>
      <c r="B705" s="6" t="s">
        <v>9</v>
      </c>
      <c r="C705" s="7">
        <v>1884</v>
      </c>
      <c r="D705" s="8">
        <v>45402</v>
      </c>
      <c r="E705" s="9" t="str">
        <f>+HYPERLINK("http://trademark.i-assist.jp/data/china/image_1884th/76516713.pdf", "76516713")</f>
        <v>76516713</v>
      </c>
      <c r="F705" s="6" t="s">
        <v>1974</v>
      </c>
      <c r="G705" s="6" t="s">
        <v>1973</v>
      </c>
      <c r="H705" s="8" t="s">
        <v>1975</v>
      </c>
      <c r="I705" s="14">
        <v>45311</v>
      </c>
    </row>
    <row r="706" spans="1:9" x14ac:dyDescent="0.15">
      <c r="A706" s="5">
        <v>705</v>
      </c>
      <c r="B706" s="6" t="s">
        <v>9</v>
      </c>
      <c r="C706" s="7">
        <v>1884</v>
      </c>
      <c r="D706" s="8">
        <v>45402</v>
      </c>
      <c r="E706" s="9" t="str">
        <f>+HYPERLINK("http://trademark.i-assist.jp/data/china/image_1884th/76516802.pdf", "76516802")</f>
        <v>76516802</v>
      </c>
      <c r="F706" s="6" t="s">
        <v>1976</v>
      </c>
      <c r="G706" s="6" t="s">
        <v>1913</v>
      </c>
      <c r="H706" s="8" t="s">
        <v>1915</v>
      </c>
      <c r="I706" s="14">
        <v>45311</v>
      </c>
    </row>
    <row r="707" spans="1:9" x14ac:dyDescent="0.15">
      <c r="A707" s="5">
        <v>706</v>
      </c>
      <c r="B707" s="6" t="s">
        <v>9</v>
      </c>
      <c r="C707" s="7">
        <v>1884</v>
      </c>
      <c r="D707" s="8">
        <v>45402</v>
      </c>
      <c r="E707" s="9" t="str">
        <f>+HYPERLINK("http://trademark.i-assist.jp/data/china/image_1884th/76516884.pdf", "76516884")</f>
        <v>76516884</v>
      </c>
      <c r="F707" s="6" t="s">
        <v>1977</v>
      </c>
      <c r="G707" s="6" t="s">
        <v>19</v>
      </c>
      <c r="H707" s="8" t="s">
        <v>1978</v>
      </c>
      <c r="I707" s="14">
        <v>45312</v>
      </c>
    </row>
    <row r="708" spans="1:9" x14ac:dyDescent="0.15">
      <c r="A708" s="5">
        <v>707</v>
      </c>
      <c r="B708" s="6" t="s">
        <v>9</v>
      </c>
      <c r="C708" s="7">
        <v>1884</v>
      </c>
      <c r="D708" s="8">
        <v>45402</v>
      </c>
      <c r="E708" s="9" t="str">
        <f>+HYPERLINK("http://trademark.i-assist.jp/data/china/image_1884th/76517306.pdf", "76517306")</f>
        <v>76517306</v>
      </c>
      <c r="F708" s="6" t="s">
        <v>1980</v>
      </c>
      <c r="G708" s="6" t="s">
        <v>1979</v>
      </c>
      <c r="H708" s="8" t="s">
        <v>1981</v>
      </c>
      <c r="I708" s="14">
        <v>45312</v>
      </c>
    </row>
    <row r="709" spans="1:9" x14ac:dyDescent="0.15">
      <c r="A709" s="5">
        <v>708</v>
      </c>
      <c r="B709" s="6" t="s">
        <v>9</v>
      </c>
      <c r="C709" s="7">
        <v>1884</v>
      </c>
      <c r="D709" s="8">
        <v>45402</v>
      </c>
      <c r="E709" s="9" t="str">
        <f>+HYPERLINK("http://trademark.i-assist.jp/data/china/image_1884th/76517483.pdf", "76517483")</f>
        <v>76517483</v>
      </c>
      <c r="F709" s="6" t="s">
        <v>1983</v>
      </c>
      <c r="G709" s="6" t="s">
        <v>1982</v>
      </c>
      <c r="H709" s="8" t="s">
        <v>1984</v>
      </c>
      <c r="I709" s="14">
        <v>45309</v>
      </c>
    </row>
    <row r="710" spans="1:9" x14ac:dyDescent="0.15">
      <c r="A710" s="5">
        <v>709</v>
      </c>
      <c r="B710" s="6" t="s">
        <v>9</v>
      </c>
      <c r="C710" s="7">
        <v>1884</v>
      </c>
      <c r="D710" s="8">
        <v>45402</v>
      </c>
      <c r="E710" s="9" t="str">
        <f>+HYPERLINK("http://trademark.i-assist.jp/data/china/image_1884th/76517829.pdf", "76517829")</f>
        <v>76517829</v>
      </c>
      <c r="F710" s="6" t="s">
        <v>1986</v>
      </c>
      <c r="G710" s="6" t="s">
        <v>1985</v>
      </c>
      <c r="H710" s="8" t="s">
        <v>1987</v>
      </c>
      <c r="I710" s="14">
        <v>45312</v>
      </c>
    </row>
    <row r="711" spans="1:9" x14ac:dyDescent="0.15">
      <c r="A711" s="5">
        <v>710</v>
      </c>
      <c r="B711" s="6" t="s">
        <v>9</v>
      </c>
      <c r="C711" s="7">
        <v>1884</v>
      </c>
      <c r="D711" s="8">
        <v>45402</v>
      </c>
      <c r="E711" s="9" t="str">
        <f>+HYPERLINK("http://trademark.i-assist.jp/data/china/image_1884th/76517931.pdf", "76517931")</f>
        <v>76517931</v>
      </c>
      <c r="F711" s="6" t="s">
        <v>1989</v>
      </c>
      <c r="G711" s="6" t="s">
        <v>1988</v>
      </c>
      <c r="H711" s="8" t="s">
        <v>1990</v>
      </c>
      <c r="I711" s="14">
        <v>45312</v>
      </c>
    </row>
    <row r="712" spans="1:9" x14ac:dyDescent="0.15">
      <c r="A712" s="5">
        <v>711</v>
      </c>
      <c r="B712" s="6" t="s">
        <v>9</v>
      </c>
      <c r="C712" s="7">
        <v>1884</v>
      </c>
      <c r="D712" s="8">
        <v>45402</v>
      </c>
      <c r="E712" s="9" t="str">
        <f>+HYPERLINK("http://trademark.i-assist.jp/data/china/image_1884th/76517948.pdf", "76517948")</f>
        <v>76517948</v>
      </c>
      <c r="F712" s="6" t="s">
        <v>1991</v>
      </c>
      <c r="G712" s="6" t="s">
        <v>1947</v>
      </c>
      <c r="H712" s="8" t="s">
        <v>1992</v>
      </c>
      <c r="I712" s="14">
        <v>45312</v>
      </c>
    </row>
    <row r="713" spans="1:9" x14ac:dyDescent="0.15">
      <c r="A713" s="5">
        <v>712</v>
      </c>
      <c r="B713" s="6" t="s">
        <v>9</v>
      </c>
      <c r="C713" s="7">
        <v>1884</v>
      </c>
      <c r="D713" s="8">
        <v>45402</v>
      </c>
      <c r="E713" s="9" t="str">
        <f>+HYPERLINK("http://trademark.i-assist.jp/data/china/image_1884th/76518069.pdf", "76518069")</f>
        <v>76518069</v>
      </c>
      <c r="F713" s="6" t="s">
        <v>1994</v>
      </c>
      <c r="G713" s="6" t="s">
        <v>1993</v>
      </c>
      <c r="H713" s="8" t="s">
        <v>1995</v>
      </c>
      <c r="I713" s="14">
        <v>45312</v>
      </c>
    </row>
    <row r="714" spans="1:9" x14ac:dyDescent="0.15">
      <c r="A714" s="5">
        <v>713</v>
      </c>
      <c r="B714" s="6" t="s">
        <v>9</v>
      </c>
      <c r="C714" s="7">
        <v>1884</v>
      </c>
      <c r="D714" s="8">
        <v>45402</v>
      </c>
      <c r="E714" s="9" t="str">
        <f>+HYPERLINK("http://trademark.i-assist.jp/data/china/image_1884th/76518111.pdf", "76518111")</f>
        <v>76518111</v>
      </c>
      <c r="F714" s="6" t="s">
        <v>1997</v>
      </c>
      <c r="G714" s="6" t="s">
        <v>1996</v>
      </c>
      <c r="H714" s="8" t="s">
        <v>1906</v>
      </c>
      <c r="I714" s="14">
        <v>45312</v>
      </c>
    </row>
    <row r="715" spans="1:9" x14ac:dyDescent="0.15">
      <c r="A715" s="5">
        <v>714</v>
      </c>
      <c r="B715" s="6" t="s">
        <v>9</v>
      </c>
      <c r="C715" s="7">
        <v>1884</v>
      </c>
      <c r="D715" s="8">
        <v>45402</v>
      </c>
      <c r="E715" s="9" t="str">
        <f>+HYPERLINK("http://trademark.i-assist.jp/data/china/image_1884th/76518152.pdf", "76518152")</f>
        <v>76518152</v>
      </c>
      <c r="F715" s="6" t="s">
        <v>1999</v>
      </c>
      <c r="G715" s="6" t="s">
        <v>1998</v>
      </c>
      <c r="H715" s="8" t="s">
        <v>2000</v>
      </c>
      <c r="I715" s="14">
        <v>45312</v>
      </c>
    </row>
    <row r="716" spans="1:9" x14ac:dyDescent="0.15">
      <c r="A716" s="5">
        <v>715</v>
      </c>
      <c r="B716" s="6" t="s">
        <v>9</v>
      </c>
      <c r="C716" s="7">
        <v>1884</v>
      </c>
      <c r="D716" s="8">
        <v>45402</v>
      </c>
      <c r="E716" s="9" t="str">
        <f>+HYPERLINK("http://trademark.i-assist.jp/data/china/image_1884th/76519001.pdf", "76519001")</f>
        <v>76519001</v>
      </c>
      <c r="F716" s="6" t="s">
        <v>2001</v>
      </c>
      <c r="G716" s="6" t="s">
        <v>1996</v>
      </c>
      <c r="H716" s="8" t="s">
        <v>1906</v>
      </c>
      <c r="I716" s="14">
        <v>45312</v>
      </c>
    </row>
    <row r="717" spans="1:9" x14ac:dyDescent="0.15">
      <c r="A717" s="5">
        <v>716</v>
      </c>
      <c r="B717" s="6" t="s">
        <v>9</v>
      </c>
      <c r="C717" s="7">
        <v>1884</v>
      </c>
      <c r="D717" s="8">
        <v>45402</v>
      </c>
      <c r="E717" s="9" t="str">
        <f>+HYPERLINK("http://trademark.i-assist.jp/data/china/image_1884th/76519002.pdf", "76519002")</f>
        <v>76519002</v>
      </c>
      <c r="F717" s="6" t="s">
        <v>2002</v>
      </c>
      <c r="G717" s="6" t="s">
        <v>1996</v>
      </c>
      <c r="H717" s="8" t="s">
        <v>2003</v>
      </c>
      <c r="I717" s="14">
        <v>45312</v>
      </c>
    </row>
    <row r="718" spans="1:9" x14ac:dyDescent="0.15">
      <c r="A718" s="5">
        <v>717</v>
      </c>
      <c r="B718" s="6" t="s">
        <v>9</v>
      </c>
      <c r="C718" s="7">
        <v>1884</v>
      </c>
      <c r="D718" s="8">
        <v>45402</v>
      </c>
      <c r="E718" s="9" t="str">
        <f>+HYPERLINK("http://trademark.i-assist.jp/data/china/image_1884th/76519085.pdf", "76519085")</f>
        <v>76519085</v>
      </c>
      <c r="F718" s="6" t="s">
        <v>2004</v>
      </c>
      <c r="G718" s="6" t="s">
        <v>1996</v>
      </c>
      <c r="H718" s="8" t="s">
        <v>2003</v>
      </c>
      <c r="I718" s="14">
        <v>45312</v>
      </c>
    </row>
    <row r="719" spans="1:9" x14ac:dyDescent="0.15">
      <c r="A719" s="5">
        <v>718</v>
      </c>
      <c r="B719" s="6" t="s">
        <v>9</v>
      </c>
      <c r="C719" s="7">
        <v>1884</v>
      </c>
      <c r="D719" s="8">
        <v>45402</v>
      </c>
      <c r="E719" s="9" t="str">
        <f>+HYPERLINK("http://trademark.i-assist.jp/data/china/image_1884th/76519686.pdf", "76519686")</f>
        <v>76519686</v>
      </c>
      <c r="F719" s="6" t="s">
        <v>2006</v>
      </c>
      <c r="G719" s="6" t="s">
        <v>2005</v>
      </c>
      <c r="H719" s="8" t="s">
        <v>2007</v>
      </c>
      <c r="I719" s="14">
        <v>45313</v>
      </c>
    </row>
    <row r="720" spans="1:9" x14ac:dyDescent="0.15">
      <c r="A720" s="5">
        <v>719</v>
      </c>
      <c r="B720" s="6" t="s">
        <v>9</v>
      </c>
      <c r="C720" s="7">
        <v>1884</v>
      </c>
      <c r="D720" s="8">
        <v>45402</v>
      </c>
      <c r="E720" s="9" t="str">
        <f>+HYPERLINK("http://trademark.i-assist.jp/data/china/image_1884th/76519987.pdf", "76519987")</f>
        <v>76519987</v>
      </c>
      <c r="F720" s="6" t="s">
        <v>2009</v>
      </c>
      <c r="G720" s="6" t="s">
        <v>2008</v>
      </c>
      <c r="H720" s="8" t="s">
        <v>2010</v>
      </c>
      <c r="I720" s="14">
        <v>45313</v>
      </c>
    </row>
    <row r="721" spans="1:9" x14ac:dyDescent="0.15">
      <c r="A721" s="5">
        <v>720</v>
      </c>
      <c r="B721" s="6" t="s">
        <v>9</v>
      </c>
      <c r="C721" s="7">
        <v>1884</v>
      </c>
      <c r="D721" s="8">
        <v>45402</v>
      </c>
      <c r="E721" s="9" t="str">
        <f>+HYPERLINK("http://trademark.i-assist.jp/data/china/image_1884th/76520312.pdf", "76520312")</f>
        <v>76520312</v>
      </c>
      <c r="F721" s="6" t="s">
        <v>2012</v>
      </c>
      <c r="G721" s="6" t="s">
        <v>2011</v>
      </c>
      <c r="H721" s="8" t="s">
        <v>2013</v>
      </c>
      <c r="I721" s="14">
        <v>45313</v>
      </c>
    </row>
    <row r="722" spans="1:9" x14ac:dyDescent="0.15">
      <c r="A722" s="5">
        <v>721</v>
      </c>
      <c r="B722" s="6" t="s">
        <v>9</v>
      </c>
      <c r="C722" s="7">
        <v>1884</v>
      </c>
      <c r="D722" s="8">
        <v>45402</v>
      </c>
      <c r="E722" s="9" t="str">
        <f>+HYPERLINK("http://trademark.i-assist.jp/data/china/image_1884th/76520971.pdf", "76520971")</f>
        <v>76520971</v>
      </c>
      <c r="F722" s="6" t="s">
        <v>2015</v>
      </c>
      <c r="G722" s="6" t="s">
        <v>2014</v>
      </c>
      <c r="H722" s="8" t="s">
        <v>2016</v>
      </c>
      <c r="I722" s="14">
        <v>45313</v>
      </c>
    </row>
    <row r="723" spans="1:9" x14ac:dyDescent="0.15">
      <c r="A723" s="5">
        <v>722</v>
      </c>
      <c r="B723" s="6" t="s">
        <v>9</v>
      </c>
      <c r="C723" s="7">
        <v>1884</v>
      </c>
      <c r="D723" s="8">
        <v>45402</v>
      </c>
      <c r="E723" s="9" t="str">
        <f>+HYPERLINK("http://trademark.i-assist.jp/data/china/image_1884th/76521490.pdf", "76521490")</f>
        <v>76521490</v>
      </c>
      <c r="F723" s="6" t="s">
        <v>2018</v>
      </c>
      <c r="G723" s="6" t="s">
        <v>2017</v>
      </c>
      <c r="H723" s="8" t="s">
        <v>2019</v>
      </c>
      <c r="I723" s="14">
        <v>45313</v>
      </c>
    </row>
    <row r="724" spans="1:9" x14ac:dyDescent="0.15">
      <c r="A724" s="5">
        <v>723</v>
      </c>
      <c r="B724" s="6" t="s">
        <v>9</v>
      </c>
      <c r="C724" s="7">
        <v>1884</v>
      </c>
      <c r="D724" s="8">
        <v>45402</v>
      </c>
      <c r="E724" s="9" t="str">
        <f>+HYPERLINK("http://trademark.i-assist.jp/data/china/image_1884th/76521556.pdf", "76521556")</f>
        <v>76521556</v>
      </c>
      <c r="F724" s="6" t="s">
        <v>2021</v>
      </c>
      <c r="G724" s="6" t="s">
        <v>2020</v>
      </c>
      <c r="H724" s="8" t="s">
        <v>2022</v>
      </c>
      <c r="I724" s="14">
        <v>45313</v>
      </c>
    </row>
    <row r="725" spans="1:9" x14ac:dyDescent="0.15">
      <c r="A725" s="5">
        <v>724</v>
      </c>
      <c r="B725" s="6" t="s">
        <v>9</v>
      </c>
      <c r="C725" s="7">
        <v>1884</v>
      </c>
      <c r="D725" s="8">
        <v>45402</v>
      </c>
      <c r="E725" s="9" t="str">
        <f>+HYPERLINK("http://trademark.i-assist.jp/data/china/image_1884th/76521593.pdf", "76521593")</f>
        <v>76521593</v>
      </c>
      <c r="F725" s="6" t="s">
        <v>2024</v>
      </c>
      <c r="G725" s="6" t="s">
        <v>2023</v>
      </c>
      <c r="H725" s="8" t="s">
        <v>2025</v>
      </c>
      <c r="I725" s="14">
        <v>45313</v>
      </c>
    </row>
    <row r="726" spans="1:9" x14ac:dyDescent="0.15">
      <c r="A726" s="5">
        <v>725</v>
      </c>
      <c r="B726" s="6" t="s">
        <v>9</v>
      </c>
      <c r="C726" s="7">
        <v>1884</v>
      </c>
      <c r="D726" s="8">
        <v>45402</v>
      </c>
      <c r="E726" s="9" t="str">
        <f>+HYPERLINK("http://trademark.i-assist.jp/data/china/image_1884th/76521752.pdf", "76521752")</f>
        <v>76521752</v>
      </c>
      <c r="F726" s="6" t="s">
        <v>2027</v>
      </c>
      <c r="G726" s="6" t="s">
        <v>2026</v>
      </c>
      <c r="H726" s="8" t="s">
        <v>2028</v>
      </c>
      <c r="I726" s="14">
        <v>45313</v>
      </c>
    </row>
    <row r="727" spans="1:9" x14ac:dyDescent="0.15">
      <c r="A727" s="5">
        <v>726</v>
      </c>
      <c r="B727" s="6" t="s">
        <v>9</v>
      </c>
      <c r="C727" s="7">
        <v>1884</v>
      </c>
      <c r="D727" s="8">
        <v>45402</v>
      </c>
      <c r="E727" s="9" t="str">
        <f>+HYPERLINK("http://trademark.i-assist.jp/data/china/image_1884th/76522029.pdf", "76522029")</f>
        <v>76522029</v>
      </c>
      <c r="F727" s="6" t="s">
        <v>167</v>
      </c>
      <c r="G727" s="6" t="s">
        <v>2029</v>
      </c>
      <c r="H727" s="8" t="s">
        <v>467</v>
      </c>
      <c r="I727" s="14">
        <v>45313</v>
      </c>
    </row>
    <row r="728" spans="1:9" x14ac:dyDescent="0.15">
      <c r="A728" s="5">
        <v>727</v>
      </c>
      <c r="B728" s="6" t="s">
        <v>9</v>
      </c>
      <c r="C728" s="7">
        <v>1884</v>
      </c>
      <c r="D728" s="8">
        <v>45402</v>
      </c>
      <c r="E728" s="9" t="str">
        <f>+HYPERLINK("http://trademark.i-assist.jp/data/china/image_1884th/76522428.pdf", "76522428")</f>
        <v>76522428</v>
      </c>
      <c r="F728" s="6" t="s">
        <v>2031</v>
      </c>
      <c r="G728" s="6" t="s">
        <v>2030</v>
      </c>
      <c r="H728" s="8" t="s">
        <v>2032</v>
      </c>
      <c r="I728" s="14">
        <v>45313</v>
      </c>
    </row>
    <row r="729" spans="1:9" x14ac:dyDescent="0.15">
      <c r="A729" s="5">
        <v>728</v>
      </c>
      <c r="B729" s="6" t="s">
        <v>9</v>
      </c>
      <c r="C729" s="7">
        <v>1884</v>
      </c>
      <c r="D729" s="8">
        <v>45402</v>
      </c>
      <c r="E729" s="9" t="str">
        <f>+HYPERLINK("http://trademark.i-assist.jp/data/china/image_1884th/76522553.pdf", "76522553")</f>
        <v>76522553</v>
      </c>
      <c r="F729" s="6" t="s">
        <v>2034</v>
      </c>
      <c r="G729" s="6" t="s">
        <v>2033</v>
      </c>
      <c r="H729" s="8" t="s">
        <v>2035</v>
      </c>
      <c r="I729" s="14">
        <v>45313</v>
      </c>
    </row>
    <row r="730" spans="1:9" x14ac:dyDescent="0.15">
      <c r="A730" s="5">
        <v>729</v>
      </c>
      <c r="B730" s="6" t="s">
        <v>9</v>
      </c>
      <c r="C730" s="7">
        <v>1884</v>
      </c>
      <c r="D730" s="8">
        <v>45402</v>
      </c>
      <c r="E730" s="9" t="str">
        <f>+HYPERLINK("http://trademark.i-assist.jp/data/china/image_1884th/76522673.pdf", "76522673")</f>
        <v>76522673</v>
      </c>
      <c r="F730" s="6" t="s">
        <v>2037</v>
      </c>
      <c r="G730" s="6" t="s">
        <v>2036</v>
      </c>
      <c r="H730" s="8" t="s">
        <v>2038</v>
      </c>
      <c r="I730" s="14">
        <v>45313</v>
      </c>
    </row>
    <row r="731" spans="1:9" x14ac:dyDescent="0.15">
      <c r="A731" s="5">
        <v>730</v>
      </c>
      <c r="B731" s="6" t="s">
        <v>9</v>
      </c>
      <c r="C731" s="7">
        <v>1884</v>
      </c>
      <c r="D731" s="8">
        <v>45402</v>
      </c>
      <c r="E731" s="9" t="str">
        <f>+HYPERLINK("http://trademark.i-assist.jp/data/china/image_1884th/76522774.pdf", "76522774")</f>
        <v>76522774</v>
      </c>
      <c r="F731" s="6" t="s">
        <v>2040</v>
      </c>
      <c r="G731" s="6" t="s">
        <v>2039</v>
      </c>
      <c r="H731" s="8" t="s">
        <v>2041</v>
      </c>
      <c r="I731" s="14">
        <v>45313</v>
      </c>
    </row>
    <row r="732" spans="1:9" x14ac:dyDescent="0.15">
      <c r="A732" s="5">
        <v>731</v>
      </c>
      <c r="B732" s="6" t="s">
        <v>9</v>
      </c>
      <c r="C732" s="7">
        <v>1884</v>
      </c>
      <c r="D732" s="8">
        <v>45402</v>
      </c>
      <c r="E732" s="9" t="str">
        <f>+HYPERLINK("http://trademark.i-assist.jp/data/china/image_1884th/76522785.pdf", "76522785")</f>
        <v>76522785</v>
      </c>
      <c r="F732" s="6" t="s">
        <v>2043</v>
      </c>
      <c r="G732" s="6" t="s">
        <v>2042</v>
      </c>
      <c r="H732" s="8" t="s">
        <v>2044</v>
      </c>
      <c r="I732" s="14">
        <v>45313</v>
      </c>
    </row>
    <row r="733" spans="1:9" x14ac:dyDescent="0.15">
      <c r="A733" s="5">
        <v>732</v>
      </c>
      <c r="B733" s="6" t="s">
        <v>9</v>
      </c>
      <c r="C733" s="7">
        <v>1884</v>
      </c>
      <c r="D733" s="8">
        <v>45402</v>
      </c>
      <c r="E733" s="9" t="str">
        <f>+HYPERLINK("http://trademark.i-assist.jp/data/china/image_1884th/76522932.pdf", "76522932")</f>
        <v>76522932</v>
      </c>
      <c r="F733" s="6" t="s">
        <v>2046</v>
      </c>
      <c r="G733" s="6" t="s">
        <v>2045</v>
      </c>
      <c r="H733" s="8" t="s">
        <v>2047</v>
      </c>
      <c r="I733" s="14">
        <v>45313</v>
      </c>
    </row>
    <row r="734" spans="1:9" x14ac:dyDescent="0.15">
      <c r="A734" s="5">
        <v>733</v>
      </c>
      <c r="B734" s="6" t="s">
        <v>9</v>
      </c>
      <c r="C734" s="7">
        <v>1884</v>
      </c>
      <c r="D734" s="8">
        <v>45402</v>
      </c>
      <c r="E734" s="9" t="str">
        <f>+HYPERLINK("http://trademark.i-assist.jp/data/china/image_1884th/76522940.pdf", "76522940")</f>
        <v>76522940</v>
      </c>
      <c r="F734" s="6" t="s">
        <v>2049</v>
      </c>
      <c r="G734" s="6" t="s">
        <v>2048</v>
      </c>
      <c r="H734" s="8" t="s">
        <v>2050</v>
      </c>
      <c r="I734" s="14">
        <v>45313</v>
      </c>
    </row>
    <row r="735" spans="1:9" x14ac:dyDescent="0.15">
      <c r="A735" s="5">
        <v>734</v>
      </c>
      <c r="B735" s="6" t="s">
        <v>9</v>
      </c>
      <c r="C735" s="7">
        <v>1884</v>
      </c>
      <c r="D735" s="8">
        <v>45402</v>
      </c>
      <c r="E735" s="9" t="str">
        <f>+HYPERLINK("http://trademark.i-assist.jp/data/china/image_1884th/76522948.pdf", "76522948")</f>
        <v>76522948</v>
      </c>
      <c r="F735" s="6" t="s">
        <v>2051</v>
      </c>
      <c r="G735" s="6" t="s">
        <v>2048</v>
      </c>
      <c r="H735" s="8" t="s">
        <v>2052</v>
      </c>
      <c r="I735" s="14">
        <v>45313</v>
      </c>
    </row>
    <row r="736" spans="1:9" x14ac:dyDescent="0.15">
      <c r="A736" s="5">
        <v>735</v>
      </c>
      <c r="B736" s="6" t="s">
        <v>9</v>
      </c>
      <c r="C736" s="7">
        <v>1884</v>
      </c>
      <c r="D736" s="8">
        <v>45402</v>
      </c>
      <c r="E736" s="9" t="str">
        <f>+HYPERLINK("http://trademark.i-assist.jp/data/china/image_1884th/76522953.pdf", "76522953")</f>
        <v>76522953</v>
      </c>
      <c r="F736" s="6" t="s">
        <v>2053</v>
      </c>
      <c r="G736" s="6" t="s">
        <v>1360</v>
      </c>
      <c r="H736" s="8" t="s">
        <v>2054</v>
      </c>
      <c r="I736" s="14">
        <v>45313</v>
      </c>
    </row>
    <row r="737" spans="1:9" x14ac:dyDescent="0.15">
      <c r="A737" s="5">
        <v>736</v>
      </c>
      <c r="B737" s="6" t="s">
        <v>9</v>
      </c>
      <c r="C737" s="7">
        <v>1884</v>
      </c>
      <c r="D737" s="8">
        <v>45402</v>
      </c>
      <c r="E737" s="9" t="str">
        <f>+HYPERLINK("http://trademark.i-assist.jp/data/china/image_1884th/76523041.pdf", "76523041")</f>
        <v>76523041</v>
      </c>
      <c r="F737" s="6" t="s">
        <v>2056</v>
      </c>
      <c r="G737" s="6" t="s">
        <v>2055</v>
      </c>
      <c r="H737" s="8" t="s">
        <v>2057</v>
      </c>
      <c r="I737" s="14">
        <v>45313</v>
      </c>
    </row>
    <row r="738" spans="1:9" x14ac:dyDescent="0.15">
      <c r="A738" s="5">
        <v>737</v>
      </c>
      <c r="B738" s="6" t="s">
        <v>9</v>
      </c>
      <c r="C738" s="7">
        <v>1884</v>
      </c>
      <c r="D738" s="8">
        <v>45402</v>
      </c>
      <c r="E738" s="9" t="str">
        <f>+HYPERLINK("http://trademark.i-assist.jp/data/china/image_1884th/76523117.pdf", "76523117")</f>
        <v>76523117</v>
      </c>
      <c r="F738" s="6" t="s">
        <v>2058</v>
      </c>
      <c r="G738" s="6" t="s">
        <v>12</v>
      </c>
      <c r="H738" s="8" t="s">
        <v>2059</v>
      </c>
      <c r="I738" s="14">
        <v>45313</v>
      </c>
    </row>
    <row r="739" spans="1:9" x14ac:dyDescent="0.15">
      <c r="A739" s="5">
        <v>738</v>
      </c>
      <c r="B739" s="6" t="s">
        <v>9</v>
      </c>
      <c r="C739" s="7">
        <v>1884</v>
      </c>
      <c r="D739" s="8">
        <v>45402</v>
      </c>
      <c r="E739" s="9" t="str">
        <f>+HYPERLINK("http://trademark.i-assist.jp/data/china/image_1884th/76523145.pdf", "76523145")</f>
        <v>76523145</v>
      </c>
      <c r="F739" s="6" t="s">
        <v>167</v>
      </c>
      <c r="G739" s="6" t="s">
        <v>2060</v>
      </c>
      <c r="H739" s="8" t="s">
        <v>2061</v>
      </c>
      <c r="I739" s="14">
        <v>45313</v>
      </c>
    </row>
    <row r="740" spans="1:9" x14ac:dyDescent="0.15">
      <c r="A740" s="5">
        <v>739</v>
      </c>
      <c r="B740" s="6" t="s">
        <v>9</v>
      </c>
      <c r="C740" s="7">
        <v>1884</v>
      </c>
      <c r="D740" s="8">
        <v>45402</v>
      </c>
      <c r="E740" s="9" t="str">
        <f>+HYPERLINK("http://trademark.i-assist.jp/data/china/image_1884th/76523286.pdf", "76523286")</f>
        <v>76523286</v>
      </c>
      <c r="F740" s="6" t="s">
        <v>2063</v>
      </c>
      <c r="G740" s="6" t="s">
        <v>2062</v>
      </c>
      <c r="H740" s="8" t="s">
        <v>2064</v>
      </c>
      <c r="I740" s="14">
        <v>45313</v>
      </c>
    </row>
    <row r="741" spans="1:9" x14ac:dyDescent="0.15">
      <c r="A741" s="5">
        <v>740</v>
      </c>
      <c r="B741" s="6" t="s">
        <v>9</v>
      </c>
      <c r="C741" s="7">
        <v>1884</v>
      </c>
      <c r="D741" s="8">
        <v>45402</v>
      </c>
      <c r="E741" s="9" t="str">
        <f>+HYPERLINK("http://trademark.i-assist.jp/data/china/image_1884th/76523308.pdf", "76523308")</f>
        <v>76523308</v>
      </c>
      <c r="F741" s="6" t="s">
        <v>2066</v>
      </c>
      <c r="G741" s="6" t="s">
        <v>2065</v>
      </c>
      <c r="H741" s="8" t="s">
        <v>2067</v>
      </c>
      <c r="I741" s="14">
        <v>45313</v>
      </c>
    </row>
    <row r="742" spans="1:9" x14ac:dyDescent="0.15">
      <c r="A742" s="5">
        <v>741</v>
      </c>
      <c r="B742" s="6" t="s">
        <v>9</v>
      </c>
      <c r="C742" s="7">
        <v>1884</v>
      </c>
      <c r="D742" s="8">
        <v>45402</v>
      </c>
      <c r="E742" s="9" t="str">
        <f>+HYPERLINK("http://trademark.i-assist.jp/data/china/image_1884th/76523310.pdf", "76523310")</f>
        <v>76523310</v>
      </c>
      <c r="F742" s="6" t="s">
        <v>2069</v>
      </c>
      <c r="G742" s="6" t="s">
        <v>2068</v>
      </c>
      <c r="H742" s="8" t="s">
        <v>2070</v>
      </c>
      <c r="I742" s="14">
        <v>45313</v>
      </c>
    </row>
    <row r="743" spans="1:9" x14ac:dyDescent="0.15">
      <c r="A743" s="5">
        <v>742</v>
      </c>
      <c r="B743" s="6" t="s">
        <v>9</v>
      </c>
      <c r="C743" s="7">
        <v>1884</v>
      </c>
      <c r="D743" s="8">
        <v>45402</v>
      </c>
      <c r="E743" s="9" t="str">
        <f>+HYPERLINK("http://trademark.i-assist.jp/data/china/image_1884th/76523567.pdf", "76523567")</f>
        <v>76523567</v>
      </c>
      <c r="F743" s="6" t="s">
        <v>2072</v>
      </c>
      <c r="G743" s="6" t="s">
        <v>2071</v>
      </c>
      <c r="H743" s="8" t="s">
        <v>2073</v>
      </c>
      <c r="I743" s="14">
        <v>45313</v>
      </c>
    </row>
    <row r="744" spans="1:9" x14ac:dyDescent="0.15">
      <c r="A744" s="5">
        <v>743</v>
      </c>
      <c r="B744" s="6" t="s">
        <v>9</v>
      </c>
      <c r="C744" s="7">
        <v>1884</v>
      </c>
      <c r="D744" s="8">
        <v>45402</v>
      </c>
      <c r="E744" s="9" t="str">
        <f>+HYPERLINK("http://trademark.i-assist.jp/data/china/image_1884th/76523679.pdf", "76523679")</f>
        <v>76523679</v>
      </c>
      <c r="F744" s="6" t="s">
        <v>2074</v>
      </c>
      <c r="G744" s="6" t="s">
        <v>2017</v>
      </c>
      <c r="H744" s="8" t="s">
        <v>2075</v>
      </c>
      <c r="I744" s="14">
        <v>45313</v>
      </c>
    </row>
    <row r="745" spans="1:9" x14ac:dyDescent="0.15">
      <c r="A745" s="5">
        <v>744</v>
      </c>
      <c r="B745" s="6" t="s">
        <v>9</v>
      </c>
      <c r="C745" s="7">
        <v>1884</v>
      </c>
      <c r="D745" s="8">
        <v>45402</v>
      </c>
      <c r="E745" s="9" t="str">
        <f>+HYPERLINK("http://trademark.i-assist.jp/data/china/image_1884th/76523687.pdf", "76523687")</f>
        <v>76523687</v>
      </c>
      <c r="F745" s="6" t="s">
        <v>2077</v>
      </c>
      <c r="G745" s="6" t="s">
        <v>2076</v>
      </c>
      <c r="H745" s="8" t="s">
        <v>2078</v>
      </c>
      <c r="I745" s="14">
        <v>45313</v>
      </c>
    </row>
    <row r="746" spans="1:9" x14ac:dyDescent="0.15">
      <c r="A746" s="5">
        <v>745</v>
      </c>
      <c r="B746" s="6" t="s">
        <v>9</v>
      </c>
      <c r="C746" s="7">
        <v>1884</v>
      </c>
      <c r="D746" s="8">
        <v>45402</v>
      </c>
      <c r="E746" s="9" t="str">
        <f>+HYPERLINK("http://trademark.i-assist.jp/data/china/image_1884th/76524122.pdf", "76524122")</f>
        <v>76524122</v>
      </c>
      <c r="F746" s="6" t="s">
        <v>2080</v>
      </c>
      <c r="G746" s="6" t="s">
        <v>2079</v>
      </c>
      <c r="H746" s="8" t="s">
        <v>2081</v>
      </c>
      <c r="I746" s="14">
        <v>45313</v>
      </c>
    </row>
    <row r="747" spans="1:9" x14ac:dyDescent="0.15">
      <c r="A747" s="5">
        <v>746</v>
      </c>
      <c r="B747" s="6" t="s">
        <v>9</v>
      </c>
      <c r="C747" s="7">
        <v>1884</v>
      </c>
      <c r="D747" s="8">
        <v>45402</v>
      </c>
      <c r="E747" s="9" t="str">
        <f>+HYPERLINK("http://trademark.i-assist.jp/data/china/image_1884th/76524201.pdf", "76524201")</f>
        <v>76524201</v>
      </c>
      <c r="F747" s="6" t="s">
        <v>2083</v>
      </c>
      <c r="G747" s="6" t="s">
        <v>2082</v>
      </c>
      <c r="H747" s="8" t="s">
        <v>2084</v>
      </c>
      <c r="I747" s="14">
        <v>45313</v>
      </c>
    </row>
    <row r="748" spans="1:9" x14ac:dyDescent="0.15">
      <c r="A748" s="5">
        <v>747</v>
      </c>
      <c r="B748" s="6" t="s">
        <v>9</v>
      </c>
      <c r="C748" s="7">
        <v>1884</v>
      </c>
      <c r="D748" s="8">
        <v>45402</v>
      </c>
      <c r="E748" s="9" t="str">
        <f>+HYPERLINK("http://trademark.i-assist.jp/data/china/image_1884th/76524220.pdf", "76524220")</f>
        <v>76524220</v>
      </c>
      <c r="F748" s="6" t="s">
        <v>2085</v>
      </c>
      <c r="G748" s="6" t="s">
        <v>2082</v>
      </c>
      <c r="H748" s="8" t="s">
        <v>2084</v>
      </c>
      <c r="I748" s="14">
        <v>45313</v>
      </c>
    </row>
    <row r="749" spans="1:9" x14ac:dyDescent="0.15">
      <c r="A749" s="5">
        <v>748</v>
      </c>
      <c r="B749" s="6" t="s">
        <v>9</v>
      </c>
      <c r="C749" s="7">
        <v>1884</v>
      </c>
      <c r="D749" s="8">
        <v>45402</v>
      </c>
      <c r="E749" s="9" t="str">
        <f>+HYPERLINK("http://trademark.i-assist.jp/data/china/image_1884th/76525021.pdf", "76525021")</f>
        <v>76525021</v>
      </c>
      <c r="F749" s="6" t="s">
        <v>2087</v>
      </c>
      <c r="G749" s="6" t="s">
        <v>2086</v>
      </c>
      <c r="H749" s="8" t="s">
        <v>2088</v>
      </c>
      <c r="I749" s="14">
        <v>45313</v>
      </c>
    </row>
    <row r="750" spans="1:9" x14ac:dyDescent="0.15">
      <c r="A750" s="5">
        <v>749</v>
      </c>
      <c r="B750" s="6" t="s">
        <v>9</v>
      </c>
      <c r="C750" s="7">
        <v>1884</v>
      </c>
      <c r="D750" s="8">
        <v>45402</v>
      </c>
      <c r="E750" s="9" t="str">
        <f>+HYPERLINK("http://trademark.i-assist.jp/data/china/image_1884th/76525269.pdf", "76525269")</f>
        <v>76525269</v>
      </c>
      <c r="F750" s="6" t="s">
        <v>2090</v>
      </c>
      <c r="G750" s="6" t="s">
        <v>2089</v>
      </c>
      <c r="H750" s="8" t="s">
        <v>2091</v>
      </c>
      <c r="I750" s="14">
        <v>45313</v>
      </c>
    </row>
    <row r="751" spans="1:9" x14ac:dyDescent="0.15">
      <c r="A751" s="5">
        <v>750</v>
      </c>
      <c r="B751" s="6" t="s">
        <v>9</v>
      </c>
      <c r="C751" s="7">
        <v>1884</v>
      </c>
      <c r="D751" s="8">
        <v>45402</v>
      </c>
      <c r="E751" s="9" t="str">
        <f>+HYPERLINK("http://trademark.i-assist.jp/data/china/image_1884th/76525315.pdf", "76525315")</f>
        <v>76525315</v>
      </c>
      <c r="F751" s="6" t="s">
        <v>2093</v>
      </c>
      <c r="G751" s="6" t="s">
        <v>2092</v>
      </c>
      <c r="H751" s="8" t="s">
        <v>2094</v>
      </c>
      <c r="I751" s="14">
        <v>45313</v>
      </c>
    </row>
    <row r="752" spans="1:9" x14ac:dyDescent="0.15">
      <c r="A752" s="5">
        <v>751</v>
      </c>
      <c r="B752" s="6" t="s">
        <v>9</v>
      </c>
      <c r="C752" s="7">
        <v>1884</v>
      </c>
      <c r="D752" s="8">
        <v>45402</v>
      </c>
      <c r="E752" s="9" t="str">
        <f>+HYPERLINK("http://trademark.i-assist.jp/data/china/image_1884th/76525474.pdf", "76525474")</f>
        <v>76525474</v>
      </c>
      <c r="F752" s="6" t="s">
        <v>2096</v>
      </c>
      <c r="G752" s="6" t="s">
        <v>2095</v>
      </c>
      <c r="H752" s="8" t="s">
        <v>2097</v>
      </c>
      <c r="I752" s="14">
        <v>45313</v>
      </c>
    </row>
    <row r="753" spans="1:9" x14ac:dyDescent="0.15">
      <c r="A753" s="5">
        <v>752</v>
      </c>
      <c r="B753" s="6" t="s">
        <v>9</v>
      </c>
      <c r="C753" s="7">
        <v>1884</v>
      </c>
      <c r="D753" s="8">
        <v>45402</v>
      </c>
      <c r="E753" s="9" t="str">
        <f>+HYPERLINK("http://trademark.i-assist.jp/data/china/image_1884th/76525547.pdf", "76525547")</f>
        <v>76525547</v>
      </c>
      <c r="F753" s="6" t="s">
        <v>2099</v>
      </c>
      <c r="G753" s="6" t="s">
        <v>2098</v>
      </c>
      <c r="H753" s="8" t="s">
        <v>2100</v>
      </c>
      <c r="I753" s="14">
        <v>45313</v>
      </c>
    </row>
    <row r="754" spans="1:9" x14ac:dyDescent="0.15">
      <c r="A754" s="5">
        <v>753</v>
      </c>
      <c r="B754" s="6" t="s">
        <v>9</v>
      </c>
      <c r="C754" s="7">
        <v>1884</v>
      </c>
      <c r="D754" s="8">
        <v>45402</v>
      </c>
      <c r="E754" s="9" t="str">
        <f>+HYPERLINK("http://trademark.i-assist.jp/data/china/image_1884th/76525578.pdf", "76525578")</f>
        <v>76525578</v>
      </c>
      <c r="F754" s="6" t="s">
        <v>2101</v>
      </c>
      <c r="G754" s="6" t="s">
        <v>2039</v>
      </c>
      <c r="H754" s="8" t="s">
        <v>2041</v>
      </c>
      <c r="I754" s="14">
        <v>45313</v>
      </c>
    </row>
    <row r="755" spans="1:9" x14ac:dyDescent="0.15">
      <c r="A755" s="5">
        <v>754</v>
      </c>
      <c r="B755" s="6" t="s">
        <v>9</v>
      </c>
      <c r="C755" s="7">
        <v>1884</v>
      </c>
      <c r="D755" s="8">
        <v>45402</v>
      </c>
      <c r="E755" s="9" t="str">
        <f>+HYPERLINK("http://trademark.i-assist.jp/data/china/image_1884th/76525672.pdf", "76525672")</f>
        <v>76525672</v>
      </c>
      <c r="F755" s="6" t="s">
        <v>2103</v>
      </c>
      <c r="G755" s="6" t="s">
        <v>2102</v>
      </c>
      <c r="H755" s="8" t="s">
        <v>2104</v>
      </c>
      <c r="I755" s="14">
        <v>45313</v>
      </c>
    </row>
    <row r="756" spans="1:9" x14ac:dyDescent="0.15">
      <c r="A756" s="5">
        <v>755</v>
      </c>
      <c r="B756" s="6" t="s">
        <v>9</v>
      </c>
      <c r="C756" s="7">
        <v>1884</v>
      </c>
      <c r="D756" s="8">
        <v>45402</v>
      </c>
      <c r="E756" s="9" t="str">
        <f>+HYPERLINK("http://trademark.i-assist.jp/data/china/image_1884th/76525690.pdf", "76525690")</f>
        <v>76525690</v>
      </c>
      <c r="F756" s="6" t="s">
        <v>2106</v>
      </c>
      <c r="G756" s="6" t="s">
        <v>2105</v>
      </c>
      <c r="H756" s="8" t="s">
        <v>2107</v>
      </c>
      <c r="I756" s="14">
        <v>45313</v>
      </c>
    </row>
    <row r="757" spans="1:9" x14ac:dyDescent="0.15">
      <c r="A757" s="5">
        <v>756</v>
      </c>
      <c r="B757" s="6" t="s">
        <v>9</v>
      </c>
      <c r="C757" s="7">
        <v>1884</v>
      </c>
      <c r="D757" s="8">
        <v>45402</v>
      </c>
      <c r="E757" s="9" t="str">
        <f>+HYPERLINK("http://trademark.i-assist.jp/data/china/image_1884th/76525786.pdf", "76525786")</f>
        <v>76525786</v>
      </c>
      <c r="F757" s="6" t="s">
        <v>2109</v>
      </c>
      <c r="G757" s="6" t="s">
        <v>2108</v>
      </c>
      <c r="H757" s="8" t="s">
        <v>2110</v>
      </c>
      <c r="I757" s="14">
        <v>45313</v>
      </c>
    </row>
    <row r="758" spans="1:9" x14ac:dyDescent="0.15">
      <c r="A758" s="5">
        <v>757</v>
      </c>
      <c r="B758" s="6" t="s">
        <v>9</v>
      </c>
      <c r="C758" s="7">
        <v>1884</v>
      </c>
      <c r="D758" s="8">
        <v>45402</v>
      </c>
      <c r="E758" s="9" t="str">
        <f>+HYPERLINK("http://trademark.i-assist.jp/data/china/image_1884th/76525842.pdf", "76525842")</f>
        <v>76525842</v>
      </c>
      <c r="F758" s="6" t="s">
        <v>2112</v>
      </c>
      <c r="G758" s="6" t="s">
        <v>2111</v>
      </c>
      <c r="H758" s="8" t="s">
        <v>2113</v>
      </c>
      <c r="I758" s="14">
        <v>45313</v>
      </c>
    </row>
    <row r="759" spans="1:9" x14ac:dyDescent="0.15">
      <c r="A759" s="5">
        <v>758</v>
      </c>
      <c r="B759" s="6" t="s">
        <v>9</v>
      </c>
      <c r="C759" s="7">
        <v>1884</v>
      </c>
      <c r="D759" s="8">
        <v>45402</v>
      </c>
      <c r="E759" s="9" t="str">
        <f>+HYPERLINK("http://trademark.i-assist.jp/data/china/image_1884th/76526022.pdf", "76526022")</f>
        <v>76526022</v>
      </c>
      <c r="F759" s="6" t="s">
        <v>2115</v>
      </c>
      <c r="G759" s="6" t="s">
        <v>2114</v>
      </c>
      <c r="H759" s="8" t="s">
        <v>2116</v>
      </c>
      <c r="I759" s="14">
        <v>45313</v>
      </c>
    </row>
    <row r="760" spans="1:9" x14ac:dyDescent="0.15">
      <c r="A760" s="5">
        <v>759</v>
      </c>
      <c r="B760" s="6" t="s">
        <v>9</v>
      </c>
      <c r="C760" s="7">
        <v>1884</v>
      </c>
      <c r="D760" s="8">
        <v>45402</v>
      </c>
      <c r="E760" s="9" t="str">
        <f>+HYPERLINK("http://trademark.i-assist.jp/data/china/image_1884th/76526384.pdf", "76526384")</f>
        <v>76526384</v>
      </c>
      <c r="F760" s="6" t="s">
        <v>2118</v>
      </c>
      <c r="G760" s="6" t="s">
        <v>2117</v>
      </c>
      <c r="H760" s="8" t="s">
        <v>2119</v>
      </c>
      <c r="I760" s="14">
        <v>45313</v>
      </c>
    </row>
    <row r="761" spans="1:9" x14ac:dyDescent="0.15">
      <c r="A761" s="5">
        <v>760</v>
      </c>
      <c r="B761" s="6" t="s">
        <v>9</v>
      </c>
      <c r="C761" s="7">
        <v>1884</v>
      </c>
      <c r="D761" s="8">
        <v>45402</v>
      </c>
      <c r="E761" s="9" t="str">
        <f>+HYPERLINK("http://trademark.i-assist.jp/data/china/image_1884th/76527465.pdf", "76527465")</f>
        <v>76527465</v>
      </c>
      <c r="F761" s="6" t="s">
        <v>2121</v>
      </c>
      <c r="G761" s="6" t="s">
        <v>2120</v>
      </c>
      <c r="H761" s="8" t="s">
        <v>2122</v>
      </c>
      <c r="I761" s="14">
        <v>45313</v>
      </c>
    </row>
    <row r="762" spans="1:9" x14ac:dyDescent="0.15">
      <c r="A762" s="5">
        <v>761</v>
      </c>
      <c r="B762" s="6" t="s">
        <v>9</v>
      </c>
      <c r="C762" s="7">
        <v>1884</v>
      </c>
      <c r="D762" s="8">
        <v>45402</v>
      </c>
      <c r="E762" s="9" t="str">
        <f>+HYPERLINK("http://trademark.i-assist.jp/data/china/image_1884th/76527728.pdf", "76527728")</f>
        <v>76527728</v>
      </c>
      <c r="F762" s="6" t="s">
        <v>2124</v>
      </c>
      <c r="G762" s="6" t="s">
        <v>2123</v>
      </c>
      <c r="H762" s="8" t="s">
        <v>2125</v>
      </c>
      <c r="I762" s="14">
        <v>45313</v>
      </c>
    </row>
    <row r="763" spans="1:9" x14ac:dyDescent="0.15">
      <c r="A763" s="5">
        <v>762</v>
      </c>
      <c r="B763" s="6" t="s">
        <v>9</v>
      </c>
      <c r="C763" s="7">
        <v>1884</v>
      </c>
      <c r="D763" s="8">
        <v>45402</v>
      </c>
      <c r="E763" s="9" t="str">
        <f>+HYPERLINK("http://trademark.i-assist.jp/data/china/image_1884th/76528027.pdf", "76528027")</f>
        <v>76528027</v>
      </c>
      <c r="F763" s="6" t="s">
        <v>2127</v>
      </c>
      <c r="G763" s="6" t="s">
        <v>2126</v>
      </c>
      <c r="H763" s="8" t="s">
        <v>2128</v>
      </c>
      <c r="I763" s="14">
        <v>45313</v>
      </c>
    </row>
    <row r="764" spans="1:9" x14ac:dyDescent="0.15">
      <c r="A764" s="5">
        <v>763</v>
      </c>
      <c r="B764" s="6" t="s">
        <v>9</v>
      </c>
      <c r="C764" s="7">
        <v>1884</v>
      </c>
      <c r="D764" s="8">
        <v>45402</v>
      </c>
      <c r="E764" s="9" t="str">
        <f>+HYPERLINK("http://trademark.i-assist.jp/data/china/image_1884th/76528045.pdf", "76528045")</f>
        <v>76528045</v>
      </c>
      <c r="F764" s="6" t="s">
        <v>2130</v>
      </c>
      <c r="G764" s="6" t="s">
        <v>2129</v>
      </c>
      <c r="H764" s="8" t="s">
        <v>2131</v>
      </c>
      <c r="I764" s="14">
        <v>45313</v>
      </c>
    </row>
    <row r="765" spans="1:9" x14ac:dyDescent="0.15">
      <c r="A765" s="5">
        <v>764</v>
      </c>
      <c r="B765" s="6" t="s">
        <v>9</v>
      </c>
      <c r="C765" s="7">
        <v>1884</v>
      </c>
      <c r="D765" s="8">
        <v>45402</v>
      </c>
      <c r="E765" s="9" t="str">
        <f>+HYPERLINK("http://trademark.i-assist.jp/data/china/image_1884th/76528538.pdf", "76528538")</f>
        <v>76528538</v>
      </c>
      <c r="F765" s="6" t="s">
        <v>2133</v>
      </c>
      <c r="G765" s="6" t="s">
        <v>2132</v>
      </c>
      <c r="H765" s="8" t="s">
        <v>2134</v>
      </c>
      <c r="I765" s="14">
        <v>45313</v>
      </c>
    </row>
    <row r="766" spans="1:9" x14ac:dyDescent="0.15">
      <c r="A766" s="5">
        <v>765</v>
      </c>
      <c r="B766" s="6" t="s">
        <v>9</v>
      </c>
      <c r="C766" s="7">
        <v>1884</v>
      </c>
      <c r="D766" s="8">
        <v>45402</v>
      </c>
      <c r="E766" s="9" t="str">
        <f>+HYPERLINK("http://trademark.i-assist.jp/data/china/image_1884th/76528578.pdf", "76528578")</f>
        <v>76528578</v>
      </c>
      <c r="F766" s="6" t="s">
        <v>2135</v>
      </c>
      <c r="G766" s="6" t="s">
        <v>211</v>
      </c>
      <c r="H766" s="8" t="s">
        <v>2136</v>
      </c>
      <c r="I766" s="14">
        <v>45313</v>
      </c>
    </row>
    <row r="767" spans="1:9" x14ac:dyDescent="0.15">
      <c r="A767" s="5">
        <v>766</v>
      </c>
      <c r="B767" s="6" t="s">
        <v>9</v>
      </c>
      <c r="C767" s="7">
        <v>1884</v>
      </c>
      <c r="D767" s="8">
        <v>45402</v>
      </c>
      <c r="E767" s="9" t="str">
        <f>+HYPERLINK("http://trademark.i-assist.jp/data/china/image_1884th/76528644.pdf", "76528644")</f>
        <v>76528644</v>
      </c>
      <c r="F767" s="6" t="s">
        <v>2137</v>
      </c>
      <c r="G767" s="6" t="s">
        <v>2068</v>
      </c>
      <c r="H767" s="8" t="s">
        <v>2138</v>
      </c>
      <c r="I767" s="14">
        <v>45313</v>
      </c>
    </row>
    <row r="768" spans="1:9" x14ac:dyDescent="0.15">
      <c r="A768" s="5">
        <v>767</v>
      </c>
      <c r="B768" s="6" t="s">
        <v>9</v>
      </c>
      <c r="C768" s="7">
        <v>1884</v>
      </c>
      <c r="D768" s="8">
        <v>45402</v>
      </c>
      <c r="E768" s="9" t="str">
        <f>+HYPERLINK("http://trademark.i-assist.jp/data/china/image_1884th/76528656.pdf", "76528656")</f>
        <v>76528656</v>
      </c>
      <c r="F768" s="6" t="s">
        <v>2139</v>
      </c>
      <c r="G768" s="6" t="s">
        <v>2036</v>
      </c>
      <c r="H768" s="8" t="s">
        <v>2140</v>
      </c>
      <c r="I768" s="14">
        <v>45313</v>
      </c>
    </row>
    <row r="769" spans="1:9" x14ac:dyDescent="0.15">
      <c r="A769" s="5">
        <v>768</v>
      </c>
      <c r="B769" s="6" t="s">
        <v>9</v>
      </c>
      <c r="C769" s="7">
        <v>1884</v>
      </c>
      <c r="D769" s="8">
        <v>45402</v>
      </c>
      <c r="E769" s="9" t="str">
        <f>+HYPERLINK("http://trademark.i-assist.jp/data/china/image_1884th/76528714.pdf", "76528714")</f>
        <v>76528714</v>
      </c>
      <c r="F769" s="6" t="s">
        <v>2142</v>
      </c>
      <c r="G769" s="6" t="s">
        <v>2141</v>
      </c>
      <c r="H769" s="8" t="s">
        <v>2143</v>
      </c>
      <c r="I769" s="14">
        <v>45313</v>
      </c>
    </row>
    <row r="770" spans="1:9" x14ac:dyDescent="0.15">
      <c r="A770" s="5">
        <v>769</v>
      </c>
      <c r="B770" s="6" t="s">
        <v>9</v>
      </c>
      <c r="C770" s="7">
        <v>1884</v>
      </c>
      <c r="D770" s="8">
        <v>45402</v>
      </c>
      <c r="E770" s="9" t="str">
        <f>+HYPERLINK("http://trademark.i-assist.jp/data/china/image_1884th/76528746.pdf", "76528746")</f>
        <v>76528746</v>
      </c>
      <c r="F770" s="6" t="s">
        <v>2144</v>
      </c>
      <c r="G770" s="6" t="s">
        <v>99</v>
      </c>
      <c r="H770" s="8" t="s">
        <v>2145</v>
      </c>
      <c r="I770" s="14">
        <v>45313</v>
      </c>
    </row>
    <row r="771" spans="1:9" x14ac:dyDescent="0.15">
      <c r="A771" s="5">
        <v>770</v>
      </c>
      <c r="B771" s="6" t="s">
        <v>9</v>
      </c>
      <c r="C771" s="7">
        <v>1884</v>
      </c>
      <c r="D771" s="8">
        <v>45402</v>
      </c>
      <c r="E771" s="9" t="str">
        <f>+HYPERLINK("http://trademark.i-assist.jp/data/china/image_1884th/76528794.pdf", "76528794")</f>
        <v>76528794</v>
      </c>
      <c r="F771" s="6" t="s">
        <v>167</v>
      </c>
      <c r="G771" s="6" t="s">
        <v>2146</v>
      </c>
      <c r="H771" s="8" t="s">
        <v>2147</v>
      </c>
      <c r="I771" s="14">
        <v>45313</v>
      </c>
    </row>
    <row r="772" spans="1:9" x14ac:dyDescent="0.15">
      <c r="A772" s="5">
        <v>771</v>
      </c>
      <c r="B772" s="6" t="s">
        <v>9</v>
      </c>
      <c r="C772" s="7">
        <v>1884</v>
      </c>
      <c r="D772" s="8">
        <v>45402</v>
      </c>
      <c r="E772" s="9" t="str">
        <f>+HYPERLINK("http://trademark.i-assist.jp/data/china/image_1884th/76528870.pdf", "76528870")</f>
        <v>76528870</v>
      </c>
      <c r="F772" s="6" t="s">
        <v>2149</v>
      </c>
      <c r="G772" s="6" t="s">
        <v>2148</v>
      </c>
      <c r="H772" s="8" t="s">
        <v>2150</v>
      </c>
      <c r="I772" s="14">
        <v>45313</v>
      </c>
    </row>
    <row r="773" spans="1:9" x14ac:dyDescent="0.15">
      <c r="A773" s="5">
        <v>772</v>
      </c>
      <c r="B773" s="6" t="s">
        <v>9</v>
      </c>
      <c r="C773" s="7">
        <v>1884</v>
      </c>
      <c r="D773" s="8">
        <v>45402</v>
      </c>
      <c r="E773" s="9" t="str">
        <f>+HYPERLINK("http://trademark.i-assist.jp/data/china/image_1884th/76528892.pdf", "76528892")</f>
        <v>76528892</v>
      </c>
      <c r="F773" s="6" t="s">
        <v>2152</v>
      </c>
      <c r="G773" s="6" t="s">
        <v>2151</v>
      </c>
      <c r="H773" s="8" t="s">
        <v>2153</v>
      </c>
      <c r="I773" s="14">
        <v>45313</v>
      </c>
    </row>
    <row r="774" spans="1:9" x14ac:dyDescent="0.15">
      <c r="A774" s="5">
        <v>773</v>
      </c>
      <c r="B774" s="6" t="s">
        <v>9</v>
      </c>
      <c r="C774" s="7">
        <v>1884</v>
      </c>
      <c r="D774" s="8">
        <v>45402</v>
      </c>
      <c r="E774" s="9" t="str">
        <f>+HYPERLINK("http://trademark.i-assist.jp/data/china/image_1884th/76529113.pdf", "76529113")</f>
        <v>76529113</v>
      </c>
      <c r="F774" s="6" t="s">
        <v>2155</v>
      </c>
      <c r="G774" s="6" t="s">
        <v>2154</v>
      </c>
      <c r="H774" s="8" t="s">
        <v>2156</v>
      </c>
      <c r="I774" s="14">
        <v>45313</v>
      </c>
    </row>
    <row r="775" spans="1:9" x14ac:dyDescent="0.15">
      <c r="A775" s="5">
        <v>774</v>
      </c>
      <c r="B775" s="6" t="s">
        <v>9</v>
      </c>
      <c r="C775" s="7">
        <v>1884</v>
      </c>
      <c r="D775" s="8">
        <v>45402</v>
      </c>
      <c r="E775" s="9" t="str">
        <f>+HYPERLINK("http://trademark.i-assist.jp/data/china/image_1884th/76529122.pdf", "76529122")</f>
        <v>76529122</v>
      </c>
      <c r="F775" s="6" t="s">
        <v>2158</v>
      </c>
      <c r="G775" s="6" t="s">
        <v>2157</v>
      </c>
      <c r="H775" s="8" t="s">
        <v>2159</v>
      </c>
      <c r="I775" s="14">
        <v>45313</v>
      </c>
    </row>
    <row r="776" spans="1:9" x14ac:dyDescent="0.15">
      <c r="A776" s="5">
        <v>775</v>
      </c>
      <c r="B776" s="6" t="s">
        <v>9</v>
      </c>
      <c r="C776" s="7">
        <v>1884</v>
      </c>
      <c r="D776" s="8">
        <v>45402</v>
      </c>
      <c r="E776" s="9" t="str">
        <f>+HYPERLINK("http://trademark.i-assist.jp/data/china/image_1884th/76529422.pdf", "76529422")</f>
        <v>76529422</v>
      </c>
      <c r="F776" s="6" t="s">
        <v>2160</v>
      </c>
      <c r="G776" s="6" t="s">
        <v>2071</v>
      </c>
      <c r="H776" s="8" t="s">
        <v>2073</v>
      </c>
      <c r="I776" s="14">
        <v>45313</v>
      </c>
    </row>
    <row r="777" spans="1:9" x14ac:dyDescent="0.15">
      <c r="A777" s="5">
        <v>776</v>
      </c>
      <c r="B777" s="6" t="s">
        <v>9</v>
      </c>
      <c r="C777" s="7">
        <v>1884</v>
      </c>
      <c r="D777" s="8">
        <v>45402</v>
      </c>
      <c r="E777" s="9" t="str">
        <f>+HYPERLINK("http://trademark.i-assist.jp/data/china/image_1884th/76529622.pdf", "76529622")</f>
        <v>76529622</v>
      </c>
      <c r="F777" s="6" t="s">
        <v>2162</v>
      </c>
      <c r="G777" s="6" t="s">
        <v>2161</v>
      </c>
      <c r="H777" s="8" t="s">
        <v>2163</v>
      </c>
      <c r="I777" s="14">
        <v>45313</v>
      </c>
    </row>
    <row r="778" spans="1:9" x14ac:dyDescent="0.15">
      <c r="A778" s="5">
        <v>777</v>
      </c>
      <c r="B778" s="6" t="s">
        <v>9</v>
      </c>
      <c r="C778" s="7">
        <v>1884</v>
      </c>
      <c r="D778" s="8">
        <v>45402</v>
      </c>
      <c r="E778" s="9" t="str">
        <f>+HYPERLINK("http://trademark.i-assist.jp/data/china/image_1884th/76530329.pdf", "76530329")</f>
        <v>76530329</v>
      </c>
      <c r="F778" s="6" t="s">
        <v>2165</v>
      </c>
      <c r="G778" s="6" t="s">
        <v>2164</v>
      </c>
      <c r="H778" s="8" t="s">
        <v>2166</v>
      </c>
      <c r="I778" s="14">
        <v>45313</v>
      </c>
    </row>
    <row r="779" spans="1:9" x14ac:dyDescent="0.15">
      <c r="A779" s="5">
        <v>778</v>
      </c>
      <c r="B779" s="6" t="s">
        <v>9</v>
      </c>
      <c r="C779" s="7">
        <v>1884</v>
      </c>
      <c r="D779" s="8">
        <v>45402</v>
      </c>
      <c r="E779" s="9" t="str">
        <f>+HYPERLINK("http://trademark.i-assist.jp/data/china/image_1884th/76530384.pdf", "76530384")</f>
        <v>76530384</v>
      </c>
      <c r="F779" s="6" t="s">
        <v>2167</v>
      </c>
      <c r="G779" s="6" t="s">
        <v>2148</v>
      </c>
      <c r="H779" s="8" t="s">
        <v>2150</v>
      </c>
      <c r="I779" s="14">
        <v>45313</v>
      </c>
    </row>
    <row r="780" spans="1:9" x14ac:dyDescent="0.15">
      <c r="A780" s="5">
        <v>779</v>
      </c>
      <c r="B780" s="6" t="s">
        <v>9</v>
      </c>
      <c r="C780" s="7">
        <v>1884</v>
      </c>
      <c r="D780" s="8">
        <v>45402</v>
      </c>
      <c r="E780" s="9" t="str">
        <f>+HYPERLINK("http://trademark.i-assist.jp/data/china/image_1884th/76530414.pdf", "76530414")</f>
        <v>76530414</v>
      </c>
      <c r="F780" s="6" t="s">
        <v>2169</v>
      </c>
      <c r="G780" s="6" t="s">
        <v>2168</v>
      </c>
      <c r="H780" s="8" t="s">
        <v>2170</v>
      </c>
      <c r="I780" s="14">
        <v>45313</v>
      </c>
    </row>
    <row r="781" spans="1:9" x14ac:dyDescent="0.15">
      <c r="A781" s="5">
        <v>780</v>
      </c>
      <c r="B781" s="6" t="s">
        <v>9</v>
      </c>
      <c r="C781" s="7">
        <v>1884</v>
      </c>
      <c r="D781" s="8">
        <v>45402</v>
      </c>
      <c r="E781" s="9" t="str">
        <f>+HYPERLINK("http://trademark.i-assist.jp/data/china/image_1884th/76530510.pdf", "76530510")</f>
        <v>76530510</v>
      </c>
      <c r="F781" s="6" t="s">
        <v>2172</v>
      </c>
      <c r="G781" s="6" t="s">
        <v>2171</v>
      </c>
      <c r="H781" s="8" t="s">
        <v>2173</v>
      </c>
      <c r="I781" s="14">
        <v>45313</v>
      </c>
    </row>
    <row r="782" spans="1:9" x14ac:dyDescent="0.15">
      <c r="A782" s="5">
        <v>781</v>
      </c>
      <c r="B782" s="6" t="s">
        <v>9</v>
      </c>
      <c r="C782" s="7">
        <v>1884</v>
      </c>
      <c r="D782" s="8">
        <v>45402</v>
      </c>
      <c r="E782" s="9" t="str">
        <f>+HYPERLINK("http://trademark.i-assist.jp/data/china/image_1884th/76531554.pdf", "76531554")</f>
        <v>76531554</v>
      </c>
      <c r="F782" s="6" t="s">
        <v>167</v>
      </c>
      <c r="G782" s="6" t="s">
        <v>2174</v>
      </c>
      <c r="H782" s="8" t="s">
        <v>2175</v>
      </c>
      <c r="I782" s="14">
        <v>45313</v>
      </c>
    </row>
    <row r="783" spans="1:9" x14ac:dyDescent="0.15">
      <c r="A783" s="5">
        <v>782</v>
      </c>
      <c r="B783" s="6" t="s">
        <v>9</v>
      </c>
      <c r="C783" s="7">
        <v>1884</v>
      </c>
      <c r="D783" s="8">
        <v>45402</v>
      </c>
      <c r="E783" s="9" t="str">
        <f>+HYPERLINK("http://trademark.i-assist.jp/data/china/image_1884th/76531748.pdf", "76531748")</f>
        <v>76531748</v>
      </c>
      <c r="F783" s="6" t="s">
        <v>2177</v>
      </c>
      <c r="G783" s="6" t="s">
        <v>2176</v>
      </c>
      <c r="H783" s="8" t="s">
        <v>2178</v>
      </c>
      <c r="I783" s="14">
        <v>45313</v>
      </c>
    </row>
    <row r="784" spans="1:9" x14ac:dyDescent="0.15">
      <c r="A784" s="5">
        <v>783</v>
      </c>
      <c r="B784" s="6" t="s">
        <v>9</v>
      </c>
      <c r="C784" s="7">
        <v>1884</v>
      </c>
      <c r="D784" s="8">
        <v>45402</v>
      </c>
      <c r="E784" s="9" t="str">
        <f>+HYPERLINK("http://trademark.i-assist.jp/data/china/image_1884th/76532017.pdf", "76532017")</f>
        <v>76532017</v>
      </c>
      <c r="F784" s="6" t="s">
        <v>2180</v>
      </c>
      <c r="G784" s="6" t="s">
        <v>2179</v>
      </c>
      <c r="H784" s="8" t="s">
        <v>2181</v>
      </c>
      <c r="I784" s="14">
        <v>45313</v>
      </c>
    </row>
    <row r="785" spans="1:9" x14ac:dyDescent="0.15">
      <c r="A785" s="5">
        <v>784</v>
      </c>
      <c r="B785" s="6" t="s">
        <v>9</v>
      </c>
      <c r="C785" s="7">
        <v>1884</v>
      </c>
      <c r="D785" s="8">
        <v>45402</v>
      </c>
      <c r="E785" s="9" t="str">
        <f>+HYPERLINK("http://trademark.i-assist.jp/data/china/image_1884th/76532074.pdf", "76532074")</f>
        <v>76532074</v>
      </c>
      <c r="F785" s="6" t="s">
        <v>2183</v>
      </c>
      <c r="G785" s="6" t="s">
        <v>2182</v>
      </c>
      <c r="H785" s="8" t="s">
        <v>2184</v>
      </c>
      <c r="I785" s="14">
        <v>45313</v>
      </c>
    </row>
    <row r="786" spans="1:9" x14ac:dyDescent="0.15">
      <c r="A786" s="5">
        <v>785</v>
      </c>
      <c r="B786" s="6" t="s">
        <v>9</v>
      </c>
      <c r="C786" s="7">
        <v>1884</v>
      </c>
      <c r="D786" s="8">
        <v>45402</v>
      </c>
      <c r="E786" s="9" t="str">
        <f>+HYPERLINK("http://trademark.i-assist.jp/data/china/image_1884th/76532379.pdf", "76532379")</f>
        <v>76532379</v>
      </c>
      <c r="F786" s="6" t="s">
        <v>2186</v>
      </c>
      <c r="G786" s="6" t="s">
        <v>2185</v>
      </c>
      <c r="H786" s="8" t="s">
        <v>2187</v>
      </c>
      <c r="I786" s="14">
        <v>45313</v>
      </c>
    </row>
    <row r="787" spans="1:9" x14ac:dyDescent="0.15">
      <c r="A787" s="5">
        <v>786</v>
      </c>
      <c r="B787" s="6" t="s">
        <v>9</v>
      </c>
      <c r="C787" s="7">
        <v>1884</v>
      </c>
      <c r="D787" s="8">
        <v>45402</v>
      </c>
      <c r="E787" s="9" t="str">
        <f>+HYPERLINK("http://trademark.i-assist.jp/data/china/image_1884th/76532414.pdf", "76532414")</f>
        <v>76532414</v>
      </c>
      <c r="F787" s="6" t="s">
        <v>2189</v>
      </c>
      <c r="G787" s="6" t="s">
        <v>2188</v>
      </c>
      <c r="H787" s="8" t="s">
        <v>2190</v>
      </c>
      <c r="I787" s="14">
        <v>45313</v>
      </c>
    </row>
    <row r="788" spans="1:9" x14ac:dyDescent="0.15">
      <c r="A788" s="5">
        <v>787</v>
      </c>
      <c r="B788" s="6" t="s">
        <v>9</v>
      </c>
      <c r="C788" s="7">
        <v>1884</v>
      </c>
      <c r="D788" s="8">
        <v>45402</v>
      </c>
      <c r="E788" s="9" t="str">
        <f>+HYPERLINK("http://trademark.i-assist.jp/data/china/image_1884th/76532470.pdf", "76532470")</f>
        <v>76532470</v>
      </c>
      <c r="F788" s="6" t="s">
        <v>2192</v>
      </c>
      <c r="G788" s="6" t="s">
        <v>2191</v>
      </c>
      <c r="H788" s="8" t="s">
        <v>2193</v>
      </c>
      <c r="I788" s="14">
        <v>45313</v>
      </c>
    </row>
    <row r="789" spans="1:9" x14ac:dyDescent="0.15">
      <c r="A789" s="5">
        <v>788</v>
      </c>
      <c r="B789" s="6" t="s">
        <v>9</v>
      </c>
      <c r="C789" s="7">
        <v>1884</v>
      </c>
      <c r="D789" s="8">
        <v>45402</v>
      </c>
      <c r="E789" s="9" t="str">
        <f>+HYPERLINK("http://trademark.i-assist.jp/data/china/image_1884th/76532977.pdf", "76532977")</f>
        <v>76532977</v>
      </c>
      <c r="F789" s="6" t="s">
        <v>2195</v>
      </c>
      <c r="G789" s="6" t="s">
        <v>2194</v>
      </c>
      <c r="H789" s="8" t="s">
        <v>2196</v>
      </c>
      <c r="I789" s="14">
        <v>45313</v>
      </c>
    </row>
    <row r="790" spans="1:9" x14ac:dyDescent="0.15">
      <c r="A790" s="5">
        <v>789</v>
      </c>
      <c r="B790" s="6" t="s">
        <v>9</v>
      </c>
      <c r="C790" s="7">
        <v>1884</v>
      </c>
      <c r="D790" s="8">
        <v>45402</v>
      </c>
      <c r="E790" s="9" t="str">
        <f>+HYPERLINK("http://trademark.i-assist.jp/data/china/image_1884th/76533472.pdf", "76533472")</f>
        <v>76533472</v>
      </c>
      <c r="F790" s="6" t="s">
        <v>2198</v>
      </c>
      <c r="G790" s="6" t="s">
        <v>2197</v>
      </c>
      <c r="H790" s="8" t="s">
        <v>2199</v>
      </c>
      <c r="I790" s="14">
        <v>45313</v>
      </c>
    </row>
    <row r="791" spans="1:9" x14ac:dyDescent="0.15">
      <c r="A791" s="5">
        <v>790</v>
      </c>
      <c r="B791" s="6" t="s">
        <v>9</v>
      </c>
      <c r="C791" s="7">
        <v>1884</v>
      </c>
      <c r="D791" s="8">
        <v>45402</v>
      </c>
      <c r="E791" s="9" t="str">
        <f>+HYPERLINK("http://trademark.i-assist.jp/data/china/image_1884th/76533879.pdf", "76533879")</f>
        <v>76533879</v>
      </c>
      <c r="F791" s="6" t="s">
        <v>2201</v>
      </c>
      <c r="G791" s="6" t="s">
        <v>2200</v>
      </c>
      <c r="H791" s="8" t="s">
        <v>2202</v>
      </c>
      <c r="I791" s="14">
        <v>45313</v>
      </c>
    </row>
    <row r="792" spans="1:9" x14ac:dyDescent="0.15">
      <c r="A792" s="5">
        <v>791</v>
      </c>
      <c r="B792" s="6" t="s">
        <v>9</v>
      </c>
      <c r="C792" s="7">
        <v>1884</v>
      </c>
      <c r="D792" s="8">
        <v>45402</v>
      </c>
      <c r="E792" s="9" t="str">
        <f>+HYPERLINK("http://trademark.i-assist.jp/data/china/image_1884th/76534020.pdf", "76534020")</f>
        <v>76534020</v>
      </c>
      <c r="F792" s="6" t="s">
        <v>2204</v>
      </c>
      <c r="G792" s="6" t="s">
        <v>2203</v>
      </c>
      <c r="H792" s="8" t="s">
        <v>2205</v>
      </c>
      <c r="I792" s="14">
        <v>45313</v>
      </c>
    </row>
    <row r="793" spans="1:9" x14ac:dyDescent="0.15">
      <c r="A793" s="5">
        <v>792</v>
      </c>
      <c r="B793" s="6" t="s">
        <v>9</v>
      </c>
      <c r="C793" s="7">
        <v>1884</v>
      </c>
      <c r="D793" s="8">
        <v>45402</v>
      </c>
      <c r="E793" s="9" t="str">
        <f>+HYPERLINK("http://trademark.i-assist.jp/data/china/image_1884th/76534025.pdf", "76534025")</f>
        <v>76534025</v>
      </c>
      <c r="F793" s="6" t="s">
        <v>2206</v>
      </c>
      <c r="G793" s="6" t="s">
        <v>2203</v>
      </c>
      <c r="H793" s="8" t="s">
        <v>2207</v>
      </c>
      <c r="I793" s="14">
        <v>45313</v>
      </c>
    </row>
    <row r="794" spans="1:9" x14ac:dyDescent="0.15">
      <c r="A794" s="5">
        <v>793</v>
      </c>
      <c r="B794" s="6" t="s">
        <v>9</v>
      </c>
      <c r="C794" s="7">
        <v>1884</v>
      </c>
      <c r="D794" s="8">
        <v>45402</v>
      </c>
      <c r="E794" s="9" t="str">
        <f>+HYPERLINK("http://trademark.i-assist.jp/data/china/image_1884th/76534178.pdf", "76534178")</f>
        <v>76534178</v>
      </c>
      <c r="F794" s="6" t="s">
        <v>2209</v>
      </c>
      <c r="G794" s="6" t="s">
        <v>2208</v>
      </c>
      <c r="H794" s="8" t="s">
        <v>2210</v>
      </c>
      <c r="I794" s="14">
        <v>45313</v>
      </c>
    </row>
    <row r="795" spans="1:9" x14ac:dyDescent="0.15">
      <c r="A795" s="5">
        <v>794</v>
      </c>
      <c r="B795" s="6" t="s">
        <v>9</v>
      </c>
      <c r="C795" s="7">
        <v>1884</v>
      </c>
      <c r="D795" s="8">
        <v>45402</v>
      </c>
      <c r="E795" s="9" t="str">
        <f>+HYPERLINK("http://trademark.i-assist.jp/data/china/image_1884th/76534236.pdf", "76534236")</f>
        <v>76534236</v>
      </c>
      <c r="F795" s="6" t="s">
        <v>2212</v>
      </c>
      <c r="G795" s="6" t="s">
        <v>2211</v>
      </c>
      <c r="H795" s="8" t="s">
        <v>2213</v>
      </c>
      <c r="I795" s="14">
        <v>45313</v>
      </c>
    </row>
    <row r="796" spans="1:9" x14ac:dyDescent="0.15">
      <c r="A796" s="5">
        <v>795</v>
      </c>
      <c r="B796" s="6" t="s">
        <v>9</v>
      </c>
      <c r="C796" s="7">
        <v>1884</v>
      </c>
      <c r="D796" s="8">
        <v>45402</v>
      </c>
      <c r="E796" s="9" t="str">
        <f>+HYPERLINK("http://trademark.i-assist.jp/data/china/image_1884th/76534302.pdf", "76534302")</f>
        <v>76534302</v>
      </c>
      <c r="F796" s="6" t="s">
        <v>2215</v>
      </c>
      <c r="G796" s="6" t="s">
        <v>2214</v>
      </c>
      <c r="H796" s="8" t="s">
        <v>2216</v>
      </c>
      <c r="I796" s="14">
        <v>45313</v>
      </c>
    </row>
    <row r="797" spans="1:9" x14ac:dyDescent="0.15">
      <c r="A797" s="5">
        <v>796</v>
      </c>
      <c r="B797" s="6" t="s">
        <v>9</v>
      </c>
      <c r="C797" s="7">
        <v>1884</v>
      </c>
      <c r="D797" s="8">
        <v>45402</v>
      </c>
      <c r="E797" s="9" t="str">
        <f>+HYPERLINK("http://trademark.i-assist.jp/data/china/image_1884th/76534738.pdf", "76534738")</f>
        <v>76534738</v>
      </c>
      <c r="F797" s="6" t="s">
        <v>2217</v>
      </c>
      <c r="G797" s="6" t="s">
        <v>2062</v>
      </c>
      <c r="H797" s="8" t="s">
        <v>2064</v>
      </c>
      <c r="I797" s="14">
        <v>45313</v>
      </c>
    </row>
    <row r="798" spans="1:9" x14ac:dyDescent="0.15">
      <c r="A798" s="5">
        <v>797</v>
      </c>
      <c r="B798" s="6" t="s">
        <v>9</v>
      </c>
      <c r="C798" s="7">
        <v>1884</v>
      </c>
      <c r="D798" s="8">
        <v>45402</v>
      </c>
      <c r="E798" s="9" t="str">
        <f>+HYPERLINK("http://trademark.i-assist.jp/data/china/image_1884th/76534884.pdf", "76534884")</f>
        <v>76534884</v>
      </c>
      <c r="F798" s="6" t="s">
        <v>2219</v>
      </c>
      <c r="G798" s="6" t="s">
        <v>2218</v>
      </c>
      <c r="H798" s="8" t="s">
        <v>2220</v>
      </c>
      <c r="I798" s="14">
        <v>45313</v>
      </c>
    </row>
    <row r="799" spans="1:9" x14ac:dyDescent="0.15">
      <c r="A799" s="5">
        <v>798</v>
      </c>
      <c r="B799" s="6" t="s">
        <v>9</v>
      </c>
      <c r="C799" s="7">
        <v>1884</v>
      </c>
      <c r="D799" s="8">
        <v>45402</v>
      </c>
      <c r="E799" s="9" t="str">
        <f>+HYPERLINK("http://trademark.i-assist.jp/data/china/image_1884th/76535051.pdf", "76535051")</f>
        <v>76535051</v>
      </c>
      <c r="F799" s="6" t="s">
        <v>2222</v>
      </c>
      <c r="G799" s="6" t="s">
        <v>2221</v>
      </c>
      <c r="H799" s="8" t="s">
        <v>2223</v>
      </c>
      <c r="I799" s="14">
        <v>45313</v>
      </c>
    </row>
    <row r="800" spans="1:9" x14ac:dyDescent="0.15">
      <c r="A800" s="5">
        <v>799</v>
      </c>
      <c r="B800" s="6" t="s">
        <v>9</v>
      </c>
      <c r="C800" s="7">
        <v>1884</v>
      </c>
      <c r="D800" s="8">
        <v>45402</v>
      </c>
      <c r="E800" s="9" t="str">
        <f>+HYPERLINK("http://trademark.i-assist.jp/data/china/image_1884th/76535761.pdf", "76535761")</f>
        <v>76535761</v>
      </c>
      <c r="F800" s="6" t="s">
        <v>2225</v>
      </c>
      <c r="G800" s="6" t="s">
        <v>2224</v>
      </c>
      <c r="H800" s="8" t="s">
        <v>2226</v>
      </c>
      <c r="I800" s="14">
        <v>45313</v>
      </c>
    </row>
    <row r="801" spans="1:9" x14ac:dyDescent="0.15">
      <c r="A801" s="5">
        <v>800</v>
      </c>
      <c r="B801" s="6" t="s">
        <v>9</v>
      </c>
      <c r="C801" s="7">
        <v>1884</v>
      </c>
      <c r="D801" s="8">
        <v>45402</v>
      </c>
      <c r="E801" s="9" t="str">
        <f>+HYPERLINK("http://trademark.i-assist.jp/data/china/image_1884th/76535785.pdf", "76535785")</f>
        <v>76535785</v>
      </c>
      <c r="F801" s="6" t="s">
        <v>2228</v>
      </c>
      <c r="G801" s="6" t="s">
        <v>2227</v>
      </c>
      <c r="H801" s="8" t="s">
        <v>2229</v>
      </c>
      <c r="I801" s="14">
        <v>45313</v>
      </c>
    </row>
    <row r="802" spans="1:9" x14ac:dyDescent="0.15">
      <c r="A802" s="5">
        <v>801</v>
      </c>
      <c r="B802" s="6" t="s">
        <v>9</v>
      </c>
      <c r="C802" s="7">
        <v>1884</v>
      </c>
      <c r="D802" s="8">
        <v>45402</v>
      </c>
      <c r="E802" s="9" t="str">
        <f>+HYPERLINK("http://trademark.i-assist.jp/data/china/image_1884th/76535889.pdf", "76535889")</f>
        <v>76535889</v>
      </c>
      <c r="F802" s="6" t="s">
        <v>2230</v>
      </c>
      <c r="G802" s="6" t="s">
        <v>2082</v>
      </c>
      <c r="H802" s="8" t="s">
        <v>2231</v>
      </c>
      <c r="I802" s="14">
        <v>45313</v>
      </c>
    </row>
    <row r="803" spans="1:9" x14ac:dyDescent="0.15">
      <c r="A803" s="5">
        <v>802</v>
      </c>
      <c r="B803" s="6" t="s">
        <v>9</v>
      </c>
      <c r="C803" s="7">
        <v>1884</v>
      </c>
      <c r="D803" s="8">
        <v>45402</v>
      </c>
      <c r="E803" s="9" t="str">
        <f>+HYPERLINK("http://trademark.i-assist.jp/data/china/image_1884th/76536207.pdf", "76536207")</f>
        <v>76536207</v>
      </c>
      <c r="F803" s="6" t="s">
        <v>2233</v>
      </c>
      <c r="G803" s="6" t="s">
        <v>2232</v>
      </c>
      <c r="H803" s="8" t="s">
        <v>2234</v>
      </c>
      <c r="I803" s="14">
        <v>45313</v>
      </c>
    </row>
    <row r="804" spans="1:9" x14ac:dyDescent="0.15">
      <c r="A804" s="5">
        <v>803</v>
      </c>
      <c r="B804" s="6" t="s">
        <v>9</v>
      </c>
      <c r="C804" s="7">
        <v>1884</v>
      </c>
      <c r="D804" s="8">
        <v>45402</v>
      </c>
      <c r="E804" s="9" t="str">
        <f>+HYPERLINK("http://trademark.i-assist.jp/data/china/image_1884th/76536441.pdf", "76536441")</f>
        <v>76536441</v>
      </c>
      <c r="F804" s="6" t="s">
        <v>2236</v>
      </c>
      <c r="G804" s="6" t="s">
        <v>2235</v>
      </c>
      <c r="H804" s="8" t="s">
        <v>2237</v>
      </c>
      <c r="I804" s="14">
        <v>45313</v>
      </c>
    </row>
    <row r="805" spans="1:9" x14ac:dyDescent="0.15">
      <c r="A805" s="5">
        <v>804</v>
      </c>
      <c r="B805" s="6" t="s">
        <v>9</v>
      </c>
      <c r="C805" s="7">
        <v>1884</v>
      </c>
      <c r="D805" s="8">
        <v>45402</v>
      </c>
      <c r="E805" s="9" t="str">
        <f>+HYPERLINK("http://trademark.i-assist.jp/data/china/image_1884th/76536474.pdf", "76536474")</f>
        <v>76536474</v>
      </c>
      <c r="F805" s="6" t="s">
        <v>2239</v>
      </c>
      <c r="G805" s="6" t="s">
        <v>2238</v>
      </c>
      <c r="H805" s="8" t="s">
        <v>2240</v>
      </c>
      <c r="I805" s="14">
        <v>45313</v>
      </c>
    </row>
    <row r="806" spans="1:9" x14ac:dyDescent="0.15">
      <c r="A806" s="5">
        <v>805</v>
      </c>
      <c r="B806" s="6" t="s">
        <v>9</v>
      </c>
      <c r="C806" s="7">
        <v>1884</v>
      </c>
      <c r="D806" s="8">
        <v>45402</v>
      </c>
      <c r="E806" s="9" t="str">
        <f>+HYPERLINK("http://trademark.i-assist.jp/data/china/image_1884th/76536509.pdf", "76536509")</f>
        <v>76536509</v>
      </c>
      <c r="F806" s="6" t="s">
        <v>167</v>
      </c>
      <c r="G806" s="6" t="s">
        <v>2241</v>
      </c>
      <c r="H806" s="8" t="s">
        <v>2242</v>
      </c>
      <c r="I806" s="14">
        <v>45313</v>
      </c>
    </row>
    <row r="807" spans="1:9" x14ac:dyDescent="0.15">
      <c r="A807" s="5">
        <v>806</v>
      </c>
      <c r="B807" s="6" t="s">
        <v>9</v>
      </c>
      <c r="C807" s="7">
        <v>1884</v>
      </c>
      <c r="D807" s="8">
        <v>45402</v>
      </c>
      <c r="E807" s="9" t="str">
        <f>+HYPERLINK("http://trademark.i-assist.jp/data/china/image_1884th/76536630.pdf", "76536630")</f>
        <v>76536630</v>
      </c>
      <c r="F807" s="6" t="s">
        <v>2243</v>
      </c>
      <c r="G807" s="6" t="s">
        <v>2148</v>
      </c>
      <c r="H807" s="8" t="s">
        <v>2150</v>
      </c>
      <c r="I807" s="14">
        <v>45313</v>
      </c>
    </row>
    <row r="808" spans="1:9" x14ac:dyDescent="0.15">
      <c r="A808" s="5">
        <v>807</v>
      </c>
      <c r="B808" s="6" t="s">
        <v>9</v>
      </c>
      <c r="C808" s="7">
        <v>1884</v>
      </c>
      <c r="D808" s="8">
        <v>45402</v>
      </c>
      <c r="E808" s="9" t="str">
        <f>+HYPERLINK("http://trademark.i-assist.jp/data/china/image_1884th/76536678.pdf", "76536678")</f>
        <v>76536678</v>
      </c>
      <c r="F808" s="6" t="s">
        <v>2245</v>
      </c>
      <c r="G808" s="6" t="s">
        <v>2244</v>
      </c>
      <c r="H808" s="8" t="s">
        <v>2246</v>
      </c>
      <c r="I808" s="14">
        <v>45313</v>
      </c>
    </row>
    <row r="809" spans="1:9" x14ac:dyDescent="0.15">
      <c r="A809" s="5">
        <v>808</v>
      </c>
      <c r="B809" s="6" t="s">
        <v>9</v>
      </c>
      <c r="C809" s="7">
        <v>1884</v>
      </c>
      <c r="D809" s="8">
        <v>45402</v>
      </c>
      <c r="E809" s="9" t="str">
        <f>+HYPERLINK("http://trademark.i-assist.jp/data/china/image_1884th/76536740.pdf", "76536740")</f>
        <v>76536740</v>
      </c>
      <c r="F809" s="6" t="s">
        <v>2248</v>
      </c>
      <c r="G809" s="6" t="s">
        <v>2247</v>
      </c>
      <c r="H809" s="8" t="s">
        <v>2249</v>
      </c>
      <c r="I809" s="14">
        <v>45313</v>
      </c>
    </row>
    <row r="810" spans="1:9" x14ac:dyDescent="0.15">
      <c r="A810" s="5">
        <v>809</v>
      </c>
      <c r="B810" s="6" t="s">
        <v>9</v>
      </c>
      <c r="C810" s="7">
        <v>1884</v>
      </c>
      <c r="D810" s="8">
        <v>45402</v>
      </c>
      <c r="E810" s="9" t="str">
        <f>+HYPERLINK("http://trademark.i-assist.jp/data/china/image_1884th/76537282.pdf", "76537282")</f>
        <v>76537282</v>
      </c>
      <c r="F810" s="6" t="s">
        <v>2251</v>
      </c>
      <c r="G810" s="6" t="s">
        <v>2250</v>
      </c>
      <c r="H810" s="8" t="s">
        <v>2252</v>
      </c>
      <c r="I810" s="14">
        <v>45313</v>
      </c>
    </row>
    <row r="811" spans="1:9" x14ac:dyDescent="0.15">
      <c r="A811" s="5">
        <v>810</v>
      </c>
      <c r="B811" s="6" t="s">
        <v>9</v>
      </c>
      <c r="C811" s="7">
        <v>1884</v>
      </c>
      <c r="D811" s="8">
        <v>45402</v>
      </c>
      <c r="E811" s="9" t="str">
        <f>+HYPERLINK("http://trademark.i-assist.jp/data/china/image_1884th/76538537.pdf", "76538537")</f>
        <v>76538537</v>
      </c>
      <c r="F811" s="6" t="s">
        <v>2254</v>
      </c>
      <c r="G811" s="6" t="s">
        <v>2253</v>
      </c>
      <c r="H811" s="8" t="s">
        <v>2255</v>
      </c>
      <c r="I811" s="14">
        <v>45313</v>
      </c>
    </row>
    <row r="812" spans="1:9" x14ac:dyDescent="0.15">
      <c r="A812" s="5">
        <v>811</v>
      </c>
      <c r="B812" s="6" t="s">
        <v>9</v>
      </c>
      <c r="C812" s="7">
        <v>1884</v>
      </c>
      <c r="D812" s="8">
        <v>45402</v>
      </c>
      <c r="E812" s="9" t="str">
        <f>+HYPERLINK("http://trademark.i-assist.jp/data/china/image_1884th/76538556.pdf", "76538556")</f>
        <v>76538556</v>
      </c>
      <c r="F812" s="6" t="s">
        <v>2256</v>
      </c>
      <c r="G812" s="6" t="s">
        <v>2253</v>
      </c>
      <c r="H812" s="8" t="s">
        <v>2257</v>
      </c>
      <c r="I812" s="14">
        <v>45313</v>
      </c>
    </row>
    <row r="813" spans="1:9" x14ac:dyDescent="0.15">
      <c r="A813" s="5">
        <v>812</v>
      </c>
      <c r="B813" s="6" t="s">
        <v>9</v>
      </c>
      <c r="C813" s="7">
        <v>1884</v>
      </c>
      <c r="D813" s="8">
        <v>45402</v>
      </c>
      <c r="E813" s="9" t="str">
        <f>+HYPERLINK("http://trademark.i-assist.jp/data/china/image_1884th/76538613.pdf", "76538613")</f>
        <v>76538613</v>
      </c>
      <c r="F813" s="6" t="s">
        <v>2258</v>
      </c>
      <c r="G813" s="6" t="s">
        <v>2208</v>
      </c>
      <c r="H813" s="8" t="s">
        <v>2259</v>
      </c>
      <c r="I813" s="14">
        <v>45313</v>
      </c>
    </row>
    <row r="814" spans="1:9" x14ac:dyDescent="0.15">
      <c r="A814" s="5">
        <v>813</v>
      </c>
      <c r="B814" s="6" t="s">
        <v>9</v>
      </c>
      <c r="C814" s="7">
        <v>1884</v>
      </c>
      <c r="D814" s="8">
        <v>45402</v>
      </c>
      <c r="E814" s="9" t="str">
        <f>+HYPERLINK("http://trademark.i-assist.jp/data/china/image_1884th/76538980.pdf", "76538980")</f>
        <v>76538980</v>
      </c>
      <c r="F814" s="6" t="s">
        <v>2261</v>
      </c>
      <c r="G814" s="6" t="s">
        <v>2260</v>
      </c>
      <c r="H814" s="8" t="s">
        <v>2262</v>
      </c>
      <c r="I814" s="14">
        <v>45313</v>
      </c>
    </row>
    <row r="815" spans="1:9" x14ac:dyDescent="0.15">
      <c r="A815" s="5">
        <v>814</v>
      </c>
      <c r="B815" s="6" t="s">
        <v>9</v>
      </c>
      <c r="C815" s="7">
        <v>1884</v>
      </c>
      <c r="D815" s="8">
        <v>45402</v>
      </c>
      <c r="E815" s="9" t="str">
        <f>+HYPERLINK("http://trademark.i-assist.jp/data/china/image_1884th/76539069.pdf", "76539069")</f>
        <v>76539069</v>
      </c>
      <c r="F815" s="6" t="s">
        <v>2263</v>
      </c>
      <c r="G815" s="6" t="s">
        <v>2068</v>
      </c>
      <c r="H815" s="8" t="s">
        <v>2264</v>
      </c>
      <c r="I815" s="14">
        <v>45313</v>
      </c>
    </row>
    <row r="816" spans="1:9" x14ac:dyDescent="0.15">
      <c r="A816" s="5">
        <v>815</v>
      </c>
      <c r="B816" s="6" t="s">
        <v>9</v>
      </c>
      <c r="C816" s="7">
        <v>1884</v>
      </c>
      <c r="D816" s="8">
        <v>45402</v>
      </c>
      <c r="E816" s="9" t="str">
        <f>+HYPERLINK("http://trademark.i-assist.jp/data/china/image_1884th/76539397.pdf", "76539397")</f>
        <v>76539397</v>
      </c>
      <c r="F816" s="6" t="s">
        <v>2266</v>
      </c>
      <c r="G816" s="6" t="s">
        <v>2265</v>
      </c>
      <c r="H816" s="8" t="s">
        <v>2267</v>
      </c>
      <c r="I816" s="14">
        <v>45313</v>
      </c>
    </row>
    <row r="817" spans="1:9" x14ac:dyDescent="0.15">
      <c r="A817" s="5">
        <v>816</v>
      </c>
      <c r="B817" s="6" t="s">
        <v>9</v>
      </c>
      <c r="C817" s="7">
        <v>1884</v>
      </c>
      <c r="D817" s="8">
        <v>45402</v>
      </c>
      <c r="E817" s="9" t="str">
        <f>+HYPERLINK("http://trademark.i-assist.jp/data/china/image_1884th/76539661.pdf", "76539661")</f>
        <v>76539661</v>
      </c>
      <c r="F817" s="6" t="s">
        <v>2269</v>
      </c>
      <c r="G817" s="6" t="s">
        <v>2268</v>
      </c>
      <c r="H817" s="8" t="s">
        <v>2270</v>
      </c>
      <c r="I817" s="14">
        <v>45313</v>
      </c>
    </row>
    <row r="818" spans="1:9" x14ac:dyDescent="0.15">
      <c r="A818" s="5">
        <v>817</v>
      </c>
      <c r="B818" s="6" t="s">
        <v>9</v>
      </c>
      <c r="C818" s="7">
        <v>1884</v>
      </c>
      <c r="D818" s="8">
        <v>45402</v>
      </c>
      <c r="E818" s="9" t="str">
        <f>+HYPERLINK("http://trademark.i-assist.jp/data/china/image_1884th/76539786.pdf", "76539786")</f>
        <v>76539786</v>
      </c>
      <c r="F818" s="6" t="s">
        <v>2272</v>
      </c>
      <c r="G818" s="6" t="s">
        <v>2271</v>
      </c>
      <c r="H818" s="8" t="s">
        <v>2273</v>
      </c>
      <c r="I818" s="14">
        <v>45313</v>
      </c>
    </row>
    <row r="819" spans="1:9" x14ac:dyDescent="0.15">
      <c r="A819" s="5">
        <v>818</v>
      </c>
      <c r="B819" s="6" t="s">
        <v>9</v>
      </c>
      <c r="C819" s="7">
        <v>1884</v>
      </c>
      <c r="D819" s="8">
        <v>45402</v>
      </c>
      <c r="E819" s="9" t="str">
        <f>+HYPERLINK("http://trademark.i-assist.jp/data/china/image_1884th/76539916.pdf", "76539916")</f>
        <v>76539916</v>
      </c>
      <c r="F819" s="6" t="s">
        <v>2275</v>
      </c>
      <c r="G819" s="6" t="s">
        <v>2274</v>
      </c>
      <c r="H819" s="8" t="s">
        <v>2276</v>
      </c>
      <c r="I819" s="14">
        <v>45313</v>
      </c>
    </row>
    <row r="820" spans="1:9" x14ac:dyDescent="0.15">
      <c r="A820" s="5">
        <v>819</v>
      </c>
      <c r="B820" s="6" t="s">
        <v>9</v>
      </c>
      <c r="C820" s="7">
        <v>1884</v>
      </c>
      <c r="D820" s="8">
        <v>45402</v>
      </c>
      <c r="E820" s="9" t="str">
        <f>+HYPERLINK("http://trademark.i-assist.jp/data/china/image_1884th/76540292.pdf", "76540292")</f>
        <v>76540292</v>
      </c>
      <c r="F820" s="6" t="s">
        <v>2278</v>
      </c>
      <c r="G820" s="6" t="s">
        <v>2277</v>
      </c>
      <c r="H820" s="8" t="s">
        <v>2279</v>
      </c>
      <c r="I820" s="14">
        <v>45313</v>
      </c>
    </row>
    <row r="821" spans="1:9" x14ac:dyDescent="0.15">
      <c r="A821" s="5">
        <v>820</v>
      </c>
      <c r="B821" s="6" t="s">
        <v>9</v>
      </c>
      <c r="C821" s="7">
        <v>1884</v>
      </c>
      <c r="D821" s="8">
        <v>45402</v>
      </c>
      <c r="E821" s="9" t="str">
        <f>+HYPERLINK("http://trademark.i-assist.jp/data/china/image_1884th/76540730.pdf", "76540730")</f>
        <v>76540730</v>
      </c>
      <c r="F821" s="6" t="s">
        <v>2281</v>
      </c>
      <c r="G821" s="6" t="s">
        <v>2280</v>
      </c>
      <c r="H821" s="8" t="s">
        <v>2282</v>
      </c>
      <c r="I821" s="14">
        <v>45313</v>
      </c>
    </row>
    <row r="822" spans="1:9" x14ac:dyDescent="0.15">
      <c r="A822" s="5">
        <v>821</v>
      </c>
      <c r="B822" s="6" t="s">
        <v>9</v>
      </c>
      <c r="C822" s="7">
        <v>1884</v>
      </c>
      <c r="D822" s="8">
        <v>45402</v>
      </c>
      <c r="E822" s="9" t="str">
        <f>+HYPERLINK("http://trademark.i-assist.jp/data/china/image_1884th/76540786.pdf", "76540786")</f>
        <v>76540786</v>
      </c>
      <c r="F822" s="6" t="s">
        <v>2284</v>
      </c>
      <c r="G822" s="6" t="s">
        <v>2283</v>
      </c>
      <c r="H822" s="8" t="s">
        <v>1876</v>
      </c>
      <c r="I822" s="14">
        <v>45313</v>
      </c>
    </row>
    <row r="823" spans="1:9" x14ac:dyDescent="0.15">
      <c r="A823" s="5">
        <v>822</v>
      </c>
      <c r="B823" s="6" t="s">
        <v>9</v>
      </c>
      <c r="C823" s="7">
        <v>1884</v>
      </c>
      <c r="D823" s="8">
        <v>45402</v>
      </c>
      <c r="E823" s="9" t="str">
        <f>+HYPERLINK("http://trademark.i-assist.jp/data/china/image_1884th/76540877.pdf", "76540877")</f>
        <v>76540877</v>
      </c>
      <c r="F823" s="6" t="s">
        <v>2286</v>
      </c>
      <c r="G823" s="6" t="s">
        <v>2285</v>
      </c>
      <c r="H823" s="8" t="s">
        <v>2287</v>
      </c>
      <c r="I823" s="14">
        <v>45313</v>
      </c>
    </row>
    <row r="824" spans="1:9" x14ac:dyDescent="0.15">
      <c r="A824" s="5">
        <v>823</v>
      </c>
      <c r="B824" s="6" t="s">
        <v>9</v>
      </c>
      <c r="C824" s="7">
        <v>1884</v>
      </c>
      <c r="D824" s="8">
        <v>45402</v>
      </c>
      <c r="E824" s="9" t="str">
        <f>+HYPERLINK("http://trademark.i-assist.jp/data/china/image_1884th/76540946.pdf", "76540946")</f>
        <v>76540946</v>
      </c>
      <c r="F824" s="6" t="s">
        <v>2289</v>
      </c>
      <c r="G824" s="6" t="s">
        <v>2288</v>
      </c>
      <c r="H824" s="8" t="s">
        <v>2290</v>
      </c>
      <c r="I824" s="14">
        <v>45313</v>
      </c>
    </row>
    <row r="825" spans="1:9" x14ac:dyDescent="0.15">
      <c r="A825" s="5">
        <v>824</v>
      </c>
      <c r="B825" s="6" t="s">
        <v>9</v>
      </c>
      <c r="C825" s="7">
        <v>1884</v>
      </c>
      <c r="D825" s="8">
        <v>45402</v>
      </c>
      <c r="E825" s="9" t="str">
        <f>+HYPERLINK("http://trademark.i-assist.jp/data/china/image_1884th/76540998.pdf", "76540998")</f>
        <v>76540998</v>
      </c>
      <c r="F825" s="6" t="s">
        <v>2292</v>
      </c>
      <c r="G825" s="6" t="s">
        <v>2291</v>
      </c>
      <c r="H825" s="8" t="s">
        <v>2293</v>
      </c>
      <c r="I825" s="14">
        <v>45313</v>
      </c>
    </row>
    <row r="826" spans="1:9" x14ac:dyDescent="0.15">
      <c r="A826" s="5">
        <v>825</v>
      </c>
      <c r="B826" s="6" t="s">
        <v>9</v>
      </c>
      <c r="C826" s="7">
        <v>1884</v>
      </c>
      <c r="D826" s="8">
        <v>45402</v>
      </c>
      <c r="E826" s="9" t="str">
        <f>+HYPERLINK("http://trademark.i-assist.jp/data/china/image_1884th/76541030.pdf", "76541030")</f>
        <v>76541030</v>
      </c>
      <c r="F826" s="6" t="s">
        <v>2294</v>
      </c>
      <c r="G826" s="6" t="s">
        <v>2253</v>
      </c>
      <c r="H826" s="8" t="s">
        <v>2255</v>
      </c>
      <c r="I826" s="14">
        <v>45313</v>
      </c>
    </row>
    <row r="827" spans="1:9" x14ac:dyDescent="0.15">
      <c r="A827" s="5">
        <v>826</v>
      </c>
      <c r="B827" s="6" t="s">
        <v>9</v>
      </c>
      <c r="C827" s="7">
        <v>1884</v>
      </c>
      <c r="D827" s="8">
        <v>45402</v>
      </c>
      <c r="E827" s="9" t="str">
        <f>+HYPERLINK("http://trademark.i-assist.jp/data/china/image_1884th/76541126.pdf", "76541126")</f>
        <v>76541126</v>
      </c>
      <c r="F827" s="6" t="s">
        <v>2295</v>
      </c>
      <c r="G827" s="6" t="s">
        <v>2062</v>
      </c>
      <c r="H827" s="8" t="s">
        <v>2064</v>
      </c>
      <c r="I827" s="14">
        <v>45313</v>
      </c>
    </row>
    <row r="828" spans="1:9" x14ac:dyDescent="0.15">
      <c r="A828" s="5">
        <v>827</v>
      </c>
      <c r="B828" s="6" t="s">
        <v>9</v>
      </c>
      <c r="C828" s="7">
        <v>1884</v>
      </c>
      <c r="D828" s="8">
        <v>45402</v>
      </c>
      <c r="E828" s="9" t="str">
        <f>+HYPERLINK("http://trademark.i-assist.jp/data/china/image_1884th/76541376.pdf", "76541376")</f>
        <v>76541376</v>
      </c>
      <c r="F828" s="6" t="s">
        <v>2297</v>
      </c>
      <c r="G828" s="6" t="s">
        <v>2296</v>
      </c>
      <c r="H828" s="8" t="s">
        <v>2298</v>
      </c>
      <c r="I828" s="14">
        <v>45313</v>
      </c>
    </row>
    <row r="829" spans="1:9" x14ac:dyDescent="0.15">
      <c r="A829" s="5">
        <v>828</v>
      </c>
      <c r="B829" s="6" t="s">
        <v>9</v>
      </c>
      <c r="C829" s="7">
        <v>1884</v>
      </c>
      <c r="D829" s="8">
        <v>45402</v>
      </c>
      <c r="E829" s="9" t="str">
        <f>+HYPERLINK("http://trademark.i-assist.jp/data/china/image_1884th/76541596.pdf", "76541596")</f>
        <v>76541596</v>
      </c>
      <c r="F829" s="6" t="s">
        <v>2300</v>
      </c>
      <c r="G829" s="6" t="s">
        <v>2299</v>
      </c>
      <c r="H829" s="8" t="s">
        <v>2301</v>
      </c>
      <c r="I829" s="14">
        <v>45313</v>
      </c>
    </row>
    <row r="830" spans="1:9" x14ac:dyDescent="0.15">
      <c r="A830" s="5">
        <v>829</v>
      </c>
      <c r="B830" s="6" t="s">
        <v>9</v>
      </c>
      <c r="C830" s="7">
        <v>1884</v>
      </c>
      <c r="D830" s="8">
        <v>45402</v>
      </c>
      <c r="E830" s="9" t="str">
        <f>+HYPERLINK("http://trademark.i-assist.jp/data/china/image_1884th/76541604.pdf", "76541604")</f>
        <v>76541604</v>
      </c>
      <c r="F830" s="6" t="s">
        <v>2303</v>
      </c>
      <c r="G830" s="6" t="s">
        <v>2302</v>
      </c>
      <c r="H830" s="8" t="s">
        <v>2304</v>
      </c>
      <c r="I830" s="14">
        <v>45313</v>
      </c>
    </row>
    <row r="831" spans="1:9" x14ac:dyDescent="0.15">
      <c r="A831" s="5">
        <v>830</v>
      </c>
      <c r="B831" s="6" t="s">
        <v>9</v>
      </c>
      <c r="C831" s="7">
        <v>1884</v>
      </c>
      <c r="D831" s="8">
        <v>45402</v>
      </c>
      <c r="E831" s="9" t="str">
        <f>+HYPERLINK("http://trademark.i-assist.jp/data/china/image_1884th/76541687.pdf", "76541687")</f>
        <v>76541687</v>
      </c>
      <c r="F831" s="6" t="s">
        <v>2306</v>
      </c>
      <c r="G831" s="6" t="s">
        <v>2305</v>
      </c>
      <c r="H831" s="8" t="s">
        <v>2307</v>
      </c>
      <c r="I831" s="14">
        <v>45313</v>
      </c>
    </row>
    <row r="832" spans="1:9" x14ac:dyDescent="0.15">
      <c r="A832" s="5">
        <v>831</v>
      </c>
      <c r="B832" s="6" t="s">
        <v>9</v>
      </c>
      <c r="C832" s="7">
        <v>1884</v>
      </c>
      <c r="D832" s="8">
        <v>45402</v>
      </c>
      <c r="E832" s="9" t="str">
        <f>+HYPERLINK("http://trademark.i-assist.jp/data/china/image_1884th/76541816.pdf", "76541816")</f>
        <v>76541816</v>
      </c>
      <c r="F832" s="6" t="s">
        <v>2309</v>
      </c>
      <c r="G832" s="6" t="s">
        <v>2308</v>
      </c>
      <c r="H832" s="8" t="s">
        <v>2310</v>
      </c>
      <c r="I832" s="14">
        <v>45313</v>
      </c>
    </row>
    <row r="833" spans="1:9" x14ac:dyDescent="0.15">
      <c r="A833" s="5">
        <v>832</v>
      </c>
      <c r="B833" s="6" t="s">
        <v>9</v>
      </c>
      <c r="C833" s="7">
        <v>1884</v>
      </c>
      <c r="D833" s="8">
        <v>45402</v>
      </c>
      <c r="E833" s="9" t="str">
        <f>+HYPERLINK("http://trademark.i-assist.jp/data/china/image_1884th/76541878.pdf", "76541878")</f>
        <v>76541878</v>
      </c>
      <c r="F833" s="6" t="s">
        <v>2311</v>
      </c>
      <c r="G833" s="6" t="s">
        <v>2017</v>
      </c>
      <c r="H833" s="8" t="s">
        <v>2312</v>
      </c>
      <c r="I833" s="14">
        <v>45313</v>
      </c>
    </row>
    <row r="834" spans="1:9" x14ac:dyDescent="0.15">
      <c r="A834" s="5">
        <v>833</v>
      </c>
      <c r="B834" s="6" t="s">
        <v>9</v>
      </c>
      <c r="C834" s="7">
        <v>1884</v>
      </c>
      <c r="D834" s="8">
        <v>45402</v>
      </c>
      <c r="E834" s="9" t="str">
        <f>+HYPERLINK("http://trademark.i-assist.jp/data/china/image_1884th/76542027.pdf", "76542027")</f>
        <v>76542027</v>
      </c>
      <c r="F834" s="6" t="s">
        <v>2313</v>
      </c>
      <c r="G834" s="6" t="s">
        <v>2011</v>
      </c>
      <c r="H834" s="8" t="s">
        <v>2013</v>
      </c>
      <c r="I834" s="14">
        <v>45313</v>
      </c>
    </row>
    <row r="835" spans="1:9" x14ac:dyDescent="0.15">
      <c r="A835" s="5">
        <v>834</v>
      </c>
      <c r="B835" s="6" t="s">
        <v>9</v>
      </c>
      <c r="C835" s="7">
        <v>1884</v>
      </c>
      <c r="D835" s="8">
        <v>45402</v>
      </c>
      <c r="E835" s="9" t="str">
        <f>+HYPERLINK("http://trademark.i-assist.jp/data/china/image_1884th/76542562.pdf", "76542562")</f>
        <v>76542562</v>
      </c>
      <c r="F835" s="6" t="s">
        <v>2314</v>
      </c>
      <c r="G835" s="6" t="s">
        <v>2102</v>
      </c>
      <c r="H835" s="8" t="s">
        <v>2315</v>
      </c>
      <c r="I835" s="14">
        <v>45313</v>
      </c>
    </row>
    <row r="836" spans="1:9" x14ac:dyDescent="0.15">
      <c r="A836" s="5">
        <v>835</v>
      </c>
      <c r="B836" s="6" t="s">
        <v>9</v>
      </c>
      <c r="C836" s="7">
        <v>1884</v>
      </c>
      <c r="D836" s="8">
        <v>45402</v>
      </c>
      <c r="E836" s="9" t="str">
        <f>+HYPERLINK("http://trademark.i-assist.jp/data/china/image_1884th/76542584.pdf", "76542584")</f>
        <v>76542584</v>
      </c>
      <c r="F836" s="6" t="s">
        <v>2317</v>
      </c>
      <c r="G836" s="6" t="s">
        <v>2316</v>
      </c>
      <c r="H836" s="8" t="s">
        <v>2318</v>
      </c>
      <c r="I836" s="14">
        <v>45313</v>
      </c>
    </row>
    <row r="837" spans="1:9" x14ac:dyDescent="0.15">
      <c r="A837" s="5">
        <v>836</v>
      </c>
      <c r="B837" s="6" t="s">
        <v>9</v>
      </c>
      <c r="C837" s="7">
        <v>1884</v>
      </c>
      <c r="D837" s="8">
        <v>45402</v>
      </c>
      <c r="E837" s="9" t="str">
        <f>+HYPERLINK("http://trademark.i-assist.jp/data/china/image_1884th/76544071.pdf", "76544071")</f>
        <v>76544071</v>
      </c>
      <c r="F837" s="6" t="s">
        <v>2320</v>
      </c>
      <c r="G837" s="6" t="s">
        <v>2319</v>
      </c>
      <c r="H837" s="8" t="s">
        <v>2321</v>
      </c>
      <c r="I837" s="14">
        <v>45313</v>
      </c>
    </row>
    <row r="838" spans="1:9" x14ac:dyDescent="0.15">
      <c r="A838" s="5">
        <v>837</v>
      </c>
      <c r="B838" s="6" t="s">
        <v>9</v>
      </c>
      <c r="C838" s="7">
        <v>1884</v>
      </c>
      <c r="D838" s="8">
        <v>45402</v>
      </c>
      <c r="E838" s="9" t="str">
        <f>+HYPERLINK("http://trademark.i-assist.jp/data/china/image_1884th/76544083.pdf", "76544083")</f>
        <v>76544083</v>
      </c>
      <c r="F838" s="6" t="s">
        <v>2323</v>
      </c>
      <c r="G838" s="6" t="s">
        <v>2322</v>
      </c>
      <c r="H838" s="8" t="s">
        <v>2324</v>
      </c>
      <c r="I838" s="14">
        <v>45313</v>
      </c>
    </row>
    <row r="839" spans="1:9" x14ac:dyDescent="0.15">
      <c r="A839" s="5">
        <v>838</v>
      </c>
      <c r="B839" s="6" t="s">
        <v>9</v>
      </c>
      <c r="C839" s="7">
        <v>1884</v>
      </c>
      <c r="D839" s="8">
        <v>45402</v>
      </c>
      <c r="E839" s="9" t="str">
        <f>+HYPERLINK("http://trademark.i-assist.jp/data/china/image_1884th/76544186.pdf", "76544186")</f>
        <v>76544186</v>
      </c>
      <c r="F839" s="6" t="s">
        <v>2326</v>
      </c>
      <c r="G839" s="6" t="s">
        <v>2325</v>
      </c>
      <c r="H839" s="8" t="s">
        <v>2327</v>
      </c>
      <c r="I839" s="14">
        <v>45313</v>
      </c>
    </row>
    <row r="840" spans="1:9" x14ac:dyDescent="0.15">
      <c r="A840" s="5">
        <v>839</v>
      </c>
      <c r="B840" s="6" t="s">
        <v>9</v>
      </c>
      <c r="C840" s="7">
        <v>1884</v>
      </c>
      <c r="D840" s="8">
        <v>45402</v>
      </c>
      <c r="E840" s="9" t="str">
        <f>+HYPERLINK("http://trademark.i-assist.jp/data/china/image_1884th/76544861.pdf", "76544861")</f>
        <v>76544861</v>
      </c>
      <c r="F840" s="6" t="s">
        <v>2329</v>
      </c>
      <c r="G840" s="6" t="s">
        <v>2328</v>
      </c>
      <c r="H840" s="8" t="s">
        <v>2330</v>
      </c>
      <c r="I840" s="14">
        <v>45314</v>
      </c>
    </row>
    <row r="841" spans="1:9" x14ac:dyDescent="0.15">
      <c r="A841" s="5">
        <v>840</v>
      </c>
      <c r="B841" s="6" t="s">
        <v>9</v>
      </c>
      <c r="C841" s="7">
        <v>1884</v>
      </c>
      <c r="D841" s="8">
        <v>45402</v>
      </c>
      <c r="E841" s="9" t="str">
        <f>+HYPERLINK("http://trademark.i-assist.jp/data/china/image_1884th/76545096.pdf", "76545096")</f>
        <v>76545096</v>
      </c>
      <c r="F841" s="6" t="s">
        <v>2332</v>
      </c>
      <c r="G841" s="6" t="s">
        <v>2331</v>
      </c>
      <c r="H841" s="8" t="s">
        <v>2333</v>
      </c>
      <c r="I841" s="14">
        <v>45314</v>
      </c>
    </row>
    <row r="842" spans="1:9" x14ac:dyDescent="0.15">
      <c r="A842" s="5">
        <v>841</v>
      </c>
      <c r="B842" s="6" t="s">
        <v>9</v>
      </c>
      <c r="C842" s="7">
        <v>1884</v>
      </c>
      <c r="D842" s="8">
        <v>45402</v>
      </c>
      <c r="E842" s="9" t="str">
        <f>+HYPERLINK("http://trademark.i-assist.jp/data/china/image_1884th/76545112.pdf", "76545112")</f>
        <v>76545112</v>
      </c>
      <c r="F842" s="6" t="s">
        <v>2335</v>
      </c>
      <c r="G842" s="6" t="s">
        <v>2334</v>
      </c>
      <c r="H842" s="8" t="s">
        <v>2336</v>
      </c>
      <c r="I842" s="14">
        <v>45314</v>
      </c>
    </row>
    <row r="843" spans="1:9" x14ac:dyDescent="0.15">
      <c r="A843" s="5">
        <v>842</v>
      </c>
      <c r="B843" s="6" t="s">
        <v>9</v>
      </c>
      <c r="C843" s="7">
        <v>1884</v>
      </c>
      <c r="D843" s="8">
        <v>45402</v>
      </c>
      <c r="E843" s="9" t="str">
        <f>+HYPERLINK("http://trademark.i-assist.jp/data/china/image_1884th/76545355.pdf", "76545355")</f>
        <v>76545355</v>
      </c>
      <c r="F843" s="6" t="s">
        <v>2338</v>
      </c>
      <c r="G843" s="6" t="s">
        <v>2337</v>
      </c>
      <c r="H843" s="8" t="s">
        <v>2339</v>
      </c>
      <c r="I843" s="14">
        <v>45314</v>
      </c>
    </row>
    <row r="844" spans="1:9" x14ac:dyDescent="0.15">
      <c r="A844" s="5">
        <v>843</v>
      </c>
      <c r="B844" s="6" t="s">
        <v>9</v>
      </c>
      <c r="C844" s="7">
        <v>1884</v>
      </c>
      <c r="D844" s="8">
        <v>45402</v>
      </c>
      <c r="E844" s="9" t="str">
        <f>+HYPERLINK("http://trademark.i-assist.jp/data/china/image_1884th/76545378.pdf", "76545378")</f>
        <v>76545378</v>
      </c>
      <c r="F844" s="6" t="s">
        <v>2341</v>
      </c>
      <c r="G844" s="6" t="s">
        <v>2340</v>
      </c>
      <c r="H844" s="8" t="s">
        <v>2342</v>
      </c>
      <c r="I844" s="14">
        <v>45314</v>
      </c>
    </row>
    <row r="845" spans="1:9" x14ac:dyDescent="0.15">
      <c r="A845" s="5">
        <v>844</v>
      </c>
      <c r="B845" s="6" t="s">
        <v>9</v>
      </c>
      <c r="C845" s="7">
        <v>1884</v>
      </c>
      <c r="D845" s="8">
        <v>45402</v>
      </c>
      <c r="E845" s="9" t="str">
        <f>+HYPERLINK("http://trademark.i-assist.jp/data/china/image_1884th/76545761.pdf", "76545761")</f>
        <v>76545761</v>
      </c>
      <c r="F845" s="6" t="s">
        <v>2344</v>
      </c>
      <c r="G845" s="6" t="s">
        <v>2343</v>
      </c>
      <c r="H845" s="8" t="s">
        <v>2345</v>
      </c>
      <c r="I845" s="14">
        <v>45314</v>
      </c>
    </row>
    <row r="846" spans="1:9" x14ac:dyDescent="0.15">
      <c r="A846" s="5">
        <v>845</v>
      </c>
      <c r="B846" s="6" t="s">
        <v>9</v>
      </c>
      <c r="C846" s="7">
        <v>1884</v>
      </c>
      <c r="D846" s="8">
        <v>45402</v>
      </c>
      <c r="E846" s="9" t="str">
        <f>+HYPERLINK("http://trademark.i-assist.jp/data/china/image_1884th/76545968.pdf", "76545968")</f>
        <v>76545968</v>
      </c>
      <c r="F846" s="6" t="s">
        <v>2347</v>
      </c>
      <c r="G846" s="6" t="s">
        <v>2346</v>
      </c>
      <c r="H846" s="8" t="s">
        <v>2348</v>
      </c>
      <c r="I846" s="14">
        <v>45314</v>
      </c>
    </row>
    <row r="847" spans="1:9" x14ac:dyDescent="0.15">
      <c r="A847" s="5">
        <v>846</v>
      </c>
      <c r="B847" s="6" t="s">
        <v>9</v>
      </c>
      <c r="C847" s="7">
        <v>1884</v>
      </c>
      <c r="D847" s="8">
        <v>45402</v>
      </c>
      <c r="E847" s="9" t="str">
        <f>+HYPERLINK("http://trademark.i-assist.jp/data/china/image_1884th/76546227.pdf", "76546227")</f>
        <v>76546227</v>
      </c>
      <c r="F847" s="6" t="s">
        <v>2350</v>
      </c>
      <c r="G847" s="6" t="s">
        <v>2349</v>
      </c>
      <c r="H847" s="8" t="s">
        <v>2351</v>
      </c>
      <c r="I847" s="14">
        <v>45314</v>
      </c>
    </row>
    <row r="848" spans="1:9" x14ac:dyDescent="0.15">
      <c r="A848" s="5">
        <v>847</v>
      </c>
      <c r="B848" s="6" t="s">
        <v>9</v>
      </c>
      <c r="C848" s="7">
        <v>1884</v>
      </c>
      <c r="D848" s="8">
        <v>45402</v>
      </c>
      <c r="E848" s="9" t="str">
        <f>+HYPERLINK("http://trademark.i-assist.jp/data/china/image_1884th/76546363.pdf", "76546363")</f>
        <v>76546363</v>
      </c>
      <c r="F848" s="6" t="s">
        <v>2353</v>
      </c>
      <c r="G848" s="6" t="s">
        <v>2352</v>
      </c>
      <c r="H848" s="8" t="s">
        <v>2354</v>
      </c>
      <c r="I848" s="14">
        <v>45314</v>
      </c>
    </row>
    <row r="849" spans="1:9" x14ac:dyDescent="0.15">
      <c r="A849" s="5">
        <v>848</v>
      </c>
      <c r="B849" s="6" t="s">
        <v>9</v>
      </c>
      <c r="C849" s="7">
        <v>1884</v>
      </c>
      <c r="D849" s="8">
        <v>45402</v>
      </c>
      <c r="E849" s="9" t="str">
        <f>+HYPERLINK("http://trademark.i-assist.jp/data/china/image_1884th/76546388.pdf", "76546388")</f>
        <v>76546388</v>
      </c>
      <c r="F849" s="6" t="s">
        <v>2356</v>
      </c>
      <c r="G849" s="6" t="s">
        <v>2355</v>
      </c>
      <c r="H849" s="8" t="s">
        <v>2357</v>
      </c>
      <c r="I849" s="14">
        <v>45314</v>
      </c>
    </row>
    <row r="850" spans="1:9" x14ac:dyDescent="0.15">
      <c r="A850" s="5">
        <v>849</v>
      </c>
      <c r="B850" s="6" t="s">
        <v>9</v>
      </c>
      <c r="C850" s="7">
        <v>1884</v>
      </c>
      <c r="D850" s="8">
        <v>45402</v>
      </c>
      <c r="E850" s="9" t="str">
        <f>+HYPERLINK("http://trademark.i-assist.jp/data/china/image_1884th/76546389.pdf", "76546389")</f>
        <v>76546389</v>
      </c>
      <c r="F850" s="6" t="s">
        <v>2359</v>
      </c>
      <c r="G850" s="6" t="s">
        <v>2358</v>
      </c>
      <c r="H850" s="8" t="s">
        <v>2360</v>
      </c>
      <c r="I850" s="14">
        <v>45314</v>
      </c>
    </row>
    <row r="851" spans="1:9" x14ac:dyDescent="0.15">
      <c r="A851" s="5">
        <v>850</v>
      </c>
      <c r="B851" s="6" t="s">
        <v>9</v>
      </c>
      <c r="C851" s="7">
        <v>1884</v>
      </c>
      <c r="D851" s="8">
        <v>45402</v>
      </c>
      <c r="E851" s="9" t="str">
        <f>+HYPERLINK("http://trademark.i-assist.jp/data/china/image_1884th/76546435.pdf", "76546435")</f>
        <v>76546435</v>
      </c>
      <c r="F851" s="6" t="s">
        <v>2362</v>
      </c>
      <c r="G851" s="6" t="s">
        <v>2361</v>
      </c>
      <c r="H851" s="8" t="s">
        <v>2363</v>
      </c>
      <c r="I851" s="14">
        <v>45314</v>
      </c>
    </row>
    <row r="852" spans="1:9" x14ac:dyDescent="0.15">
      <c r="A852" s="5">
        <v>851</v>
      </c>
      <c r="B852" s="6" t="s">
        <v>9</v>
      </c>
      <c r="C852" s="7">
        <v>1884</v>
      </c>
      <c r="D852" s="8">
        <v>45402</v>
      </c>
      <c r="E852" s="9" t="str">
        <f>+HYPERLINK("http://trademark.i-assist.jp/data/china/image_1884th/76546694.pdf", "76546694")</f>
        <v>76546694</v>
      </c>
      <c r="F852" s="6" t="s">
        <v>2365</v>
      </c>
      <c r="G852" s="6" t="s">
        <v>2364</v>
      </c>
      <c r="H852" s="8" t="s">
        <v>2366</v>
      </c>
      <c r="I852" s="14">
        <v>45314</v>
      </c>
    </row>
    <row r="853" spans="1:9" x14ac:dyDescent="0.15">
      <c r="A853" s="5">
        <v>852</v>
      </c>
      <c r="B853" s="6" t="s">
        <v>9</v>
      </c>
      <c r="C853" s="7">
        <v>1884</v>
      </c>
      <c r="D853" s="8">
        <v>45402</v>
      </c>
      <c r="E853" s="9" t="str">
        <f>+HYPERLINK("http://trademark.i-assist.jp/data/china/image_1884th/76546802.pdf", "76546802")</f>
        <v>76546802</v>
      </c>
      <c r="F853" s="6" t="s">
        <v>2368</v>
      </c>
      <c r="G853" s="6" t="s">
        <v>2367</v>
      </c>
      <c r="H853" s="8" t="s">
        <v>2369</v>
      </c>
      <c r="I853" s="14">
        <v>45314</v>
      </c>
    </row>
    <row r="854" spans="1:9" x14ac:dyDescent="0.15">
      <c r="A854" s="5">
        <v>853</v>
      </c>
      <c r="B854" s="6" t="s">
        <v>9</v>
      </c>
      <c r="C854" s="7">
        <v>1884</v>
      </c>
      <c r="D854" s="8">
        <v>45402</v>
      </c>
      <c r="E854" s="9" t="str">
        <f>+HYPERLINK("http://trademark.i-assist.jp/data/china/image_1884th/76546960.pdf", "76546960")</f>
        <v>76546960</v>
      </c>
      <c r="F854" s="6" t="s">
        <v>2371</v>
      </c>
      <c r="G854" s="6" t="s">
        <v>2370</v>
      </c>
      <c r="H854" s="8" t="s">
        <v>2372</v>
      </c>
      <c r="I854" s="14">
        <v>45314</v>
      </c>
    </row>
    <row r="855" spans="1:9" x14ac:dyDescent="0.15">
      <c r="A855" s="5">
        <v>854</v>
      </c>
      <c r="B855" s="6" t="s">
        <v>9</v>
      </c>
      <c r="C855" s="7">
        <v>1884</v>
      </c>
      <c r="D855" s="8">
        <v>45402</v>
      </c>
      <c r="E855" s="9" t="str">
        <f>+HYPERLINK("http://trademark.i-assist.jp/data/china/image_1884th/76547436.pdf", "76547436")</f>
        <v>76547436</v>
      </c>
      <c r="F855" s="6" t="s">
        <v>2374</v>
      </c>
      <c r="G855" s="6" t="s">
        <v>2373</v>
      </c>
      <c r="H855" s="8" t="s">
        <v>2375</v>
      </c>
      <c r="I855" s="14">
        <v>45314</v>
      </c>
    </row>
    <row r="856" spans="1:9" x14ac:dyDescent="0.15">
      <c r="A856" s="5">
        <v>855</v>
      </c>
      <c r="B856" s="6" t="s">
        <v>9</v>
      </c>
      <c r="C856" s="7">
        <v>1884</v>
      </c>
      <c r="D856" s="8">
        <v>45402</v>
      </c>
      <c r="E856" s="9" t="str">
        <f>+HYPERLINK("http://trademark.i-assist.jp/data/china/image_1884th/76547552.pdf", "76547552")</f>
        <v>76547552</v>
      </c>
      <c r="F856" s="6" t="s">
        <v>2377</v>
      </c>
      <c r="G856" s="6" t="s">
        <v>2376</v>
      </c>
      <c r="H856" s="8" t="s">
        <v>2378</v>
      </c>
      <c r="I856" s="14">
        <v>45314</v>
      </c>
    </row>
    <row r="857" spans="1:9" x14ac:dyDescent="0.15">
      <c r="A857" s="5">
        <v>856</v>
      </c>
      <c r="B857" s="6" t="s">
        <v>9</v>
      </c>
      <c r="C857" s="7">
        <v>1884</v>
      </c>
      <c r="D857" s="8">
        <v>45402</v>
      </c>
      <c r="E857" s="9" t="str">
        <f>+HYPERLINK("http://trademark.i-assist.jp/data/china/image_1884th/76547577.pdf", "76547577")</f>
        <v>76547577</v>
      </c>
      <c r="F857" s="6" t="s">
        <v>2380</v>
      </c>
      <c r="G857" s="6" t="s">
        <v>2379</v>
      </c>
      <c r="H857" s="8" t="s">
        <v>2381</v>
      </c>
      <c r="I857" s="14">
        <v>45314</v>
      </c>
    </row>
    <row r="858" spans="1:9" x14ac:dyDescent="0.15">
      <c r="A858" s="5">
        <v>857</v>
      </c>
      <c r="B858" s="6" t="s">
        <v>9</v>
      </c>
      <c r="C858" s="7">
        <v>1884</v>
      </c>
      <c r="D858" s="8">
        <v>45402</v>
      </c>
      <c r="E858" s="9" t="str">
        <f>+HYPERLINK("http://trademark.i-assist.jp/data/china/image_1884th/76548110.pdf", "76548110")</f>
        <v>76548110</v>
      </c>
      <c r="F858" s="6" t="s">
        <v>2383</v>
      </c>
      <c r="G858" s="6" t="s">
        <v>2382</v>
      </c>
      <c r="H858" s="8" t="s">
        <v>2384</v>
      </c>
      <c r="I858" s="14">
        <v>45314</v>
      </c>
    </row>
    <row r="859" spans="1:9" x14ac:dyDescent="0.15">
      <c r="A859" s="5">
        <v>858</v>
      </c>
      <c r="B859" s="6" t="s">
        <v>9</v>
      </c>
      <c r="C859" s="7">
        <v>1884</v>
      </c>
      <c r="D859" s="8">
        <v>45402</v>
      </c>
      <c r="E859" s="9" t="str">
        <f>+HYPERLINK("http://trademark.i-assist.jp/data/china/image_1884th/76548142.pdf", "76548142")</f>
        <v>76548142</v>
      </c>
      <c r="F859" s="6" t="s">
        <v>2386</v>
      </c>
      <c r="G859" s="6" t="s">
        <v>2385</v>
      </c>
      <c r="H859" s="8" t="s">
        <v>2387</v>
      </c>
      <c r="I859" s="14">
        <v>45314</v>
      </c>
    </row>
    <row r="860" spans="1:9" x14ac:dyDescent="0.15">
      <c r="A860" s="5">
        <v>859</v>
      </c>
      <c r="B860" s="6" t="s">
        <v>9</v>
      </c>
      <c r="C860" s="7">
        <v>1884</v>
      </c>
      <c r="D860" s="8">
        <v>45402</v>
      </c>
      <c r="E860" s="9" t="str">
        <f>+HYPERLINK("http://trademark.i-assist.jp/data/china/image_1884th/76548230.pdf", "76548230")</f>
        <v>76548230</v>
      </c>
      <c r="F860" s="6" t="s">
        <v>2389</v>
      </c>
      <c r="G860" s="6" t="s">
        <v>2388</v>
      </c>
      <c r="H860" s="8" t="s">
        <v>2390</v>
      </c>
      <c r="I860" s="14">
        <v>45314</v>
      </c>
    </row>
    <row r="861" spans="1:9" x14ac:dyDescent="0.15">
      <c r="A861" s="5">
        <v>860</v>
      </c>
      <c r="B861" s="6" t="s">
        <v>9</v>
      </c>
      <c r="C861" s="7">
        <v>1884</v>
      </c>
      <c r="D861" s="8">
        <v>45402</v>
      </c>
      <c r="E861" s="9" t="str">
        <f>+HYPERLINK("http://trademark.i-assist.jp/data/china/image_1884th/76548294.pdf", "76548294")</f>
        <v>76548294</v>
      </c>
      <c r="F861" s="6" t="s">
        <v>2392</v>
      </c>
      <c r="G861" s="6" t="s">
        <v>2391</v>
      </c>
      <c r="H861" s="8" t="s">
        <v>2393</v>
      </c>
      <c r="I861" s="14">
        <v>45314</v>
      </c>
    </row>
    <row r="862" spans="1:9" x14ac:dyDescent="0.15">
      <c r="A862" s="5">
        <v>861</v>
      </c>
      <c r="B862" s="6" t="s">
        <v>9</v>
      </c>
      <c r="C862" s="7">
        <v>1884</v>
      </c>
      <c r="D862" s="8">
        <v>45402</v>
      </c>
      <c r="E862" s="9" t="str">
        <f>+HYPERLINK("http://trademark.i-assist.jp/data/china/image_1884th/76548404.pdf", "76548404")</f>
        <v>76548404</v>
      </c>
      <c r="F862" s="6" t="s">
        <v>2395</v>
      </c>
      <c r="G862" s="6" t="s">
        <v>2394</v>
      </c>
      <c r="H862" s="8" t="s">
        <v>2396</v>
      </c>
      <c r="I862" s="14">
        <v>45314</v>
      </c>
    </row>
    <row r="863" spans="1:9" x14ac:dyDescent="0.15">
      <c r="A863" s="5">
        <v>862</v>
      </c>
      <c r="B863" s="6" t="s">
        <v>9</v>
      </c>
      <c r="C863" s="7">
        <v>1884</v>
      </c>
      <c r="D863" s="8">
        <v>45402</v>
      </c>
      <c r="E863" s="9" t="str">
        <f>+HYPERLINK("http://trademark.i-assist.jp/data/china/image_1884th/76548408.pdf", "76548408")</f>
        <v>76548408</v>
      </c>
      <c r="F863" s="6" t="s">
        <v>2397</v>
      </c>
      <c r="G863" s="6" t="s">
        <v>2394</v>
      </c>
      <c r="H863" s="8" t="s">
        <v>2396</v>
      </c>
      <c r="I863" s="14">
        <v>45314</v>
      </c>
    </row>
    <row r="864" spans="1:9" x14ac:dyDescent="0.15">
      <c r="A864" s="5">
        <v>863</v>
      </c>
      <c r="B864" s="6" t="s">
        <v>9</v>
      </c>
      <c r="C864" s="7">
        <v>1884</v>
      </c>
      <c r="D864" s="8">
        <v>45402</v>
      </c>
      <c r="E864" s="9" t="str">
        <f>+HYPERLINK("http://trademark.i-assist.jp/data/china/image_1884th/76548518.pdf", "76548518")</f>
        <v>76548518</v>
      </c>
      <c r="F864" s="6" t="s">
        <v>2368</v>
      </c>
      <c r="G864" s="6" t="s">
        <v>2367</v>
      </c>
      <c r="H864" s="8" t="s">
        <v>2369</v>
      </c>
      <c r="I864" s="14">
        <v>45314</v>
      </c>
    </row>
    <row r="865" spans="1:9" x14ac:dyDescent="0.15">
      <c r="A865" s="5">
        <v>864</v>
      </c>
      <c r="B865" s="6" t="s">
        <v>9</v>
      </c>
      <c r="C865" s="7">
        <v>1884</v>
      </c>
      <c r="D865" s="8">
        <v>45402</v>
      </c>
      <c r="E865" s="9" t="str">
        <f>+HYPERLINK("http://trademark.i-assist.jp/data/china/image_1884th/76548638.pdf", "76548638")</f>
        <v>76548638</v>
      </c>
      <c r="F865" s="6" t="s">
        <v>2399</v>
      </c>
      <c r="G865" s="6" t="s">
        <v>2398</v>
      </c>
      <c r="H865" s="8" t="s">
        <v>2400</v>
      </c>
      <c r="I865" s="14">
        <v>45314</v>
      </c>
    </row>
    <row r="866" spans="1:9" x14ac:dyDescent="0.15">
      <c r="A866" s="5">
        <v>865</v>
      </c>
      <c r="B866" s="6" t="s">
        <v>9</v>
      </c>
      <c r="C866" s="7">
        <v>1884</v>
      </c>
      <c r="D866" s="8">
        <v>45402</v>
      </c>
      <c r="E866" s="9" t="str">
        <f>+HYPERLINK("http://trademark.i-assist.jp/data/china/image_1884th/76548672.pdf", "76548672")</f>
        <v>76548672</v>
      </c>
      <c r="F866" s="6" t="s">
        <v>2402</v>
      </c>
      <c r="G866" s="6" t="s">
        <v>2401</v>
      </c>
      <c r="H866" s="8" t="s">
        <v>2403</v>
      </c>
      <c r="I866" s="14">
        <v>45314</v>
      </c>
    </row>
    <row r="867" spans="1:9" x14ac:dyDescent="0.15">
      <c r="A867" s="5">
        <v>866</v>
      </c>
      <c r="B867" s="6" t="s">
        <v>9</v>
      </c>
      <c r="C867" s="7">
        <v>1884</v>
      </c>
      <c r="D867" s="8">
        <v>45402</v>
      </c>
      <c r="E867" s="9" t="str">
        <f>+HYPERLINK("http://trademark.i-assist.jp/data/china/image_1884th/76549008.pdf", "76549008")</f>
        <v>76549008</v>
      </c>
      <c r="F867" s="6" t="s">
        <v>2405</v>
      </c>
      <c r="G867" s="6" t="s">
        <v>2404</v>
      </c>
      <c r="H867" s="8" t="s">
        <v>2406</v>
      </c>
      <c r="I867" s="14">
        <v>45314</v>
      </c>
    </row>
    <row r="868" spans="1:9" x14ac:dyDescent="0.15">
      <c r="A868" s="5">
        <v>867</v>
      </c>
      <c r="B868" s="6" t="s">
        <v>9</v>
      </c>
      <c r="C868" s="7">
        <v>1884</v>
      </c>
      <c r="D868" s="8">
        <v>45402</v>
      </c>
      <c r="E868" s="9" t="str">
        <f>+HYPERLINK("http://trademark.i-assist.jp/data/china/image_1884th/76549163.pdf", "76549163")</f>
        <v>76549163</v>
      </c>
      <c r="F868" s="6" t="s">
        <v>2408</v>
      </c>
      <c r="G868" s="6" t="s">
        <v>2407</v>
      </c>
      <c r="H868" s="8" t="s">
        <v>2409</v>
      </c>
      <c r="I868" s="14">
        <v>45314</v>
      </c>
    </row>
    <row r="869" spans="1:9" x14ac:dyDescent="0.15">
      <c r="A869" s="5">
        <v>868</v>
      </c>
      <c r="B869" s="6" t="s">
        <v>9</v>
      </c>
      <c r="C869" s="7">
        <v>1884</v>
      </c>
      <c r="D869" s="8">
        <v>45402</v>
      </c>
      <c r="E869" s="9" t="str">
        <f>+HYPERLINK("http://trademark.i-assist.jp/data/china/image_1884th/76549188.pdf", "76549188")</f>
        <v>76549188</v>
      </c>
      <c r="F869" s="6" t="s">
        <v>2411</v>
      </c>
      <c r="G869" s="6" t="s">
        <v>2410</v>
      </c>
      <c r="H869" s="8" t="s">
        <v>2412</v>
      </c>
      <c r="I869" s="14">
        <v>45314</v>
      </c>
    </row>
    <row r="870" spans="1:9" x14ac:dyDescent="0.15">
      <c r="A870" s="5">
        <v>869</v>
      </c>
      <c r="B870" s="6" t="s">
        <v>9</v>
      </c>
      <c r="C870" s="7">
        <v>1884</v>
      </c>
      <c r="D870" s="8">
        <v>45402</v>
      </c>
      <c r="E870" s="9" t="str">
        <f>+HYPERLINK("http://trademark.i-assist.jp/data/china/image_1884th/76549285.pdf", "76549285")</f>
        <v>76549285</v>
      </c>
      <c r="F870" s="6" t="s">
        <v>2414</v>
      </c>
      <c r="G870" s="6" t="s">
        <v>2413</v>
      </c>
      <c r="H870" s="8" t="s">
        <v>2415</v>
      </c>
      <c r="I870" s="14">
        <v>45314</v>
      </c>
    </row>
    <row r="871" spans="1:9" x14ac:dyDescent="0.15">
      <c r="A871" s="5">
        <v>870</v>
      </c>
      <c r="B871" s="6" t="s">
        <v>9</v>
      </c>
      <c r="C871" s="7">
        <v>1884</v>
      </c>
      <c r="D871" s="8">
        <v>45402</v>
      </c>
      <c r="E871" s="9" t="str">
        <f>+HYPERLINK("http://trademark.i-assist.jp/data/china/image_1884th/76549625.pdf", "76549625")</f>
        <v>76549625</v>
      </c>
      <c r="F871" s="6" t="s">
        <v>2417</v>
      </c>
      <c r="G871" s="6" t="s">
        <v>2416</v>
      </c>
      <c r="H871" s="8" t="s">
        <v>2418</v>
      </c>
      <c r="I871" s="14">
        <v>45314</v>
      </c>
    </row>
    <row r="872" spans="1:9" x14ac:dyDescent="0.15">
      <c r="A872" s="5">
        <v>871</v>
      </c>
      <c r="B872" s="6" t="s">
        <v>9</v>
      </c>
      <c r="C872" s="7">
        <v>1884</v>
      </c>
      <c r="D872" s="8">
        <v>45402</v>
      </c>
      <c r="E872" s="9" t="str">
        <f>+HYPERLINK("http://trademark.i-assist.jp/data/china/image_1884th/76549739.pdf", "76549739")</f>
        <v>76549739</v>
      </c>
      <c r="F872" s="6" t="s">
        <v>2420</v>
      </c>
      <c r="G872" s="6" t="s">
        <v>2419</v>
      </c>
      <c r="H872" s="8" t="s">
        <v>2421</v>
      </c>
      <c r="I872" s="14">
        <v>45314</v>
      </c>
    </row>
    <row r="873" spans="1:9" x14ac:dyDescent="0.15">
      <c r="A873" s="5">
        <v>872</v>
      </c>
      <c r="B873" s="6" t="s">
        <v>9</v>
      </c>
      <c r="C873" s="7">
        <v>1884</v>
      </c>
      <c r="D873" s="8">
        <v>45402</v>
      </c>
      <c r="E873" s="9" t="str">
        <f>+HYPERLINK("http://trademark.i-assist.jp/data/china/image_1884th/76549866.pdf", "76549866")</f>
        <v>76549866</v>
      </c>
      <c r="F873" s="6" t="s">
        <v>2423</v>
      </c>
      <c r="G873" s="6" t="s">
        <v>2422</v>
      </c>
      <c r="H873" s="8" t="s">
        <v>2424</v>
      </c>
      <c r="I873" s="14">
        <v>45314</v>
      </c>
    </row>
    <row r="874" spans="1:9" x14ac:dyDescent="0.15">
      <c r="A874" s="5">
        <v>873</v>
      </c>
      <c r="B874" s="6" t="s">
        <v>9</v>
      </c>
      <c r="C874" s="7">
        <v>1884</v>
      </c>
      <c r="D874" s="8">
        <v>45402</v>
      </c>
      <c r="E874" s="9" t="str">
        <f>+HYPERLINK("http://trademark.i-assist.jp/data/china/image_1884th/76550225.pdf", "76550225")</f>
        <v>76550225</v>
      </c>
      <c r="F874" s="6" t="s">
        <v>2426</v>
      </c>
      <c r="G874" s="6" t="s">
        <v>2425</v>
      </c>
      <c r="H874" s="8" t="s">
        <v>2427</v>
      </c>
      <c r="I874" s="14">
        <v>45314</v>
      </c>
    </row>
    <row r="875" spans="1:9" x14ac:dyDescent="0.15">
      <c r="A875" s="5">
        <v>874</v>
      </c>
      <c r="B875" s="6" t="s">
        <v>9</v>
      </c>
      <c r="C875" s="7">
        <v>1884</v>
      </c>
      <c r="D875" s="8">
        <v>45402</v>
      </c>
      <c r="E875" s="9" t="str">
        <f>+HYPERLINK("http://trademark.i-assist.jp/data/china/image_1884th/76550408.pdf", "76550408")</f>
        <v>76550408</v>
      </c>
      <c r="F875" s="6" t="s">
        <v>2429</v>
      </c>
      <c r="G875" s="6" t="s">
        <v>2428</v>
      </c>
      <c r="H875" s="8" t="s">
        <v>2430</v>
      </c>
      <c r="I875" s="14">
        <v>45314</v>
      </c>
    </row>
    <row r="876" spans="1:9" x14ac:dyDescent="0.15">
      <c r="A876" s="5">
        <v>875</v>
      </c>
      <c r="B876" s="6" t="s">
        <v>9</v>
      </c>
      <c r="C876" s="7">
        <v>1884</v>
      </c>
      <c r="D876" s="8">
        <v>45402</v>
      </c>
      <c r="E876" s="9" t="str">
        <f>+HYPERLINK("http://trademark.i-assist.jp/data/china/image_1884th/76550472.pdf", "76550472")</f>
        <v>76550472</v>
      </c>
      <c r="F876" s="6" t="s">
        <v>2432</v>
      </c>
      <c r="G876" s="6" t="s">
        <v>2431</v>
      </c>
      <c r="H876" s="8" t="s">
        <v>2433</v>
      </c>
      <c r="I876" s="14">
        <v>45314</v>
      </c>
    </row>
    <row r="877" spans="1:9" x14ac:dyDescent="0.15">
      <c r="A877" s="5">
        <v>876</v>
      </c>
      <c r="B877" s="6" t="s">
        <v>9</v>
      </c>
      <c r="C877" s="7">
        <v>1884</v>
      </c>
      <c r="D877" s="8">
        <v>45402</v>
      </c>
      <c r="E877" s="9" t="str">
        <f>+HYPERLINK("http://trademark.i-assist.jp/data/china/image_1884th/76550516.pdf", "76550516")</f>
        <v>76550516</v>
      </c>
      <c r="F877" s="6" t="s">
        <v>2435</v>
      </c>
      <c r="G877" s="6" t="s">
        <v>2434</v>
      </c>
      <c r="H877" s="8" t="s">
        <v>2436</v>
      </c>
      <c r="I877" s="14">
        <v>45314</v>
      </c>
    </row>
    <row r="878" spans="1:9" x14ac:dyDescent="0.15">
      <c r="A878" s="5">
        <v>877</v>
      </c>
      <c r="B878" s="6" t="s">
        <v>9</v>
      </c>
      <c r="C878" s="7">
        <v>1884</v>
      </c>
      <c r="D878" s="8">
        <v>45402</v>
      </c>
      <c r="E878" s="9" t="str">
        <f>+HYPERLINK("http://trademark.i-assist.jp/data/china/image_1884th/76550541.pdf", "76550541")</f>
        <v>76550541</v>
      </c>
      <c r="F878" s="6" t="s">
        <v>2438</v>
      </c>
      <c r="G878" s="6" t="s">
        <v>2437</v>
      </c>
      <c r="H878" s="8" t="s">
        <v>2439</v>
      </c>
      <c r="I878" s="14">
        <v>45314</v>
      </c>
    </row>
    <row r="879" spans="1:9" x14ac:dyDescent="0.15">
      <c r="A879" s="5">
        <v>878</v>
      </c>
      <c r="B879" s="6" t="s">
        <v>9</v>
      </c>
      <c r="C879" s="7">
        <v>1884</v>
      </c>
      <c r="D879" s="8">
        <v>45402</v>
      </c>
      <c r="E879" s="9" t="str">
        <f>+HYPERLINK("http://trademark.i-assist.jp/data/china/image_1884th/76551042.pdf", "76551042")</f>
        <v>76551042</v>
      </c>
      <c r="F879" s="6" t="s">
        <v>2441</v>
      </c>
      <c r="G879" s="6" t="s">
        <v>2440</v>
      </c>
      <c r="H879" s="8" t="s">
        <v>2442</v>
      </c>
      <c r="I879" s="14">
        <v>45314</v>
      </c>
    </row>
    <row r="880" spans="1:9" x14ac:dyDescent="0.15">
      <c r="A880" s="5">
        <v>879</v>
      </c>
      <c r="B880" s="6" t="s">
        <v>9</v>
      </c>
      <c r="C880" s="7">
        <v>1884</v>
      </c>
      <c r="D880" s="8">
        <v>45402</v>
      </c>
      <c r="E880" s="9" t="str">
        <f>+HYPERLINK("http://trademark.i-assist.jp/data/china/image_1884th/76551055.pdf", "76551055")</f>
        <v>76551055</v>
      </c>
      <c r="F880" s="6" t="s">
        <v>2444</v>
      </c>
      <c r="G880" s="6" t="s">
        <v>2443</v>
      </c>
      <c r="H880" s="8" t="s">
        <v>2445</v>
      </c>
      <c r="I880" s="14">
        <v>45314</v>
      </c>
    </row>
    <row r="881" spans="1:9" x14ac:dyDescent="0.15">
      <c r="A881" s="5">
        <v>880</v>
      </c>
      <c r="B881" s="6" t="s">
        <v>9</v>
      </c>
      <c r="C881" s="7">
        <v>1884</v>
      </c>
      <c r="D881" s="8">
        <v>45402</v>
      </c>
      <c r="E881" s="9" t="str">
        <f>+HYPERLINK("http://trademark.i-assist.jp/data/china/image_1884th/76551717.pdf", "76551717")</f>
        <v>76551717</v>
      </c>
      <c r="F881" s="6" t="s">
        <v>2447</v>
      </c>
      <c r="G881" s="6" t="s">
        <v>2446</v>
      </c>
      <c r="H881" s="8" t="s">
        <v>2448</v>
      </c>
      <c r="I881" s="14">
        <v>45314</v>
      </c>
    </row>
    <row r="882" spans="1:9" x14ac:dyDescent="0.15">
      <c r="A882" s="5">
        <v>881</v>
      </c>
      <c r="B882" s="6" t="s">
        <v>9</v>
      </c>
      <c r="C882" s="7">
        <v>1884</v>
      </c>
      <c r="D882" s="8">
        <v>45402</v>
      </c>
      <c r="E882" s="9" t="str">
        <f>+HYPERLINK("http://trademark.i-assist.jp/data/china/image_1884th/76551910.pdf", "76551910")</f>
        <v>76551910</v>
      </c>
      <c r="F882" s="6" t="s">
        <v>2450</v>
      </c>
      <c r="G882" s="6" t="s">
        <v>2449</v>
      </c>
      <c r="H882" s="8" t="s">
        <v>2451</v>
      </c>
      <c r="I882" s="14">
        <v>45314</v>
      </c>
    </row>
    <row r="883" spans="1:9" x14ac:dyDescent="0.15">
      <c r="A883" s="5">
        <v>882</v>
      </c>
      <c r="B883" s="6" t="s">
        <v>9</v>
      </c>
      <c r="C883" s="7">
        <v>1884</v>
      </c>
      <c r="D883" s="8">
        <v>45402</v>
      </c>
      <c r="E883" s="9" t="str">
        <f>+HYPERLINK("http://trademark.i-assist.jp/data/china/image_1884th/76551966.pdf", "76551966")</f>
        <v>76551966</v>
      </c>
      <c r="F883" s="6" t="s">
        <v>2453</v>
      </c>
      <c r="G883" s="6" t="s">
        <v>2452</v>
      </c>
      <c r="H883" s="8" t="s">
        <v>2454</v>
      </c>
      <c r="I883" s="14">
        <v>45314</v>
      </c>
    </row>
    <row r="884" spans="1:9" x14ac:dyDescent="0.15">
      <c r="A884" s="5">
        <v>883</v>
      </c>
      <c r="B884" s="6" t="s">
        <v>9</v>
      </c>
      <c r="C884" s="7">
        <v>1884</v>
      </c>
      <c r="D884" s="8">
        <v>45402</v>
      </c>
      <c r="E884" s="9" t="str">
        <f>+HYPERLINK("http://trademark.i-assist.jp/data/china/image_1884th/76552060.pdf", "76552060")</f>
        <v>76552060</v>
      </c>
      <c r="F884" s="6" t="s">
        <v>2456</v>
      </c>
      <c r="G884" s="6" t="s">
        <v>2455</v>
      </c>
      <c r="H884" s="8" t="s">
        <v>2457</v>
      </c>
      <c r="I884" s="14">
        <v>45314</v>
      </c>
    </row>
    <row r="885" spans="1:9" x14ac:dyDescent="0.15">
      <c r="A885" s="5">
        <v>884</v>
      </c>
      <c r="B885" s="6" t="s">
        <v>9</v>
      </c>
      <c r="C885" s="7">
        <v>1884</v>
      </c>
      <c r="D885" s="8">
        <v>45402</v>
      </c>
      <c r="E885" s="9" t="str">
        <f>+HYPERLINK("http://trademark.i-assist.jp/data/china/image_1884th/76552522.pdf", "76552522")</f>
        <v>76552522</v>
      </c>
      <c r="F885" s="6" t="s">
        <v>2459</v>
      </c>
      <c r="G885" s="6" t="s">
        <v>2458</v>
      </c>
      <c r="H885" s="8" t="s">
        <v>2460</v>
      </c>
      <c r="I885" s="14">
        <v>45314</v>
      </c>
    </row>
    <row r="886" spans="1:9" x14ac:dyDescent="0.15">
      <c r="A886" s="5">
        <v>885</v>
      </c>
      <c r="B886" s="6" t="s">
        <v>9</v>
      </c>
      <c r="C886" s="7">
        <v>1884</v>
      </c>
      <c r="D886" s="8">
        <v>45402</v>
      </c>
      <c r="E886" s="9" t="str">
        <f>+HYPERLINK("http://trademark.i-assist.jp/data/china/image_1884th/76552752.pdf", "76552752")</f>
        <v>76552752</v>
      </c>
      <c r="F886" s="6" t="s">
        <v>2462</v>
      </c>
      <c r="G886" s="6" t="s">
        <v>2461</v>
      </c>
      <c r="H886" s="8" t="s">
        <v>2463</v>
      </c>
      <c r="I886" s="14">
        <v>45314</v>
      </c>
    </row>
    <row r="887" spans="1:9" x14ac:dyDescent="0.15">
      <c r="A887" s="5">
        <v>886</v>
      </c>
      <c r="B887" s="6" t="s">
        <v>9</v>
      </c>
      <c r="C887" s="7">
        <v>1884</v>
      </c>
      <c r="D887" s="8">
        <v>45402</v>
      </c>
      <c r="E887" s="9" t="str">
        <f>+HYPERLINK("http://trademark.i-assist.jp/data/china/image_1884th/76552813.pdf", "76552813")</f>
        <v>76552813</v>
      </c>
      <c r="F887" s="6" t="s">
        <v>2465</v>
      </c>
      <c r="G887" s="6" t="s">
        <v>2464</v>
      </c>
      <c r="H887" s="8" t="s">
        <v>2466</v>
      </c>
      <c r="I887" s="14">
        <v>45314</v>
      </c>
    </row>
    <row r="888" spans="1:9" x14ac:dyDescent="0.15">
      <c r="A888" s="5">
        <v>887</v>
      </c>
      <c r="B888" s="6" t="s">
        <v>9</v>
      </c>
      <c r="C888" s="7">
        <v>1884</v>
      </c>
      <c r="D888" s="8">
        <v>45402</v>
      </c>
      <c r="E888" s="9" t="str">
        <f>+HYPERLINK("http://trademark.i-assist.jp/data/china/image_1884th/76553064.pdf", "76553064")</f>
        <v>76553064</v>
      </c>
      <c r="F888" s="6" t="s">
        <v>2467</v>
      </c>
      <c r="G888" s="6" t="s">
        <v>2446</v>
      </c>
      <c r="H888" s="8" t="s">
        <v>2468</v>
      </c>
      <c r="I888" s="14">
        <v>45314</v>
      </c>
    </row>
    <row r="889" spans="1:9" x14ac:dyDescent="0.15">
      <c r="A889" s="5">
        <v>888</v>
      </c>
      <c r="B889" s="6" t="s">
        <v>9</v>
      </c>
      <c r="C889" s="7">
        <v>1884</v>
      </c>
      <c r="D889" s="8">
        <v>45402</v>
      </c>
      <c r="E889" s="9" t="str">
        <f>+HYPERLINK("http://trademark.i-assist.jp/data/china/image_1884th/76553071.pdf", "76553071")</f>
        <v>76553071</v>
      </c>
      <c r="F889" s="6" t="s">
        <v>2469</v>
      </c>
      <c r="G889" s="6" t="s">
        <v>2446</v>
      </c>
      <c r="H889" s="8" t="s">
        <v>2470</v>
      </c>
      <c r="I889" s="14">
        <v>45314</v>
      </c>
    </row>
    <row r="890" spans="1:9" x14ac:dyDescent="0.15">
      <c r="A890" s="5">
        <v>889</v>
      </c>
      <c r="B890" s="6" t="s">
        <v>9</v>
      </c>
      <c r="C890" s="7">
        <v>1884</v>
      </c>
      <c r="D890" s="8">
        <v>45402</v>
      </c>
      <c r="E890" s="9" t="str">
        <f>+HYPERLINK("http://trademark.i-assist.jp/data/china/image_1884th/76553099.pdf", "76553099")</f>
        <v>76553099</v>
      </c>
      <c r="F890" s="6" t="s">
        <v>2471</v>
      </c>
      <c r="G890" s="6" t="s">
        <v>2446</v>
      </c>
      <c r="H890" s="8" t="s">
        <v>2470</v>
      </c>
      <c r="I890" s="14">
        <v>45314</v>
      </c>
    </row>
    <row r="891" spans="1:9" x14ac:dyDescent="0.15">
      <c r="A891" s="5">
        <v>890</v>
      </c>
      <c r="B891" s="6" t="s">
        <v>9</v>
      </c>
      <c r="C891" s="7">
        <v>1884</v>
      </c>
      <c r="D891" s="8">
        <v>45402</v>
      </c>
      <c r="E891" s="9" t="str">
        <f>+HYPERLINK("http://trademark.i-assist.jp/data/china/image_1884th/76553278.pdf", "76553278")</f>
        <v>76553278</v>
      </c>
      <c r="F891" s="6" t="s">
        <v>2473</v>
      </c>
      <c r="G891" s="6" t="s">
        <v>2472</v>
      </c>
      <c r="H891" s="8" t="s">
        <v>2474</v>
      </c>
      <c r="I891" s="14">
        <v>45314</v>
      </c>
    </row>
    <row r="892" spans="1:9" x14ac:dyDescent="0.15">
      <c r="A892" s="5">
        <v>891</v>
      </c>
      <c r="B892" s="6" t="s">
        <v>9</v>
      </c>
      <c r="C892" s="7">
        <v>1884</v>
      </c>
      <c r="D892" s="8">
        <v>45402</v>
      </c>
      <c r="E892" s="9" t="str">
        <f>+HYPERLINK("http://trademark.i-assist.jp/data/china/image_1884th/76553294.pdf", "76553294")</f>
        <v>76553294</v>
      </c>
      <c r="F892" s="6" t="s">
        <v>2475</v>
      </c>
      <c r="G892" s="6" t="s">
        <v>2337</v>
      </c>
      <c r="H892" s="8" t="s">
        <v>2339</v>
      </c>
      <c r="I892" s="14">
        <v>45314</v>
      </c>
    </row>
    <row r="893" spans="1:9" x14ac:dyDescent="0.15">
      <c r="A893" s="5">
        <v>892</v>
      </c>
      <c r="B893" s="6" t="s">
        <v>9</v>
      </c>
      <c r="C893" s="7">
        <v>1884</v>
      </c>
      <c r="D893" s="8">
        <v>45402</v>
      </c>
      <c r="E893" s="9" t="str">
        <f>+HYPERLINK("http://trademark.i-assist.jp/data/china/image_1884th/76553797.pdf", "76553797")</f>
        <v>76553797</v>
      </c>
      <c r="F893" s="6" t="s">
        <v>2476</v>
      </c>
      <c r="G893" s="6" t="s">
        <v>2401</v>
      </c>
      <c r="H893" s="8" t="s">
        <v>2477</v>
      </c>
      <c r="I893" s="14">
        <v>45314</v>
      </c>
    </row>
    <row r="894" spans="1:9" x14ac:dyDescent="0.15">
      <c r="A894" s="5">
        <v>893</v>
      </c>
      <c r="B894" s="6" t="s">
        <v>9</v>
      </c>
      <c r="C894" s="7">
        <v>1884</v>
      </c>
      <c r="D894" s="8">
        <v>45402</v>
      </c>
      <c r="E894" s="9" t="str">
        <f>+HYPERLINK("http://trademark.i-assist.jp/data/china/image_1884th/76554114.pdf", "76554114")</f>
        <v>76554114</v>
      </c>
      <c r="F894" s="6" t="s">
        <v>2479</v>
      </c>
      <c r="G894" s="6" t="s">
        <v>2478</v>
      </c>
      <c r="H894" s="8" t="s">
        <v>2480</v>
      </c>
      <c r="I894" s="14">
        <v>45314</v>
      </c>
    </row>
    <row r="895" spans="1:9" x14ac:dyDescent="0.15">
      <c r="A895" s="5">
        <v>894</v>
      </c>
      <c r="B895" s="6" t="s">
        <v>9</v>
      </c>
      <c r="C895" s="7">
        <v>1884</v>
      </c>
      <c r="D895" s="8">
        <v>45402</v>
      </c>
      <c r="E895" s="9" t="str">
        <f>+HYPERLINK("http://trademark.i-assist.jp/data/china/image_1884th/76554345.pdf", "76554345")</f>
        <v>76554345</v>
      </c>
      <c r="F895" s="6" t="s">
        <v>2482</v>
      </c>
      <c r="G895" s="6" t="s">
        <v>2481</v>
      </c>
      <c r="H895" s="8" t="s">
        <v>2483</v>
      </c>
      <c r="I895" s="14">
        <v>45314</v>
      </c>
    </row>
    <row r="896" spans="1:9" x14ac:dyDescent="0.15">
      <c r="A896" s="5">
        <v>895</v>
      </c>
      <c r="B896" s="6" t="s">
        <v>9</v>
      </c>
      <c r="C896" s="7">
        <v>1884</v>
      </c>
      <c r="D896" s="8">
        <v>45402</v>
      </c>
      <c r="E896" s="9" t="str">
        <f>+HYPERLINK("http://trademark.i-assist.jp/data/china/image_1884th/76554449.pdf", "76554449")</f>
        <v>76554449</v>
      </c>
      <c r="F896" s="6" t="s">
        <v>2485</v>
      </c>
      <c r="G896" s="6" t="s">
        <v>2484</v>
      </c>
      <c r="H896" s="8" t="s">
        <v>2486</v>
      </c>
      <c r="I896" s="14">
        <v>45314</v>
      </c>
    </row>
    <row r="897" spans="1:9" x14ac:dyDescent="0.15">
      <c r="A897" s="5">
        <v>896</v>
      </c>
      <c r="B897" s="6" t="s">
        <v>9</v>
      </c>
      <c r="C897" s="7">
        <v>1884</v>
      </c>
      <c r="D897" s="8">
        <v>45402</v>
      </c>
      <c r="E897" s="9" t="str">
        <f>+HYPERLINK("http://trademark.i-assist.jp/data/china/image_1884th/76554483.pdf", "76554483")</f>
        <v>76554483</v>
      </c>
      <c r="F897" s="6" t="s">
        <v>2488</v>
      </c>
      <c r="G897" s="6" t="s">
        <v>2487</v>
      </c>
      <c r="H897" s="8" t="s">
        <v>2489</v>
      </c>
      <c r="I897" s="14">
        <v>45314</v>
      </c>
    </row>
    <row r="898" spans="1:9" x14ac:dyDescent="0.15">
      <c r="A898" s="5">
        <v>897</v>
      </c>
      <c r="B898" s="6" t="s">
        <v>9</v>
      </c>
      <c r="C898" s="7">
        <v>1884</v>
      </c>
      <c r="D898" s="8">
        <v>45402</v>
      </c>
      <c r="E898" s="9" t="str">
        <f>+HYPERLINK("http://trademark.i-assist.jp/data/china/image_1884th/76554787.pdf", "76554787")</f>
        <v>76554787</v>
      </c>
      <c r="F898" s="6" t="s">
        <v>2490</v>
      </c>
      <c r="G898" s="6" t="s">
        <v>2328</v>
      </c>
      <c r="H898" s="8" t="s">
        <v>2330</v>
      </c>
      <c r="I898" s="14">
        <v>45314</v>
      </c>
    </row>
    <row r="899" spans="1:9" x14ac:dyDescent="0.15">
      <c r="A899" s="5">
        <v>898</v>
      </c>
      <c r="B899" s="6" t="s">
        <v>9</v>
      </c>
      <c r="C899" s="7">
        <v>1884</v>
      </c>
      <c r="D899" s="8">
        <v>45402</v>
      </c>
      <c r="E899" s="9" t="str">
        <f>+HYPERLINK("http://trademark.i-assist.jp/data/china/image_1884th/76554878.pdf", "76554878")</f>
        <v>76554878</v>
      </c>
      <c r="F899" s="6" t="s">
        <v>2492</v>
      </c>
      <c r="G899" s="6" t="s">
        <v>2491</v>
      </c>
      <c r="H899" s="8" t="s">
        <v>2348</v>
      </c>
      <c r="I899" s="14">
        <v>45314</v>
      </c>
    </row>
    <row r="900" spans="1:9" x14ac:dyDescent="0.15">
      <c r="A900" s="5">
        <v>899</v>
      </c>
      <c r="B900" s="6" t="s">
        <v>9</v>
      </c>
      <c r="C900" s="7">
        <v>1884</v>
      </c>
      <c r="D900" s="8">
        <v>45402</v>
      </c>
      <c r="E900" s="9" t="str">
        <f>+HYPERLINK("http://trademark.i-assist.jp/data/china/image_1884th/76554896.pdf", "76554896")</f>
        <v>76554896</v>
      </c>
      <c r="F900" s="6" t="s">
        <v>2493</v>
      </c>
      <c r="G900" s="6" t="s">
        <v>35</v>
      </c>
      <c r="H900" s="8" t="s">
        <v>2494</v>
      </c>
      <c r="I900" s="14">
        <v>45314</v>
      </c>
    </row>
    <row r="901" spans="1:9" x14ac:dyDescent="0.15">
      <c r="A901" s="5">
        <v>900</v>
      </c>
      <c r="B901" s="6" t="s">
        <v>9</v>
      </c>
      <c r="C901" s="7">
        <v>1884</v>
      </c>
      <c r="D901" s="8">
        <v>45402</v>
      </c>
      <c r="E901" s="9" t="str">
        <f>+HYPERLINK("http://trademark.i-assist.jp/data/china/image_1884th/76555197.pdf", "76555197")</f>
        <v>76555197</v>
      </c>
      <c r="F901" s="6" t="s">
        <v>2496</v>
      </c>
      <c r="G901" s="6" t="s">
        <v>2495</v>
      </c>
      <c r="H901" s="8" t="s">
        <v>2497</v>
      </c>
      <c r="I901" s="14">
        <v>45314</v>
      </c>
    </row>
    <row r="902" spans="1:9" x14ac:dyDescent="0.15">
      <c r="A902" s="5">
        <v>901</v>
      </c>
      <c r="B902" s="6" t="s">
        <v>9</v>
      </c>
      <c r="C902" s="7">
        <v>1884</v>
      </c>
      <c r="D902" s="8">
        <v>45402</v>
      </c>
      <c r="E902" s="9" t="str">
        <f>+HYPERLINK("http://trademark.i-assist.jp/data/china/image_1884th/76555221.pdf", "76555221")</f>
        <v>76555221</v>
      </c>
      <c r="F902" s="6" t="s">
        <v>2499</v>
      </c>
      <c r="G902" s="6" t="s">
        <v>2498</v>
      </c>
      <c r="H902" s="8" t="s">
        <v>1840</v>
      </c>
      <c r="I902" s="14">
        <v>45314</v>
      </c>
    </row>
    <row r="903" spans="1:9" x14ac:dyDescent="0.15">
      <c r="A903" s="5">
        <v>902</v>
      </c>
      <c r="B903" s="6" t="s">
        <v>9</v>
      </c>
      <c r="C903" s="7">
        <v>1884</v>
      </c>
      <c r="D903" s="8">
        <v>45402</v>
      </c>
      <c r="E903" s="9" t="str">
        <f>+HYPERLINK("http://trademark.i-assist.jp/data/china/image_1884th/76555280.pdf", "76555280")</f>
        <v>76555280</v>
      </c>
      <c r="F903" s="6" t="s">
        <v>2500</v>
      </c>
      <c r="G903" s="6" t="s">
        <v>2478</v>
      </c>
      <c r="H903" s="8" t="s">
        <v>2480</v>
      </c>
      <c r="I903" s="14">
        <v>45314</v>
      </c>
    </row>
    <row r="904" spans="1:9" x14ac:dyDescent="0.15">
      <c r="A904" s="5">
        <v>903</v>
      </c>
      <c r="B904" s="6" t="s">
        <v>9</v>
      </c>
      <c r="C904" s="7">
        <v>1884</v>
      </c>
      <c r="D904" s="8">
        <v>45402</v>
      </c>
      <c r="E904" s="9" t="str">
        <f>+HYPERLINK("http://trademark.i-assist.jp/data/china/image_1884th/76555367.pdf", "76555367")</f>
        <v>76555367</v>
      </c>
      <c r="F904" s="6" t="s">
        <v>2501</v>
      </c>
      <c r="G904" s="6" t="s">
        <v>2331</v>
      </c>
      <c r="H904" s="8" t="s">
        <v>2502</v>
      </c>
      <c r="I904" s="14">
        <v>45314</v>
      </c>
    </row>
    <row r="905" spans="1:9" x14ac:dyDescent="0.15">
      <c r="A905" s="5">
        <v>904</v>
      </c>
      <c r="B905" s="6" t="s">
        <v>9</v>
      </c>
      <c r="C905" s="7">
        <v>1884</v>
      </c>
      <c r="D905" s="8">
        <v>45402</v>
      </c>
      <c r="E905" s="9" t="str">
        <f>+HYPERLINK("http://trademark.i-assist.jp/data/china/image_1884th/76555707.pdf", "76555707")</f>
        <v>76555707</v>
      </c>
      <c r="F905" s="6" t="s">
        <v>2504</v>
      </c>
      <c r="G905" s="6" t="s">
        <v>2503</v>
      </c>
      <c r="H905" s="8" t="s">
        <v>2505</v>
      </c>
      <c r="I905" s="14">
        <v>45314</v>
      </c>
    </row>
    <row r="906" spans="1:9" x14ac:dyDescent="0.15">
      <c r="A906" s="5">
        <v>905</v>
      </c>
      <c r="B906" s="6" t="s">
        <v>9</v>
      </c>
      <c r="C906" s="7">
        <v>1884</v>
      </c>
      <c r="D906" s="8">
        <v>45402</v>
      </c>
      <c r="E906" s="9" t="str">
        <f>+HYPERLINK("http://trademark.i-assist.jp/data/china/image_1884th/76555751.pdf", "76555751")</f>
        <v>76555751</v>
      </c>
      <c r="F906" s="6" t="s">
        <v>2507</v>
      </c>
      <c r="G906" s="6" t="s">
        <v>2506</v>
      </c>
      <c r="H906" s="8" t="s">
        <v>2508</v>
      </c>
      <c r="I906" s="14">
        <v>45314</v>
      </c>
    </row>
    <row r="907" spans="1:9" x14ac:dyDescent="0.15">
      <c r="A907" s="5">
        <v>906</v>
      </c>
      <c r="B907" s="6" t="s">
        <v>9</v>
      </c>
      <c r="C907" s="7">
        <v>1884</v>
      </c>
      <c r="D907" s="8">
        <v>45402</v>
      </c>
      <c r="E907" s="9" t="str">
        <f>+HYPERLINK("http://trademark.i-assist.jp/data/china/image_1884th/76555893.pdf", "76555893")</f>
        <v>76555893</v>
      </c>
      <c r="F907" s="6" t="s">
        <v>2510</v>
      </c>
      <c r="G907" s="6" t="s">
        <v>2509</v>
      </c>
      <c r="H907" s="8" t="s">
        <v>2511</v>
      </c>
      <c r="I907" s="14">
        <v>45314</v>
      </c>
    </row>
    <row r="908" spans="1:9" x14ac:dyDescent="0.15">
      <c r="A908" s="5">
        <v>907</v>
      </c>
      <c r="B908" s="6" t="s">
        <v>9</v>
      </c>
      <c r="C908" s="7">
        <v>1884</v>
      </c>
      <c r="D908" s="8">
        <v>45402</v>
      </c>
      <c r="E908" s="9" t="str">
        <f>+HYPERLINK("http://trademark.i-assist.jp/data/china/image_1884th/76555906.pdf", "76555906")</f>
        <v>76555906</v>
      </c>
      <c r="F908" s="6" t="s">
        <v>2350</v>
      </c>
      <c r="G908" s="6" t="s">
        <v>2349</v>
      </c>
      <c r="H908" s="8" t="s">
        <v>2512</v>
      </c>
      <c r="I908" s="14">
        <v>45314</v>
      </c>
    </row>
    <row r="909" spans="1:9" x14ac:dyDescent="0.15">
      <c r="A909" s="5">
        <v>908</v>
      </c>
      <c r="B909" s="6" t="s">
        <v>9</v>
      </c>
      <c r="C909" s="7">
        <v>1884</v>
      </c>
      <c r="D909" s="8">
        <v>45402</v>
      </c>
      <c r="E909" s="9" t="str">
        <f>+HYPERLINK("http://trademark.i-assist.jp/data/china/image_1884th/76556484.pdf", "76556484")</f>
        <v>76556484</v>
      </c>
      <c r="F909" s="6" t="s">
        <v>2514</v>
      </c>
      <c r="G909" s="6" t="s">
        <v>2513</v>
      </c>
      <c r="H909" s="8" t="s">
        <v>2515</v>
      </c>
      <c r="I909" s="14">
        <v>45314</v>
      </c>
    </row>
    <row r="910" spans="1:9" x14ac:dyDescent="0.15">
      <c r="A910" s="5">
        <v>909</v>
      </c>
      <c r="B910" s="6" t="s">
        <v>9</v>
      </c>
      <c r="C910" s="7">
        <v>1884</v>
      </c>
      <c r="D910" s="8">
        <v>45402</v>
      </c>
      <c r="E910" s="9" t="str">
        <f>+HYPERLINK("http://trademark.i-assist.jp/data/china/image_1884th/76556517.pdf", "76556517")</f>
        <v>76556517</v>
      </c>
      <c r="F910" s="6" t="s">
        <v>2517</v>
      </c>
      <c r="G910" s="6" t="s">
        <v>2516</v>
      </c>
      <c r="H910" s="8" t="s">
        <v>2518</v>
      </c>
      <c r="I910" s="14">
        <v>45314</v>
      </c>
    </row>
    <row r="911" spans="1:9" x14ac:dyDescent="0.15">
      <c r="A911" s="5">
        <v>910</v>
      </c>
      <c r="B911" s="6" t="s">
        <v>9</v>
      </c>
      <c r="C911" s="7">
        <v>1884</v>
      </c>
      <c r="D911" s="8">
        <v>45402</v>
      </c>
      <c r="E911" s="9" t="str">
        <f>+HYPERLINK("http://trademark.i-assist.jp/data/china/image_1884th/76557087.pdf", "76557087")</f>
        <v>76557087</v>
      </c>
      <c r="F911" s="6" t="s">
        <v>2520</v>
      </c>
      <c r="G911" s="6" t="s">
        <v>2519</v>
      </c>
      <c r="H911" s="8" t="s">
        <v>2521</v>
      </c>
      <c r="I911" s="14">
        <v>45314</v>
      </c>
    </row>
    <row r="912" spans="1:9" x14ac:dyDescent="0.15">
      <c r="A912" s="5">
        <v>911</v>
      </c>
      <c r="B912" s="6" t="s">
        <v>9</v>
      </c>
      <c r="C912" s="7">
        <v>1884</v>
      </c>
      <c r="D912" s="8">
        <v>45402</v>
      </c>
      <c r="E912" s="9" t="str">
        <f>+HYPERLINK("http://trademark.i-assist.jp/data/china/image_1884th/76557233.pdf", "76557233")</f>
        <v>76557233</v>
      </c>
      <c r="F912" s="6" t="s">
        <v>2523</v>
      </c>
      <c r="G912" s="6" t="s">
        <v>2522</v>
      </c>
      <c r="H912" s="8" t="s">
        <v>2524</v>
      </c>
      <c r="I912" s="14">
        <v>45314</v>
      </c>
    </row>
    <row r="913" spans="1:9" x14ac:dyDescent="0.15">
      <c r="A913" s="5">
        <v>912</v>
      </c>
      <c r="B913" s="6" t="s">
        <v>9</v>
      </c>
      <c r="C913" s="7">
        <v>1884</v>
      </c>
      <c r="D913" s="8">
        <v>45402</v>
      </c>
      <c r="E913" s="9" t="str">
        <f>+HYPERLINK("http://trademark.i-assist.jp/data/china/image_1884th/76557364.pdf", "76557364")</f>
        <v>76557364</v>
      </c>
      <c r="F913" s="6" t="s">
        <v>2525</v>
      </c>
      <c r="G913" s="6" t="s">
        <v>2452</v>
      </c>
      <c r="H913" s="8" t="s">
        <v>2454</v>
      </c>
      <c r="I913" s="14">
        <v>45314</v>
      </c>
    </row>
    <row r="914" spans="1:9" x14ac:dyDescent="0.15">
      <c r="A914" s="5">
        <v>913</v>
      </c>
      <c r="B914" s="6" t="s">
        <v>9</v>
      </c>
      <c r="C914" s="7">
        <v>1884</v>
      </c>
      <c r="D914" s="8">
        <v>45402</v>
      </c>
      <c r="E914" s="9" t="str">
        <f>+HYPERLINK("http://trademark.i-assist.jp/data/china/image_1884th/76557625.pdf", "76557625")</f>
        <v>76557625</v>
      </c>
      <c r="F914" s="6" t="s">
        <v>2526</v>
      </c>
      <c r="G914" s="6" t="s">
        <v>2513</v>
      </c>
      <c r="H914" s="8" t="s">
        <v>2527</v>
      </c>
      <c r="I914" s="14">
        <v>45314</v>
      </c>
    </row>
    <row r="915" spans="1:9" x14ac:dyDescent="0.15">
      <c r="A915" s="5">
        <v>914</v>
      </c>
      <c r="B915" s="6" t="s">
        <v>9</v>
      </c>
      <c r="C915" s="7">
        <v>1884</v>
      </c>
      <c r="D915" s="8">
        <v>45402</v>
      </c>
      <c r="E915" s="9" t="str">
        <f>+HYPERLINK("http://trademark.i-assist.jp/data/china/image_1884th/76557786.pdf", "76557786")</f>
        <v>76557786</v>
      </c>
      <c r="F915" s="6" t="s">
        <v>2528</v>
      </c>
      <c r="G915" s="6" t="s">
        <v>1663</v>
      </c>
      <c r="H915" s="8" t="s">
        <v>2529</v>
      </c>
      <c r="I915" s="14">
        <v>45314</v>
      </c>
    </row>
    <row r="916" spans="1:9" x14ac:dyDescent="0.15">
      <c r="A916" s="5">
        <v>915</v>
      </c>
      <c r="B916" s="6" t="s">
        <v>9</v>
      </c>
      <c r="C916" s="7">
        <v>1884</v>
      </c>
      <c r="D916" s="8">
        <v>45402</v>
      </c>
      <c r="E916" s="9" t="str">
        <f>+HYPERLINK("http://trademark.i-assist.jp/data/china/image_1884th/76558114.pdf", "76558114")</f>
        <v>76558114</v>
      </c>
      <c r="F916" s="6" t="s">
        <v>2530</v>
      </c>
      <c r="G916" s="6" t="s">
        <v>2346</v>
      </c>
      <c r="H916" s="8" t="s">
        <v>2531</v>
      </c>
      <c r="I916" s="14">
        <v>45314</v>
      </c>
    </row>
    <row r="917" spans="1:9" x14ac:dyDescent="0.15">
      <c r="A917" s="5">
        <v>916</v>
      </c>
      <c r="B917" s="6" t="s">
        <v>9</v>
      </c>
      <c r="C917" s="7">
        <v>1884</v>
      </c>
      <c r="D917" s="8">
        <v>45402</v>
      </c>
      <c r="E917" s="9" t="str">
        <f>+HYPERLINK("http://trademark.i-assist.jp/data/china/image_1884th/76558240.pdf", "76558240")</f>
        <v>76558240</v>
      </c>
      <c r="F917" s="6" t="s">
        <v>2533</v>
      </c>
      <c r="G917" s="6" t="s">
        <v>2532</v>
      </c>
      <c r="H917" s="8" t="s">
        <v>2534</v>
      </c>
      <c r="I917" s="14">
        <v>45314</v>
      </c>
    </row>
    <row r="918" spans="1:9" x14ac:dyDescent="0.15">
      <c r="A918" s="5">
        <v>917</v>
      </c>
      <c r="B918" s="6" t="s">
        <v>9</v>
      </c>
      <c r="C918" s="7">
        <v>1884</v>
      </c>
      <c r="D918" s="8">
        <v>45402</v>
      </c>
      <c r="E918" s="9" t="str">
        <f>+HYPERLINK("http://trademark.i-assist.jp/data/china/image_1884th/76558652.pdf", "76558652")</f>
        <v>76558652</v>
      </c>
      <c r="F918" s="6" t="s">
        <v>2536</v>
      </c>
      <c r="G918" s="6" t="s">
        <v>2535</v>
      </c>
      <c r="H918" s="8" t="s">
        <v>2537</v>
      </c>
      <c r="I918" s="14">
        <v>45314</v>
      </c>
    </row>
    <row r="919" spans="1:9" x14ac:dyDescent="0.15">
      <c r="A919" s="5">
        <v>918</v>
      </c>
      <c r="B919" s="6" t="s">
        <v>9</v>
      </c>
      <c r="C919" s="7">
        <v>1884</v>
      </c>
      <c r="D919" s="8">
        <v>45402</v>
      </c>
      <c r="E919" s="9" t="str">
        <f>+HYPERLINK("http://trademark.i-assist.jp/data/china/image_1884th/76558695.pdf", "76558695")</f>
        <v>76558695</v>
      </c>
      <c r="F919" s="6" t="s">
        <v>2539</v>
      </c>
      <c r="G919" s="6" t="s">
        <v>2538</v>
      </c>
      <c r="H919" s="8" t="s">
        <v>2540</v>
      </c>
      <c r="I919" s="14">
        <v>45314</v>
      </c>
    </row>
    <row r="920" spans="1:9" x14ac:dyDescent="0.15">
      <c r="A920" s="5">
        <v>919</v>
      </c>
      <c r="B920" s="6" t="s">
        <v>9</v>
      </c>
      <c r="C920" s="7">
        <v>1884</v>
      </c>
      <c r="D920" s="8">
        <v>45402</v>
      </c>
      <c r="E920" s="9" t="str">
        <f>+HYPERLINK("http://trademark.i-assist.jp/data/china/image_1884th/76558771.pdf", "76558771")</f>
        <v>76558771</v>
      </c>
      <c r="F920" s="6" t="s">
        <v>2542</v>
      </c>
      <c r="G920" s="6" t="s">
        <v>2541</v>
      </c>
      <c r="H920" s="8" t="s">
        <v>2543</v>
      </c>
      <c r="I920" s="14">
        <v>45314</v>
      </c>
    </row>
    <row r="921" spans="1:9" x14ac:dyDescent="0.15">
      <c r="A921" s="5">
        <v>920</v>
      </c>
      <c r="B921" s="6" t="s">
        <v>9</v>
      </c>
      <c r="C921" s="7">
        <v>1884</v>
      </c>
      <c r="D921" s="8">
        <v>45402</v>
      </c>
      <c r="E921" s="9" t="str">
        <f>+HYPERLINK("http://trademark.i-assist.jp/data/china/image_1884th/76558981.pdf", "76558981")</f>
        <v>76558981</v>
      </c>
      <c r="F921" s="6" t="s">
        <v>2545</v>
      </c>
      <c r="G921" s="6" t="s">
        <v>2544</v>
      </c>
      <c r="H921" s="8" t="s">
        <v>2546</v>
      </c>
      <c r="I921" s="14">
        <v>45314</v>
      </c>
    </row>
    <row r="922" spans="1:9" x14ac:dyDescent="0.15">
      <c r="A922" s="5">
        <v>921</v>
      </c>
      <c r="B922" s="6" t="s">
        <v>9</v>
      </c>
      <c r="C922" s="7">
        <v>1884</v>
      </c>
      <c r="D922" s="8">
        <v>45402</v>
      </c>
      <c r="E922" s="9" t="str">
        <f>+HYPERLINK("http://trademark.i-assist.jp/data/china/image_1884th/76559492.pdf", "76559492")</f>
        <v>76559492</v>
      </c>
      <c r="F922" s="6" t="s">
        <v>2548</v>
      </c>
      <c r="G922" s="6" t="s">
        <v>2547</v>
      </c>
      <c r="H922" s="8" t="s">
        <v>2549</v>
      </c>
      <c r="I922" s="14">
        <v>45314</v>
      </c>
    </row>
    <row r="923" spans="1:9" x14ac:dyDescent="0.15">
      <c r="A923" s="5">
        <v>922</v>
      </c>
      <c r="B923" s="6" t="s">
        <v>9</v>
      </c>
      <c r="C923" s="7">
        <v>1884</v>
      </c>
      <c r="D923" s="8">
        <v>45402</v>
      </c>
      <c r="E923" s="9" t="str">
        <f>+HYPERLINK("http://trademark.i-assist.jp/data/china/image_1884th/76559498.pdf", "76559498")</f>
        <v>76559498</v>
      </c>
      <c r="F923" s="6" t="s">
        <v>2551</v>
      </c>
      <c r="G923" s="6" t="s">
        <v>2550</v>
      </c>
      <c r="H923" s="8" t="s">
        <v>2552</v>
      </c>
      <c r="I923" s="14">
        <v>45314</v>
      </c>
    </row>
    <row r="924" spans="1:9" x14ac:dyDescent="0.15">
      <c r="A924" s="5">
        <v>923</v>
      </c>
      <c r="B924" s="6" t="s">
        <v>9</v>
      </c>
      <c r="C924" s="7">
        <v>1884</v>
      </c>
      <c r="D924" s="8">
        <v>45402</v>
      </c>
      <c r="E924" s="9" t="str">
        <f>+HYPERLINK("http://trademark.i-assist.jp/data/china/image_1884th/76559720.pdf", "76559720")</f>
        <v>76559720</v>
      </c>
      <c r="F924" s="6" t="s">
        <v>2554</v>
      </c>
      <c r="G924" s="6" t="s">
        <v>2553</v>
      </c>
      <c r="H924" s="8" t="s">
        <v>2555</v>
      </c>
      <c r="I924" s="14">
        <v>45314</v>
      </c>
    </row>
    <row r="925" spans="1:9" x14ac:dyDescent="0.15">
      <c r="A925" s="5">
        <v>924</v>
      </c>
      <c r="B925" s="6" t="s">
        <v>9</v>
      </c>
      <c r="C925" s="7">
        <v>1884</v>
      </c>
      <c r="D925" s="8">
        <v>45402</v>
      </c>
      <c r="E925" s="9" t="str">
        <f>+HYPERLINK("http://trademark.i-assist.jp/data/china/image_1884th/76559899.pdf", "76559899")</f>
        <v>76559899</v>
      </c>
      <c r="F925" s="6" t="s">
        <v>2556</v>
      </c>
      <c r="G925" s="6" t="s">
        <v>875</v>
      </c>
      <c r="H925" s="8" t="s">
        <v>2557</v>
      </c>
      <c r="I925" s="14">
        <v>45314</v>
      </c>
    </row>
    <row r="926" spans="1:9" x14ac:dyDescent="0.15">
      <c r="A926" s="5">
        <v>925</v>
      </c>
      <c r="B926" s="6" t="s">
        <v>9</v>
      </c>
      <c r="C926" s="7">
        <v>1884</v>
      </c>
      <c r="D926" s="8">
        <v>45402</v>
      </c>
      <c r="E926" s="9" t="str">
        <f>+HYPERLINK("http://trademark.i-assist.jp/data/china/image_1884th/76560141.pdf", "76560141")</f>
        <v>76560141</v>
      </c>
      <c r="F926" s="6" t="s">
        <v>2559</v>
      </c>
      <c r="G926" s="6" t="s">
        <v>2558</v>
      </c>
      <c r="H926" s="8" t="s">
        <v>2560</v>
      </c>
      <c r="I926" s="14">
        <v>45314</v>
      </c>
    </row>
    <row r="927" spans="1:9" x14ac:dyDescent="0.15">
      <c r="A927" s="5">
        <v>926</v>
      </c>
      <c r="B927" s="6" t="s">
        <v>9</v>
      </c>
      <c r="C927" s="7">
        <v>1884</v>
      </c>
      <c r="D927" s="8">
        <v>45402</v>
      </c>
      <c r="E927" s="9" t="str">
        <f>+HYPERLINK("http://trademark.i-assist.jp/data/china/image_1884th/76560244.pdf", "76560244")</f>
        <v>76560244</v>
      </c>
      <c r="F927" s="6" t="s">
        <v>2562</v>
      </c>
      <c r="G927" s="6" t="s">
        <v>2561</v>
      </c>
      <c r="H927" s="8" t="s">
        <v>2563</v>
      </c>
      <c r="I927" s="14">
        <v>45314</v>
      </c>
    </row>
    <row r="928" spans="1:9" x14ac:dyDescent="0.15">
      <c r="A928" s="5">
        <v>927</v>
      </c>
      <c r="B928" s="6" t="s">
        <v>9</v>
      </c>
      <c r="C928" s="7">
        <v>1884</v>
      </c>
      <c r="D928" s="8">
        <v>45402</v>
      </c>
      <c r="E928" s="9" t="str">
        <f>+HYPERLINK("http://trademark.i-assist.jp/data/china/image_1884th/76560316.pdf", "76560316")</f>
        <v>76560316</v>
      </c>
      <c r="F928" s="6" t="s">
        <v>2565</v>
      </c>
      <c r="G928" s="6" t="s">
        <v>2564</v>
      </c>
      <c r="H928" s="8" t="s">
        <v>2566</v>
      </c>
      <c r="I928" s="14">
        <v>45314</v>
      </c>
    </row>
    <row r="929" spans="1:9" x14ac:dyDescent="0.15">
      <c r="A929" s="5">
        <v>928</v>
      </c>
      <c r="B929" s="6" t="s">
        <v>9</v>
      </c>
      <c r="C929" s="7">
        <v>1884</v>
      </c>
      <c r="D929" s="8">
        <v>45402</v>
      </c>
      <c r="E929" s="9" t="str">
        <f>+HYPERLINK("http://trademark.i-assist.jp/data/china/image_1884th/76560505.pdf", "76560505")</f>
        <v>76560505</v>
      </c>
      <c r="F929" s="6" t="s">
        <v>2567</v>
      </c>
      <c r="G929" s="6" t="s">
        <v>2519</v>
      </c>
      <c r="H929" s="8" t="s">
        <v>2568</v>
      </c>
      <c r="I929" s="14">
        <v>45314</v>
      </c>
    </row>
    <row r="930" spans="1:9" x14ac:dyDescent="0.15">
      <c r="A930" s="5">
        <v>929</v>
      </c>
      <c r="B930" s="6" t="s">
        <v>9</v>
      </c>
      <c r="C930" s="7">
        <v>1884</v>
      </c>
      <c r="D930" s="8">
        <v>45402</v>
      </c>
      <c r="E930" s="9" t="str">
        <f>+HYPERLINK("http://trademark.i-assist.jp/data/china/image_1884th/76561014.pdf", "76561014")</f>
        <v>76561014</v>
      </c>
      <c r="F930" s="6" t="s">
        <v>2570</v>
      </c>
      <c r="G930" s="6" t="s">
        <v>2569</v>
      </c>
      <c r="H930" s="8" t="s">
        <v>2571</v>
      </c>
      <c r="I930" s="14">
        <v>45314</v>
      </c>
    </row>
    <row r="931" spans="1:9" x14ac:dyDescent="0.15">
      <c r="A931" s="5">
        <v>930</v>
      </c>
      <c r="B931" s="6" t="s">
        <v>9</v>
      </c>
      <c r="C931" s="7">
        <v>1884</v>
      </c>
      <c r="D931" s="8">
        <v>45402</v>
      </c>
      <c r="E931" s="9" t="str">
        <f>+HYPERLINK("http://trademark.i-assist.jp/data/china/image_1884th/76561496.pdf", "76561496")</f>
        <v>76561496</v>
      </c>
      <c r="F931" s="6" t="s">
        <v>2572</v>
      </c>
      <c r="G931" s="6" t="s">
        <v>2458</v>
      </c>
      <c r="H931" s="8" t="s">
        <v>2573</v>
      </c>
      <c r="I931" s="14">
        <v>45314</v>
      </c>
    </row>
    <row r="932" spans="1:9" x14ac:dyDescent="0.15">
      <c r="A932" s="5">
        <v>931</v>
      </c>
      <c r="B932" s="6" t="s">
        <v>9</v>
      </c>
      <c r="C932" s="7">
        <v>1884</v>
      </c>
      <c r="D932" s="8">
        <v>45402</v>
      </c>
      <c r="E932" s="9" t="str">
        <f>+HYPERLINK("http://trademark.i-assist.jp/data/china/image_1884th/76561656.pdf", "76561656")</f>
        <v>76561656</v>
      </c>
      <c r="F932" s="6" t="s">
        <v>2575</v>
      </c>
      <c r="G932" s="6" t="s">
        <v>2574</v>
      </c>
      <c r="H932" s="8" t="s">
        <v>2576</v>
      </c>
      <c r="I932" s="14">
        <v>45314</v>
      </c>
    </row>
    <row r="933" spans="1:9" x14ac:dyDescent="0.15">
      <c r="A933" s="5">
        <v>932</v>
      </c>
      <c r="B933" s="6" t="s">
        <v>9</v>
      </c>
      <c r="C933" s="7">
        <v>1884</v>
      </c>
      <c r="D933" s="8">
        <v>45402</v>
      </c>
      <c r="E933" s="9" t="str">
        <f>+HYPERLINK("http://trademark.i-assist.jp/data/china/image_1884th/76561771.pdf", "76561771")</f>
        <v>76561771</v>
      </c>
      <c r="F933" s="6" t="s">
        <v>2578</v>
      </c>
      <c r="G933" s="6" t="s">
        <v>2577</v>
      </c>
      <c r="H933" s="8" t="s">
        <v>2579</v>
      </c>
      <c r="I933" s="14">
        <v>45314</v>
      </c>
    </row>
    <row r="934" spans="1:9" x14ac:dyDescent="0.15">
      <c r="A934" s="5">
        <v>933</v>
      </c>
      <c r="B934" s="6" t="s">
        <v>9</v>
      </c>
      <c r="C934" s="7">
        <v>1884</v>
      </c>
      <c r="D934" s="8">
        <v>45402</v>
      </c>
      <c r="E934" s="9" t="str">
        <f>+HYPERLINK("http://trademark.i-assist.jp/data/china/image_1884th/76562007.pdf", "76562007")</f>
        <v>76562007</v>
      </c>
      <c r="F934" s="6" t="s">
        <v>2581</v>
      </c>
      <c r="G934" s="6" t="s">
        <v>2580</v>
      </c>
      <c r="H934" s="8" t="s">
        <v>2582</v>
      </c>
      <c r="I934" s="14">
        <v>45314</v>
      </c>
    </row>
    <row r="935" spans="1:9" x14ac:dyDescent="0.15">
      <c r="A935" s="5">
        <v>934</v>
      </c>
      <c r="B935" s="6" t="s">
        <v>9</v>
      </c>
      <c r="C935" s="7">
        <v>1884</v>
      </c>
      <c r="D935" s="8">
        <v>45402</v>
      </c>
      <c r="E935" s="9" t="str">
        <f>+HYPERLINK("http://trademark.i-assist.jp/data/china/image_1884th/76562017.pdf", "76562017")</f>
        <v>76562017</v>
      </c>
      <c r="F935" s="6" t="s">
        <v>2584</v>
      </c>
      <c r="G935" s="6" t="s">
        <v>2583</v>
      </c>
      <c r="H935" s="8" t="s">
        <v>2585</v>
      </c>
      <c r="I935" s="14">
        <v>45314</v>
      </c>
    </row>
    <row r="936" spans="1:9" x14ac:dyDescent="0.15">
      <c r="A936" s="5">
        <v>935</v>
      </c>
      <c r="B936" s="6" t="s">
        <v>9</v>
      </c>
      <c r="C936" s="7">
        <v>1884</v>
      </c>
      <c r="D936" s="8">
        <v>45402</v>
      </c>
      <c r="E936" s="9" t="str">
        <f>+HYPERLINK("http://trademark.i-assist.jp/data/china/image_1884th/76562177.pdf", "76562177")</f>
        <v>76562177</v>
      </c>
      <c r="F936" s="6" t="s">
        <v>2586</v>
      </c>
      <c r="G936" s="6" t="s">
        <v>2401</v>
      </c>
      <c r="H936" s="8" t="s">
        <v>2587</v>
      </c>
      <c r="I936" s="14">
        <v>45314</v>
      </c>
    </row>
    <row r="937" spans="1:9" x14ac:dyDescent="0.15">
      <c r="A937" s="5">
        <v>936</v>
      </c>
      <c r="B937" s="6" t="s">
        <v>9</v>
      </c>
      <c r="C937" s="7">
        <v>1884</v>
      </c>
      <c r="D937" s="8">
        <v>45402</v>
      </c>
      <c r="E937" s="9" t="str">
        <f>+HYPERLINK("http://trademark.i-assist.jp/data/china/image_1884th/76562305.pdf", "76562305")</f>
        <v>76562305</v>
      </c>
      <c r="F937" s="6" t="s">
        <v>2588</v>
      </c>
      <c r="G937" s="6" t="s">
        <v>2337</v>
      </c>
      <c r="H937" s="8" t="s">
        <v>2589</v>
      </c>
      <c r="I937" s="14">
        <v>45314</v>
      </c>
    </row>
    <row r="938" spans="1:9" x14ac:dyDescent="0.15">
      <c r="A938" s="5">
        <v>937</v>
      </c>
      <c r="B938" s="6" t="s">
        <v>9</v>
      </c>
      <c r="C938" s="7">
        <v>1884</v>
      </c>
      <c r="D938" s="8">
        <v>45402</v>
      </c>
      <c r="E938" s="9" t="str">
        <f>+HYPERLINK("http://trademark.i-assist.jp/data/china/image_1884th/76562711.pdf", "76562711")</f>
        <v>76562711</v>
      </c>
      <c r="F938" s="6" t="s">
        <v>2591</v>
      </c>
      <c r="G938" s="6" t="s">
        <v>2590</v>
      </c>
      <c r="H938" s="8" t="s">
        <v>2592</v>
      </c>
      <c r="I938" s="14">
        <v>45314</v>
      </c>
    </row>
    <row r="939" spans="1:9" x14ac:dyDescent="0.15">
      <c r="A939" s="5">
        <v>938</v>
      </c>
      <c r="B939" s="6" t="s">
        <v>9</v>
      </c>
      <c r="C939" s="7">
        <v>1884</v>
      </c>
      <c r="D939" s="8">
        <v>45402</v>
      </c>
      <c r="E939" s="9" t="str">
        <f>+HYPERLINK("http://trademark.i-assist.jp/data/china/image_1884th/76563037.pdf", "76563037")</f>
        <v>76563037</v>
      </c>
      <c r="F939" s="6" t="s">
        <v>2593</v>
      </c>
      <c r="G939" s="6" t="s">
        <v>2331</v>
      </c>
      <c r="H939" s="8" t="s">
        <v>2594</v>
      </c>
      <c r="I939" s="14">
        <v>45314</v>
      </c>
    </row>
    <row r="940" spans="1:9" x14ac:dyDescent="0.15">
      <c r="A940" s="5">
        <v>939</v>
      </c>
      <c r="B940" s="6" t="s">
        <v>9</v>
      </c>
      <c r="C940" s="7">
        <v>1884</v>
      </c>
      <c r="D940" s="8">
        <v>45402</v>
      </c>
      <c r="E940" s="9" t="str">
        <f>+HYPERLINK("http://trademark.i-assist.jp/data/china/image_1884th/76563277.pdf", "76563277")</f>
        <v>76563277</v>
      </c>
      <c r="F940" s="6" t="s">
        <v>2596</v>
      </c>
      <c r="G940" s="6" t="s">
        <v>2595</v>
      </c>
      <c r="H940" s="8" t="s">
        <v>2597</v>
      </c>
      <c r="I940" s="14">
        <v>45314</v>
      </c>
    </row>
    <row r="941" spans="1:9" x14ac:dyDescent="0.15">
      <c r="A941" s="5">
        <v>940</v>
      </c>
      <c r="B941" s="6" t="s">
        <v>9</v>
      </c>
      <c r="C941" s="7">
        <v>1884</v>
      </c>
      <c r="D941" s="8">
        <v>45402</v>
      </c>
      <c r="E941" s="9" t="str">
        <f>+HYPERLINK("http://trademark.i-assist.jp/data/china/image_1884th/76563318.pdf", "76563318")</f>
        <v>76563318</v>
      </c>
      <c r="F941" s="6" t="s">
        <v>2599</v>
      </c>
      <c r="G941" s="6" t="s">
        <v>2598</v>
      </c>
      <c r="H941" s="8" t="s">
        <v>2600</v>
      </c>
      <c r="I941" s="14">
        <v>45314</v>
      </c>
    </row>
    <row r="942" spans="1:9" x14ac:dyDescent="0.15">
      <c r="A942" s="5">
        <v>941</v>
      </c>
      <c r="B942" s="6" t="s">
        <v>9</v>
      </c>
      <c r="C942" s="7">
        <v>1884</v>
      </c>
      <c r="D942" s="8">
        <v>45402</v>
      </c>
      <c r="E942" s="9" t="str">
        <f>+HYPERLINK("http://trademark.i-assist.jp/data/china/image_1884th/76563806.pdf", "76563806")</f>
        <v>76563806</v>
      </c>
      <c r="F942" s="6" t="s">
        <v>2368</v>
      </c>
      <c r="G942" s="6" t="s">
        <v>2367</v>
      </c>
      <c r="H942" s="8" t="s">
        <v>2369</v>
      </c>
      <c r="I942" s="14">
        <v>45314</v>
      </c>
    </row>
    <row r="943" spans="1:9" x14ac:dyDescent="0.15">
      <c r="A943" s="5">
        <v>942</v>
      </c>
      <c r="B943" s="6" t="s">
        <v>9</v>
      </c>
      <c r="C943" s="7">
        <v>1884</v>
      </c>
      <c r="D943" s="8">
        <v>45402</v>
      </c>
      <c r="E943" s="9" t="str">
        <f>+HYPERLINK("http://trademark.i-assist.jp/data/china/image_1884th/76563945.pdf", "76563945")</f>
        <v>76563945</v>
      </c>
      <c r="F943" s="6" t="s">
        <v>2602</v>
      </c>
      <c r="G943" s="6" t="s">
        <v>2601</v>
      </c>
      <c r="H943" s="8" t="s">
        <v>2603</v>
      </c>
      <c r="I943" s="14">
        <v>45314</v>
      </c>
    </row>
    <row r="944" spans="1:9" x14ac:dyDescent="0.15">
      <c r="A944" s="5">
        <v>943</v>
      </c>
      <c r="B944" s="6" t="s">
        <v>9</v>
      </c>
      <c r="C944" s="7">
        <v>1884</v>
      </c>
      <c r="D944" s="8">
        <v>45402</v>
      </c>
      <c r="E944" s="9" t="str">
        <f>+HYPERLINK("http://trademark.i-assist.jp/data/china/image_1884th/76564031.pdf", "76564031")</f>
        <v>76564031</v>
      </c>
      <c r="F944" s="6" t="s">
        <v>2604</v>
      </c>
      <c r="G944" s="6" t="s">
        <v>1798</v>
      </c>
      <c r="H944" s="8" t="s">
        <v>2605</v>
      </c>
      <c r="I944" s="14">
        <v>45314</v>
      </c>
    </row>
    <row r="945" spans="1:9" x14ac:dyDescent="0.15">
      <c r="A945" s="5">
        <v>944</v>
      </c>
      <c r="B945" s="6" t="s">
        <v>9</v>
      </c>
      <c r="C945" s="7">
        <v>1884</v>
      </c>
      <c r="D945" s="8">
        <v>45402</v>
      </c>
      <c r="E945" s="9" t="str">
        <f>+HYPERLINK("http://trademark.i-assist.jp/data/china/image_1884th/76564192.pdf", "76564192")</f>
        <v>76564192</v>
      </c>
      <c r="F945" s="6" t="s">
        <v>2606</v>
      </c>
      <c r="G945" s="6" t="s">
        <v>2452</v>
      </c>
      <c r="H945" s="8" t="s">
        <v>2607</v>
      </c>
      <c r="I945" s="14">
        <v>45314</v>
      </c>
    </row>
    <row r="946" spans="1:9" x14ac:dyDescent="0.15">
      <c r="A946" s="5">
        <v>945</v>
      </c>
      <c r="B946" s="6" t="s">
        <v>9</v>
      </c>
      <c r="C946" s="7">
        <v>1884</v>
      </c>
      <c r="D946" s="8">
        <v>45402</v>
      </c>
      <c r="E946" s="9" t="str">
        <f>+HYPERLINK("http://trademark.i-assist.jp/data/china/image_1884th/76564291.pdf", "76564291")</f>
        <v>76564291</v>
      </c>
      <c r="F946" s="6" t="s">
        <v>2609</v>
      </c>
      <c r="G946" s="6" t="s">
        <v>2608</v>
      </c>
      <c r="H946" s="8" t="s">
        <v>2610</v>
      </c>
      <c r="I946" s="14">
        <v>45314</v>
      </c>
    </row>
    <row r="947" spans="1:9" x14ac:dyDescent="0.15">
      <c r="A947" s="5">
        <v>946</v>
      </c>
      <c r="B947" s="6" t="s">
        <v>9</v>
      </c>
      <c r="C947" s="7">
        <v>1884</v>
      </c>
      <c r="D947" s="8">
        <v>45402</v>
      </c>
      <c r="E947" s="9" t="str">
        <f>+HYPERLINK("http://trademark.i-assist.jp/data/china/image_1884th/76564855.pdf", "76564855")</f>
        <v>76564855</v>
      </c>
      <c r="F947" s="6" t="s">
        <v>2612</v>
      </c>
      <c r="G947" s="6" t="s">
        <v>2611</v>
      </c>
      <c r="H947" s="8" t="s">
        <v>2613</v>
      </c>
      <c r="I947" s="14">
        <v>45314</v>
      </c>
    </row>
    <row r="948" spans="1:9" x14ac:dyDescent="0.15">
      <c r="A948" s="5">
        <v>947</v>
      </c>
      <c r="B948" s="6" t="s">
        <v>9</v>
      </c>
      <c r="C948" s="7">
        <v>1884</v>
      </c>
      <c r="D948" s="8">
        <v>45402</v>
      </c>
      <c r="E948" s="9" t="str">
        <f>+HYPERLINK("http://trademark.i-assist.jp/data/china/image_1884th/76564997.pdf", "76564997")</f>
        <v>76564997</v>
      </c>
      <c r="F948" s="6" t="s">
        <v>2615</v>
      </c>
      <c r="G948" s="6" t="s">
        <v>2614</v>
      </c>
      <c r="H948" s="8" t="s">
        <v>2616</v>
      </c>
      <c r="I948" s="14">
        <v>45314</v>
      </c>
    </row>
    <row r="949" spans="1:9" x14ac:dyDescent="0.15">
      <c r="A949" s="5">
        <v>948</v>
      </c>
      <c r="B949" s="6" t="s">
        <v>9</v>
      </c>
      <c r="C949" s="7">
        <v>1884</v>
      </c>
      <c r="D949" s="8">
        <v>45402</v>
      </c>
      <c r="E949" s="9" t="str">
        <f>+HYPERLINK("http://trademark.i-assist.jp/data/china/image_1884th/76565738.pdf", "76565738")</f>
        <v>76565738</v>
      </c>
      <c r="F949" s="6" t="s">
        <v>2617</v>
      </c>
      <c r="G949" s="6" t="s">
        <v>1487</v>
      </c>
      <c r="H949" s="8" t="s">
        <v>2618</v>
      </c>
      <c r="I949" s="14">
        <v>45314</v>
      </c>
    </row>
    <row r="950" spans="1:9" x14ac:dyDescent="0.15">
      <c r="A950" s="5">
        <v>949</v>
      </c>
      <c r="B950" s="6" t="s">
        <v>9</v>
      </c>
      <c r="C950" s="7">
        <v>1884</v>
      </c>
      <c r="D950" s="8">
        <v>45402</v>
      </c>
      <c r="E950" s="9" t="str">
        <f>+HYPERLINK("http://trademark.i-assist.jp/data/china/image_1884th/76565781.pdf", "76565781")</f>
        <v>76565781</v>
      </c>
      <c r="F950" s="6" t="s">
        <v>2620</v>
      </c>
      <c r="G950" s="6" t="s">
        <v>2619</v>
      </c>
      <c r="H950" s="8" t="s">
        <v>2621</v>
      </c>
      <c r="I950" s="14">
        <v>45314</v>
      </c>
    </row>
    <row r="951" spans="1:9" x14ac:dyDescent="0.15">
      <c r="A951" s="5">
        <v>950</v>
      </c>
      <c r="B951" s="6" t="s">
        <v>9</v>
      </c>
      <c r="C951" s="7">
        <v>1884</v>
      </c>
      <c r="D951" s="8">
        <v>45402</v>
      </c>
      <c r="E951" s="9" t="str">
        <f>+HYPERLINK("http://trademark.i-assist.jp/data/china/image_1884th/76565843.pdf", "76565843")</f>
        <v>76565843</v>
      </c>
      <c r="F951" s="6" t="s">
        <v>2623</v>
      </c>
      <c r="G951" s="6" t="s">
        <v>2622</v>
      </c>
      <c r="H951" s="8" t="s">
        <v>2624</v>
      </c>
      <c r="I951" s="14">
        <v>45314</v>
      </c>
    </row>
    <row r="952" spans="1:9" x14ac:dyDescent="0.15">
      <c r="A952" s="5">
        <v>951</v>
      </c>
      <c r="B952" s="6" t="s">
        <v>9</v>
      </c>
      <c r="C952" s="7">
        <v>1884</v>
      </c>
      <c r="D952" s="8">
        <v>45402</v>
      </c>
      <c r="E952" s="9" t="str">
        <f>+HYPERLINK("http://trademark.i-assist.jp/data/china/image_1884th/76565888.pdf", "76565888")</f>
        <v>76565888</v>
      </c>
      <c r="F952" s="6" t="s">
        <v>2626</v>
      </c>
      <c r="G952" s="6" t="s">
        <v>2625</v>
      </c>
      <c r="H952" s="8" t="s">
        <v>2627</v>
      </c>
      <c r="I952" s="14">
        <v>45314</v>
      </c>
    </row>
    <row r="953" spans="1:9" x14ac:dyDescent="0.15">
      <c r="A953" s="5">
        <v>952</v>
      </c>
      <c r="B953" s="6" t="s">
        <v>9</v>
      </c>
      <c r="C953" s="7">
        <v>1884</v>
      </c>
      <c r="D953" s="8">
        <v>45402</v>
      </c>
      <c r="E953" s="9" t="str">
        <f>+HYPERLINK("http://trademark.i-assist.jp/data/china/image_1884th/76565935.pdf", "76565935")</f>
        <v>76565935</v>
      </c>
      <c r="F953" s="6" t="s">
        <v>2629</v>
      </c>
      <c r="G953" s="6" t="s">
        <v>2628</v>
      </c>
      <c r="H953" s="8" t="s">
        <v>2630</v>
      </c>
      <c r="I953" s="14">
        <v>45314</v>
      </c>
    </row>
    <row r="954" spans="1:9" x14ac:dyDescent="0.15">
      <c r="A954" s="5">
        <v>953</v>
      </c>
      <c r="B954" s="6" t="s">
        <v>9</v>
      </c>
      <c r="C954" s="7">
        <v>1884</v>
      </c>
      <c r="D954" s="8">
        <v>45402</v>
      </c>
      <c r="E954" s="9" t="str">
        <f>+HYPERLINK("http://trademark.i-assist.jp/data/china/image_1884th/76565958.pdf", "76565958")</f>
        <v>76565958</v>
      </c>
      <c r="F954" s="6" t="s">
        <v>2632</v>
      </c>
      <c r="G954" s="6" t="s">
        <v>2631</v>
      </c>
      <c r="H954" s="8" t="s">
        <v>2633</v>
      </c>
      <c r="I954" s="14">
        <v>45314</v>
      </c>
    </row>
    <row r="955" spans="1:9" x14ac:dyDescent="0.15">
      <c r="A955" s="5">
        <v>954</v>
      </c>
      <c r="B955" s="6" t="s">
        <v>9</v>
      </c>
      <c r="C955" s="7">
        <v>1884</v>
      </c>
      <c r="D955" s="8">
        <v>45402</v>
      </c>
      <c r="E955" s="9" t="str">
        <f>+HYPERLINK("http://trademark.i-assist.jp/data/china/image_1884th/76565991.pdf", "76565991")</f>
        <v>76565991</v>
      </c>
      <c r="F955" s="6" t="s">
        <v>2635</v>
      </c>
      <c r="G955" s="6" t="s">
        <v>2634</v>
      </c>
      <c r="H955" s="8" t="s">
        <v>2636</v>
      </c>
      <c r="I955" s="14">
        <v>45314</v>
      </c>
    </row>
    <row r="956" spans="1:9" x14ac:dyDescent="0.15">
      <c r="A956" s="5">
        <v>955</v>
      </c>
      <c r="B956" s="6" t="s">
        <v>9</v>
      </c>
      <c r="C956" s="7">
        <v>1884</v>
      </c>
      <c r="D956" s="8">
        <v>45402</v>
      </c>
      <c r="E956" s="9" t="str">
        <f>+HYPERLINK("http://trademark.i-assist.jp/data/china/image_1884th/76566387.pdf", "76566387")</f>
        <v>76566387</v>
      </c>
      <c r="F956" s="6" t="s">
        <v>2638</v>
      </c>
      <c r="G956" s="6" t="s">
        <v>2637</v>
      </c>
      <c r="H956" s="8" t="s">
        <v>2639</v>
      </c>
      <c r="I956" s="14">
        <v>45314</v>
      </c>
    </row>
    <row r="957" spans="1:9" x14ac:dyDescent="0.15">
      <c r="A957" s="5">
        <v>956</v>
      </c>
      <c r="B957" s="6" t="s">
        <v>9</v>
      </c>
      <c r="C957" s="7">
        <v>1884</v>
      </c>
      <c r="D957" s="8">
        <v>45402</v>
      </c>
      <c r="E957" s="9" t="str">
        <f>+HYPERLINK("http://trademark.i-assist.jp/data/china/image_1884th/76566488.pdf", "76566488")</f>
        <v>76566488</v>
      </c>
      <c r="F957" s="6" t="s">
        <v>2641</v>
      </c>
      <c r="G957" s="6" t="s">
        <v>2640</v>
      </c>
      <c r="H957" s="8" t="s">
        <v>2642</v>
      </c>
      <c r="I957" s="14">
        <v>45314</v>
      </c>
    </row>
    <row r="958" spans="1:9" x14ac:dyDescent="0.15">
      <c r="A958" s="5">
        <v>957</v>
      </c>
      <c r="B958" s="6" t="s">
        <v>9</v>
      </c>
      <c r="C958" s="7">
        <v>1884</v>
      </c>
      <c r="D958" s="8">
        <v>45402</v>
      </c>
      <c r="E958" s="9" t="str">
        <f>+HYPERLINK("http://trademark.i-assist.jp/data/china/image_1884th/76566728.pdf", "76566728")</f>
        <v>76566728</v>
      </c>
      <c r="F958" s="6" t="s">
        <v>2643</v>
      </c>
      <c r="G958" s="6" t="s">
        <v>2487</v>
      </c>
      <c r="H958" s="8" t="s">
        <v>2644</v>
      </c>
      <c r="I958" s="14">
        <v>45314</v>
      </c>
    </row>
    <row r="959" spans="1:9" x14ac:dyDescent="0.15">
      <c r="A959" s="5">
        <v>958</v>
      </c>
      <c r="B959" s="6" t="s">
        <v>9</v>
      </c>
      <c r="C959" s="7">
        <v>1884</v>
      </c>
      <c r="D959" s="8">
        <v>45402</v>
      </c>
      <c r="E959" s="9" t="str">
        <f>+HYPERLINK("http://trademark.i-assist.jp/data/china/image_1884th/76567206.pdf", "76567206")</f>
        <v>76567206</v>
      </c>
      <c r="F959" s="6" t="s">
        <v>2646</v>
      </c>
      <c r="G959" s="6" t="s">
        <v>2645</v>
      </c>
      <c r="H959" s="8" t="s">
        <v>2647</v>
      </c>
      <c r="I959" s="14">
        <v>45314</v>
      </c>
    </row>
    <row r="960" spans="1:9" x14ac:dyDescent="0.15">
      <c r="A960" s="5">
        <v>959</v>
      </c>
      <c r="B960" s="6" t="s">
        <v>9</v>
      </c>
      <c r="C960" s="7">
        <v>1884</v>
      </c>
      <c r="D960" s="8">
        <v>45402</v>
      </c>
      <c r="E960" s="9" t="str">
        <f>+HYPERLINK("http://trademark.i-assist.jp/data/china/image_1884th/76567222.pdf", "76567222")</f>
        <v>76567222</v>
      </c>
      <c r="F960" s="6" t="s">
        <v>2648</v>
      </c>
      <c r="G960" s="6" t="s">
        <v>2487</v>
      </c>
      <c r="H960" s="8" t="s">
        <v>2649</v>
      </c>
      <c r="I960" s="14">
        <v>45314</v>
      </c>
    </row>
    <row r="961" spans="1:9" x14ac:dyDescent="0.15">
      <c r="A961" s="5">
        <v>960</v>
      </c>
      <c r="B961" s="6" t="s">
        <v>9</v>
      </c>
      <c r="C961" s="7">
        <v>1884</v>
      </c>
      <c r="D961" s="8">
        <v>45402</v>
      </c>
      <c r="E961" s="9" t="str">
        <f>+HYPERLINK("http://trademark.i-assist.jp/data/china/image_1884th/76567296.pdf", "76567296")</f>
        <v>76567296</v>
      </c>
      <c r="F961" s="6" t="s">
        <v>2650</v>
      </c>
      <c r="G961" s="6" t="s">
        <v>2601</v>
      </c>
      <c r="H961" s="8" t="s">
        <v>2603</v>
      </c>
      <c r="I961" s="14">
        <v>45314</v>
      </c>
    </row>
    <row r="962" spans="1:9" x14ac:dyDescent="0.15">
      <c r="A962" s="5">
        <v>961</v>
      </c>
      <c r="B962" s="6" t="s">
        <v>9</v>
      </c>
      <c r="C962" s="7">
        <v>1884</v>
      </c>
      <c r="D962" s="8">
        <v>45402</v>
      </c>
      <c r="E962" s="9" t="str">
        <f>+HYPERLINK("http://trademark.i-assist.jp/data/china/image_1884th/76567374.pdf", "76567374")</f>
        <v>76567374</v>
      </c>
      <c r="F962" s="6" t="s">
        <v>2652</v>
      </c>
      <c r="G962" s="6" t="s">
        <v>2651</v>
      </c>
      <c r="H962" s="8" t="s">
        <v>2497</v>
      </c>
      <c r="I962" s="14">
        <v>45314</v>
      </c>
    </row>
    <row r="963" spans="1:9" x14ac:dyDescent="0.15">
      <c r="A963" s="5">
        <v>962</v>
      </c>
      <c r="B963" s="6" t="s">
        <v>9</v>
      </c>
      <c r="C963" s="7">
        <v>1884</v>
      </c>
      <c r="D963" s="8">
        <v>45402</v>
      </c>
      <c r="E963" s="9" t="str">
        <f>+HYPERLINK("http://trademark.i-assist.jp/data/china/image_1884th/76567457.pdf", "76567457")</f>
        <v>76567457</v>
      </c>
      <c r="F963" s="6" t="s">
        <v>2654</v>
      </c>
      <c r="G963" s="6" t="s">
        <v>2653</v>
      </c>
      <c r="H963" s="8" t="s">
        <v>2655</v>
      </c>
      <c r="I963" s="14">
        <v>45314</v>
      </c>
    </row>
    <row r="964" spans="1:9" x14ac:dyDescent="0.15">
      <c r="A964" s="5">
        <v>963</v>
      </c>
      <c r="B964" s="6" t="s">
        <v>9</v>
      </c>
      <c r="C964" s="7">
        <v>1884</v>
      </c>
      <c r="D964" s="8">
        <v>45402</v>
      </c>
      <c r="E964" s="9" t="str">
        <f>+HYPERLINK("http://trademark.i-assist.jp/data/china/image_1884th/76567472.pdf", "76567472")</f>
        <v>76567472</v>
      </c>
      <c r="F964" s="6" t="s">
        <v>2657</v>
      </c>
      <c r="G964" s="6" t="s">
        <v>2656</v>
      </c>
      <c r="H964" s="8" t="s">
        <v>2658</v>
      </c>
      <c r="I964" s="14">
        <v>45314</v>
      </c>
    </row>
    <row r="965" spans="1:9" x14ac:dyDescent="0.15">
      <c r="A965" s="5">
        <v>964</v>
      </c>
      <c r="B965" s="6" t="s">
        <v>9</v>
      </c>
      <c r="C965" s="7">
        <v>1884</v>
      </c>
      <c r="D965" s="8">
        <v>45402</v>
      </c>
      <c r="E965" s="9" t="str">
        <f>+HYPERLINK("http://trademark.i-assist.jp/data/china/image_1884th/76567491.pdf", "76567491")</f>
        <v>76567491</v>
      </c>
      <c r="F965" s="6" t="s">
        <v>2659</v>
      </c>
      <c r="G965" s="6" t="s">
        <v>2331</v>
      </c>
      <c r="H965" s="8" t="s">
        <v>2502</v>
      </c>
      <c r="I965" s="14">
        <v>45314</v>
      </c>
    </row>
    <row r="966" spans="1:9" x14ac:dyDescent="0.15">
      <c r="A966" s="5">
        <v>965</v>
      </c>
      <c r="B966" s="6" t="s">
        <v>9</v>
      </c>
      <c r="C966" s="7">
        <v>1884</v>
      </c>
      <c r="D966" s="8">
        <v>45402</v>
      </c>
      <c r="E966" s="9" t="str">
        <f>+HYPERLINK("http://trademark.i-assist.jp/data/china/image_1884th/76567504.pdf", "76567504")</f>
        <v>76567504</v>
      </c>
      <c r="F966" s="6" t="s">
        <v>2661</v>
      </c>
      <c r="G966" s="6" t="s">
        <v>2660</v>
      </c>
      <c r="H966" s="8" t="s">
        <v>2662</v>
      </c>
      <c r="I966" s="14">
        <v>45314</v>
      </c>
    </row>
    <row r="967" spans="1:9" x14ac:dyDescent="0.15">
      <c r="A967" s="5">
        <v>966</v>
      </c>
      <c r="B967" s="6" t="s">
        <v>9</v>
      </c>
      <c r="C967" s="7">
        <v>1884</v>
      </c>
      <c r="D967" s="8">
        <v>45402</v>
      </c>
      <c r="E967" s="9" t="str">
        <f>+HYPERLINK("http://trademark.i-assist.jp/data/china/image_1884th/76567630.pdf", "76567630")</f>
        <v>76567630</v>
      </c>
      <c r="F967" s="6" t="s">
        <v>2663</v>
      </c>
      <c r="G967" s="6" t="s">
        <v>2541</v>
      </c>
      <c r="H967" s="8" t="s">
        <v>2664</v>
      </c>
      <c r="I967" s="14">
        <v>45314</v>
      </c>
    </row>
    <row r="968" spans="1:9" x14ac:dyDescent="0.15">
      <c r="A968" s="5">
        <v>967</v>
      </c>
      <c r="B968" s="6" t="s">
        <v>9</v>
      </c>
      <c r="C968" s="7">
        <v>1884</v>
      </c>
      <c r="D968" s="8">
        <v>45402</v>
      </c>
      <c r="E968" s="9" t="str">
        <f>+HYPERLINK("http://trademark.i-assist.jp/data/china/image_1884th/76568233.pdf", "76568233")</f>
        <v>76568233</v>
      </c>
      <c r="F968" s="6" t="s">
        <v>2666</v>
      </c>
      <c r="G968" s="6" t="s">
        <v>2665</v>
      </c>
      <c r="H968" s="8" t="s">
        <v>2667</v>
      </c>
      <c r="I968" s="14">
        <v>45314</v>
      </c>
    </row>
    <row r="969" spans="1:9" x14ac:dyDescent="0.15">
      <c r="A969" s="5">
        <v>968</v>
      </c>
      <c r="B969" s="6" t="s">
        <v>9</v>
      </c>
      <c r="C969" s="7">
        <v>1884</v>
      </c>
      <c r="D969" s="8">
        <v>45402</v>
      </c>
      <c r="E969" s="9" t="str">
        <f>+HYPERLINK("http://trademark.i-assist.jp/data/china/image_1884th/76568315.pdf", "76568315")</f>
        <v>76568315</v>
      </c>
      <c r="F969" s="6" t="s">
        <v>2669</v>
      </c>
      <c r="G969" s="6" t="s">
        <v>2668</v>
      </c>
      <c r="H969" s="8" t="s">
        <v>2670</v>
      </c>
      <c r="I969" s="14">
        <v>45314</v>
      </c>
    </row>
    <row r="970" spans="1:9" x14ac:dyDescent="0.15">
      <c r="A970" s="5">
        <v>969</v>
      </c>
      <c r="B970" s="6" t="s">
        <v>9</v>
      </c>
      <c r="C970" s="7">
        <v>1884</v>
      </c>
      <c r="D970" s="8">
        <v>45402</v>
      </c>
      <c r="E970" s="9" t="str">
        <f>+HYPERLINK("http://trademark.i-assist.jp/data/china/image_1884th/76568624.pdf", "76568624")</f>
        <v>76568624</v>
      </c>
      <c r="F970" s="6" t="s">
        <v>2672</v>
      </c>
      <c r="G970" s="6" t="s">
        <v>2671</v>
      </c>
      <c r="H970" s="8" t="s">
        <v>2673</v>
      </c>
      <c r="I970" s="14">
        <v>45314</v>
      </c>
    </row>
    <row r="971" spans="1:9" x14ac:dyDescent="0.15">
      <c r="A971" s="5">
        <v>970</v>
      </c>
      <c r="B971" s="6" t="s">
        <v>9</v>
      </c>
      <c r="C971" s="7">
        <v>1884</v>
      </c>
      <c r="D971" s="8">
        <v>45402</v>
      </c>
      <c r="E971" s="9" t="str">
        <f>+HYPERLINK("http://trademark.i-assist.jp/data/china/image_1884th/76568650.pdf", "76568650")</f>
        <v>76568650</v>
      </c>
      <c r="F971" s="6" t="s">
        <v>2675</v>
      </c>
      <c r="G971" s="6" t="s">
        <v>2674</v>
      </c>
      <c r="H971" s="8" t="s">
        <v>2676</v>
      </c>
      <c r="I971" s="14">
        <v>45314</v>
      </c>
    </row>
    <row r="972" spans="1:9" x14ac:dyDescent="0.15">
      <c r="A972" s="5">
        <v>971</v>
      </c>
      <c r="B972" s="6" t="s">
        <v>9</v>
      </c>
      <c r="C972" s="7">
        <v>1884</v>
      </c>
      <c r="D972" s="8">
        <v>45402</v>
      </c>
      <c r="E972" s="9" t="str">
        <f>+HYPERLINK("http://trademark.i-assist.jp/data/china/image_1884th/76568678.pdf", "76568678")</f>
        <v>76568678</v>
      </c>
      <c r="F972" s="6" t="s">
        <v>2677</v>
      </c>
      <c r="G972" s="6" t="s">
        <v>35</v>
      </c>
      <c r="H972" s="8" t="s">
        <v>1840</v>
      </c>
      <c r="I972" s="14">
        <v>45314</v>
      </c>
    </row>
    <row r="973" spans="1:9" x14ac:dyDescent="0.15">
      <c r="A973" s="5">
        <v>972</v>
      </c>
      <c r="B973" s="6" t="s">
        <v>9</v>
      </c>
      <c r="C973" s="7">
        <v>1884</v>
      </c>
      <c r="D973" s="8">
        <v>45402</v>
      </c>
      <c r="E973" s="9" t="str">
        <f>+HYPERLINK("http://trademark.i-assist.jp/data/china/image_1884th/76569246.pdf", "76569246")</f>
        <v>76569246</v>
      </c>
      <c r="F973" s="6" t="s">
        <v>2678</v>
      </c>
      <c r="G973" s="6" t="s">
        <v>2503</v>
      </c>
      <c r="H973" s="8" t="s">
        <v>2679</v>
      </c>
      <c r="I973" s="14">
        <v>45314</v>
      </c>
    </row>
    <row r="974" spans="1:9" x14ac:dyDescent="0.15">
      <c r="A974" s="5">
        <v>973</v>
      </c>
      <c r="B974" s="6" t="s">
        <v>9</v>
      </c>
      <c r="C974" s="7">
        <v>1884</v>
      </c>
      <c r="D974" s="8">
        <v>45402</v>
      </c>
      <c r="E974" s="9" t="str">
        <f>+HYPERLINK("http://trademark.i-assist.jp/data/china/image_1884th/76569349.pdf", "76569349")</f>
        <v>76569349</v>
      </c>
      <c r="F974" s="6" t="s">
        <v>2681</v>
      </c>
      <c r="G974" s="6" t="s">
        <v>2680</v>
      </c>
      <c r="H974" s="8" t="s">
        <v>2682</v>
      </c>
      <c r="I974" s="14">
        <v>45314</v>
      </c>
    </row>
    <row r="975" spans="1:9" x14ac:dyDescent="0.15">
      <c r="A975" s="5">
        <v>974</v>
      </c>
      <c r="B975" s="6" t="s">
        <v>9</v>
      </c>
      <c r="C975" s="7">
        <v>1884</v>
      </c>
      <c r="D975" s="8">
        <v>45402</v>
      </c>
      <c r="E975" s="9" t="str">
        <f>+HYPERLINK("http://trademark.i-assist.jp/data/china/image_1884th/76569735.pdf", "76569735")</f>
        <v>76569735</v>
      </c>
      <c r="F975" s="6" t="s">
        <v>2684</v>
      </c>
      <c r="G975" s="6" t="s">
        <v>2683</v>
      </c>
      <c r="H975" s="8" t="s">
        <v>2685</v>
      </c>
      <c r="I975" s="14">
        <v>45315</v>
      </c>
    </row>
    <row r="976" spans="1:9" x14ac:dyDescent="0.15">
      <c r="A976" s="5">
        <v>975</v>
      </c>
      <c r="B976" s="6" t="s">
        <v>9</v>
      </c>
      <c r="C976" s="7">
        <v>1884</v>
      </c>
      <c r="D976" s="8">
        <v>45402</v>
      </c>
      <c r="E976" s="9" t="str">
        <f>+HYPERLINK("http://trademark.i-assist.jp/data/china/image_1884th/76570013.pdf", "76570013")</f>
        <v>76570013</v>
      </c>
      <c r="F976" s="6" t="s">
        <v>2686</v>
      </c>
      <c r="G976" s="6" t="s">
        <v>408</v>
      </c>
      <c r="H976" s="8" t="s">
        <v>2687</v>
      </c>
      <c r="I976" s="14">
        <v>45315</v>
      </c>
    </row>
    <row r="977" spans="1:9" x14ac:dyDescent="0.15">
      <c r="A977" s="5">
        <v>976</v>
      </c>
      <c r="B977" s="6" t="s">
        <v>9</v>
      </c>
      <c r="C977" s="7">
        <v>1884</v>
      </c>
      <c r="D977" s="8">
        <v>45402</v>
      </c>
      <c r="E977" s="9" t="str">
        <f>+HYPERLINK("http://trademark.i-assist.jp/data/china/image_1884th/76570095.pdf", "76570095")</f>
        <v>76570095</v>
      </c>
      <c r="F977" s="6" t="s">
        <v>2689</v>
      </c>
      <c r="G977" s="6" t="s">
        <v>2688</v>
      </c>
      <c r="H977" s="8" t="s">
        <v>2690</v>
      </c>
      <c r="I977" s="14">
        <v>45315</v>
      </c>
    </row>
    <row r="978" spans="1:9" x14ac:dyDescent="0.15">
      <c r="A978" s="5">
        <v>977</v>
      </c>
      <c r="B978" s="6" t="s">
        <v>9</v>
      </c>
      <c r="C978" s="7">
        <v>1884</v>
      </c>
      <c r="D978" s="8">
        <v>45402</v>
      </c>
      <c r="E978" s="9" t="str">
        <f>+HYPERLINK("http://trademark.i-assist.jp/data/china/image_1884th/76570401.pdf", "76570401")</f>
        <v>76570401</v>
      </c>
      <c r="F978" s="6" t="s">
        <v>2691</v>
      </c>
      <c r="G978" s="6" t="s">
        <v>24</v>
      </c>
      <c r="H978" s="8" t="s">
        <v>2692</v>
      </c>
      <c r="I978" s="14">
        <v>45315</v>
      </c>
    </row>
    <row r="979" spans="1:9" x14ac:dyDescent="0.15">
      <c r="A979" s="5">
        <v>978</v>
      </c>
      <c r="B979" s="6" t="s">
        <v>9</v>
      </c>
      <c r="C979" s="7">
        <v>1884</v>
      </c>
      <c r="D979" s="8">
        <v>45402</v>
      </c>
      <c r="E979" s="9" t="str">
        <f>+HYPERLINK("http://trademark.i-assist.jp/data/china/image_1884th/76570546.pdf", "76570546")</f>
        <v>76570546</v>
      </c>
      <c r="F979" s="6" t="s">
        <v>2694</v>
      </c>
      <c r="G979" s="6" t="s">
        <v>2693</v>
      </c>
      <c r="H979" s="8" t="s">
        <v>2695</v>
      </c>
      <c r="I979" s="14">
        <v>45315</v>
      </c>
    </row>
    <row r="980" spans="1:9" x14ac:dyDescent="0.15">
      <c r="A980" s="5">
        <v>979</v>
      </c>
      <c r="B980" s="6" t="s">
        <v>9</v>
      </c>
      <c r="C980" s="7">
        <v>1884</v>
      </c>
      <c r="D980" s="8">
        <v>45402</v>
      </c>
      <c r="E980" s="9" t="str">
        <f>+HYPERLINK("http://trademark.i-assist.jp/data/china/image_1884th/76570569.pdf", "76570569")</f>
        <v>76570569</v>
      </c>
      <c r="F980" s="6" t="s">
        <v>2697</v>
      </c>
      <c r="G980" s="6" t="s">
        <v>2696</v>
      </c>
      <c r="H980" s="8" t="s">
        <v>2698</v>
      </c>
      <c r="I980" s="14">
        <v>45315</v>
      </c>
    </row>
    <row r="981" spans="1:9" x14ac:dyDescent="0.15">
      <c r="A981" s="5">
        <v>980</v>
      </c>
      <c r="B981" s="6" t="s">
        <v>9</v>
      </c>
      <c r="C981" s="7">
        <v>1884</v>
      </c>
      <c r="D981" s="8">
        <v>45402</v>
      </c>
      <c r="E981" s="9" t="str">
        <f>+HYPERLINK("http://trademark.i-assist.jp/data/china/image_1884th/76570821.pdf", "76570821")</f>
        <v>76570821</v>
      </c>
      <c r="F981" s="6" t="s">
        <v>2700</v>
      </c>
      <c r="G981" s="6" t="s">
        <v>2699</v>
      </c>
      <c r="H981" s="8" t="s">
        <v>2701</v>
      </c>
      <c r="I981" s="14">
        <v>45315</v>
      </c>
    </row>
    <row r="982" spans="1:9" x14ac:dyDescent="0.15">
      <c r="A982" s="5">
        <v>981</v>
      </c>
      <c r="B982" s="6" t="s">
        <v>9</v>
      </c>
      <c r="C982" s="7">
        <v>1884</v>
      </c>
      <c r="D982" s="8">
        <v>45402</v>
      </c>
      <c r="E982" s="9" t="str">
        <f>+HYPERLINK("http://trademark.i-assist.jp/data/china/image_1884th/76571351.pdf", "76571351")</f>
        <v>76571351</v>
      </c>
      <c r="F982" s="6" t="s">
        <v>167</v>
      </c>
      <c r="G982" s="6" t="s">
        <v>2702</v>
      </c>
      <c r="H982" s="8" t="s">
        <v>2703</v>
      </c>
      <c r="I982" s="14">
        <v>45315</v>
      </c>
    </row>
    <row r="983" spans="1:9" x14ac:dyDescent="0.15">
      <c r="A983" s="5">
        <v>982</v>
      </c>
      <c r="B983" s="6" t="s">
        <v>9</v>
      </c>
      <c r="C983" s="7">
        <v>1884</v>
      </c>
      <c r="D983" s="8">
        <v>45402</v>
      </c>
      <c r="E983" s="9" t="str">
        <f>+HYPERLINK("http://trademark.i-assist.jp/data/china/image_1884th/76571358.pdf", "76571358")</f>
        <v>76571358</v>
      </c>
      <c r="F983" s="6" t="s">
        <v>2705</v>
      </c>
      <c r="G983" s="6" t="s">
        <v>2704</v>
      </c>
      <c r="H983" s="8" t="s">
        <v>2706</v>
      </c>
      <c r="I983" s="14">
        <v>45315</v>
      </c>
    </row>
    <row r="984" spans="1:9" x14ac:dyDescent="0.15">
      <c r="A984" s="5">
        <v>983</v>
      </c>
      <c r="B984" s="6" t="s">
        <v>9</v>
      </c>
      <c r="C984" s="7">
        <v>1884</v>
      </c>
      <c r="D984" s="8">
        <v>45402</v>
      </c>
      <c r="E984" s="9" t="str">
        <f>+HYPERLINK("http://trademark.i-assist.jp/data/china/image_1884th/76571426.pdf", "76571426")</f>
        <v>76571426</v>
      </c>
      <c r="F984" s="6" t="s">
        <v>2707</v>
      </c>
      <c r="G984" s="6" t="s">
        <v>31</v>
      </c>
      <c r="H984" s="8" t="s">
        <v>2708</v>
      </c>
      <c r="I984" s="14">
        <v>45315</v>
      </c>
    </row>
    <row r="985" spans="1:9" x14ac:dyDescent="0.15">
      <c r="A985" s="5">
        <v>984</v>
      </c>
      <c r="B985" s="6" t="s">
        <v>9</v>
      </c>
      <c r="C985" s="7">
        <v>1884</v>
      </c>
      <c r="D985" s="8">
        <v>45402</v>
      </c>
      <c r="E985" s="9" t="str">
        <f>+HYPERLINK("http://trademark.i-assist.jp/data/china/image_1884th/76572165.pdf", "76572165")</f>
        <v>76572165</v>
      </c>
      <c r="F985" s="6" t="s">
        <v>2710</v>
      </c>
      <c r="G985" s="6" t="s">
        <v>2709</v>
      </c>
      <c r="H985" s="8" t="s">
        <v>2711</v>
      </c>
      <c r="I985" s="14">
        <v>45315</v>
      </c>
    </row>
    <row r="986" spans="1:9" x14ac:dyDescent="0.15">
      <c r="A986" s="5">
        <v>985</v>
      </c>
      <c r="B986" s="6" t="s">
        <v>9</v>
      </c>
      <c r="C986" s="7">
        <v>1884</v>
      </c>
      <c r="D986" s="8">
        <v>45402</v>
      </c>
      <c r="E986" s="9" t="str">
        <f>+HYPERLINK("http://trademark.i-assist.jp/data/china/image_1884th/76572487.pdf", "76572487")</f>
        <v>76572487</v>
      </c>
      <c r="F986" s="6" t="s">
        <v>2713</v>
      </c>
      <c r="G986" s="6" t="s">
        <v>2712</v>
      </c>
      <c r="H986" s="8" t="s">
        <v>2714</v>
      </c>
      <c r="I986" s="14">
        <v>45315</v>
      </c>
    </row>
    <row r="987" spans="1:9" x14ac:dyDescent="0.15">
      <c r="A987" s="5">
        <v>986</v>
      </c>
      <c r="B987" s="6" t="s">
        <v>9</v>
      </c>
      <c r="C987" s="7">
        <v>1884</v>
      </c>
      <c r="D987" s="8">
        <v>45402</v>
      </c>
      <c r="E987" s="9" t="str">
        <f>+HYPERLINK("http://trademark.i-assist.jp/data/china/image_1884th/76572672.pdf", "76572672")</f>
        <v>76572672</v>
      </c>
      <c r="F987" s="6" t="s">
        <v>2715</v>
      </c>
      <c r="G987" s="6" t="s">
        <v>408</v>
      </c>
      <c r="H987" s="8" t="s">
        <v>2687</v>
      </c>
      <c r="I987" s="14">
        <v>45315</v>
      </c>
    </row>
    <row r="988" spans="1:9" x14ac:dyDescent="0.15">
      <c r="A988" s="5">
        <v>987</v>
      </c>
      <c r="B988" s="6" t="s">
        <v>9</v>
      </c>
      <c r="C988" s="7">
        <v>1884</v>
      </c>
      <c r="D988" s="8">
        <v>45402</v>
      </c>
      <c r="E988" s="9" t="str">
        <f>+HYPERLINK("http://trademark.i-assist.jp/data/china/image_1884th/76572758.pdf", "76572758")</f>
        <v>76572758</v>
      </c>
      <c r="F988" s="6" t="s">
        <v>2716</v>
      </c>
      <c r="G988" s="6" t="s">
        <v>1828</v>
      </c>
      <c r="H988" s="8" t="s">
        <v>2717</v>
      </c>
      <c r="I988" s="14">
        <v>45315</v>
      </c>
    </row>
    <row r="989" spans="1:9" x14ac:dyDescent="0.15">
      <c r="A989" s="5">
        <v>988</v>
      </c>
      <c r="B989" s="6" t="s">
        <v>9</v>
      </c>
      <c r="C989" s="7">
        <v>1884</v>
      </c>
      <c r="D989" s="8">
        <v>45402</v>
      </c>
      <c r="E989" s="9" t="str">
        <f>+HYPERLINK("http://trademark.i-assist.jp/data/china/image_1884th/76572837.pdf", "76572837")</f>
        <v>76572837</v>
      </c>
      <c r="F989" s="6" t="s">
        <v>2719</v>
      </c>
      <c r="G989" s="6" t="s">
        <v>2718</v>
      </c>
      <c r="H989" s="8" t="s">
        <v>2720</v>
      </c>
      <c r="I989" s="14">
        <v>45315</v>
      </c>
    </row>
    <row r="990" spans="1:9" x14ac:dyDescent="0.15">
      <c r="A990" s="5">
        <v>989</v>
      </c>
      <c r="B990" s="6" t="s">
        <v>9</v>
      </c>
      <c r="C990" s="7">
        <v>1884</v>
      </c>
      <c r="D990" s="8">
        <v>45402</v>
      </c>
      <c r="E990" s="9" t="str">
        <f>+HYPERLINK("http://trademark.i-assist.jp/data/china/image_1884th/76573088.pdf", "76573088")</f>
        <v>76573088</v>
      </c>
      <c r="F990" s="6" t="s">
        <v>2722</v>
      </c>
      <c r="G990" s="6" t="s">
        <v>2721</v>
      </c>
      <c r="H990" s="8" t="s">
        <v>2723</v>
      </c>
      <c r="I990" s="14">
        <v>45315</v>
      </c>
    </row>
    <row r="991" spans="1:9" x14ac:dyDescent="0.15">
      <c r="A991" s="5">
        <v>990</v>
      </c>
      <c r="B991" s="6" t="s">
        <v>9</v>
      </c>
      <c r="C991" s="7">
        <v>1884</v>
      </c>
      <c r="D991" s="8">
        <v>45402</v>
      </c>
      <c r="E991" s="9" t="str">
        <f>+HYPERLINK("http://trademark.i-assist.jp/data/china/image_1884th/76573188.pdf", "76573188")</f>
        <v>76573188</v>
      </c>
      <c r="F991" s="6" t="s">
        <v>2725</v>
      </c>
      <c r="G991" s="6" t="s">
        <v>2724</v>
      </c>
      <c r="H991" s="8" t="s">
        <v>2726</v>
      </c>
      <c r="I991" s="14">
        <v>45315</v>
      </c>
    </row>
    <row r="992" spans="1:9" x14ac:dyDescent="0.15">
      <c r="A992" s="5">
        <v>991</v>
      </c>
      <c r="B992" s="6" t="s">
        <v>9</v>
      </c>
      <c r="C992" s="7">
        <v>1884</v>
      </c>
      <c r="D992" s="8">
        <v>45402</v>
      </c>
      <c r="E992" s="9" t="str">
        <f>+HYPERLINK("http://trademark.i-assist.jp/data/china/image_1884th/76574313.pdf", "76574313")</f>
        <v>76574313</v>
      </c>
      <c r="F992" s="6" t="s">
        <v>2728</v>
      </c>
      <c r="G992" s="6" t="s">
        <v>2727</v>
      </c>
      <c r="H992" s="8" t="s">
        <v>2729</v>
      </c>
      <c r="I992" s="14">
        <v>45315</v>
      </c>
    </row>
    <row r="993" spans="1:9" x14ac:dyDescent="0.15">
      <c r="A993" s="5">
        <v>992</v>
      </c>
      <c r="B993" s="6" t="s">
        <v>9</v>
      </c>
      <c r="C993" s="7">
        <v>1884</v>
      </c>
      <c r="D993" s="8">
        <v>45402</v>
      </c>
      <c r="E993" s="9" t="str">
        <f>+HYPERLINK("http://trademark.i-assist.jp/data/china/image_1884th/76574486.pdf", "76574486")</f>
        <v>76574486</v>
      </c>
      <c r="F993" s="6" t="s">
        <v>2731</v>
      </c>
      <c r="G993" s="6" t="s">
        <v>2730</v>
      </c>
      <c r="H993" s="8" t="s">
        <v>2732</v>
      </c>
      <c r="I993" s="14">
        <v>45315</v>
      </c>
    </row>
    <row r="994" spans="1:9" x14ac:dyDescent="0.15">
      <c r="A994" s="5">
        <v>993</v>
      </c>
      <c r="B994" s="6" t="s">
        <v>9</v>
      </c>
      <c r="C994" s="7">
        <v>1884</v>
      </c>
      <c r="D994" s="8">
        <v>45402</v>
      </c>
      <c r="E994" s="9" t="str">
        <f>+HYPERLINK("http://trademark.i-assist.jp/data/china/image_1884th/76574663.pdf", "76574663")</f>
        <v>76574663</v>
      </c>
      <c r="F994" s="6" t="s">
        <v>2734</v>
      </c>
      <c r="G994" s="6" t="s">
        <v>2733</v>
      </c>
      <c r="H994" s="8" t="s">
        <v>2735</v>
      </c>
      <c r="I994" s="14">
        <v>45315</v>
      </c>
    </row>
    <row r="995" spans="1:9" x14ac:dyDescent="0.15">
      <c r="A995" s="5">
        <v>994</v>
      </c>
      <c r="B995" s="6" t="s">
        <v>9</v>
      </c>
      <c r="C995" s="7">
        <v>1884</v>
      </c>
      <c r="D995" s="8">
        <v>45402</v>
      </c>
      <c r="E995" s="9" t="str">
        <f>+HYPERLINK("http://trademark.i-assist.jp/data/china/image_1884th/76575217.pdf", "76575217")</f>
        <v>76575217</v>
      </c>
      <c r="F995" s="6" t="s">
        <v>2737</v>
      </c>
      <c r="G995" s="6" t="s">
        <v>2736</v>
      </c>
      <c r="H995" s="8" t="s">
        <v>2738</v>
      </c>
      <c r="I995" s="14">
        <v>45315</v>
      </c>
    </row>
    <row r="996" spans="1:9" x14ac:dyDescent="0.15">
      <c r="A996" s="5">
        <v>995</v>
      </c>
      <c r="B996" s="6" t="s">
        <v>9</v>
      </c>
      <c r="C996" s="7">
        <v>1884</v>
      </c>
      <c r="D996" s="8">
        <v>45402</v>
      </c>
      <c r="E996" s="9" t="str">
        <f>+HYPERLINK("http://trademark.i-assist.jp/data/china/image_1884th/76575273.pdf", "76575273")</f>
        <v>76575273</v>
      </c>
      <c r="F996" s="6" t="s">
        <v>2740</v>
      </c>
      <c r="G996" s="6" t="s">
        <v>2739</v>
      </c>
      <c r="H996" s="8" t="s">
        <v>2741</v>
      </c>
      <c r="I996" s="14">
        <v>45315</v>
      </c>
    </row>
    <row r="997" spans="1:9" x14ac:dyDescent="0.15">
      <c r="A997" s="5">
        <v>996</v>
      </c>
      <c r="B997" s="6" t="s">
        <v>9</v>
      </c>
      <c r="C997" s="7">
        <v>1884</v>
      </c>
      <c r="D997" s="8">
        <v>45402</v>
      </c>
      <c r="E997" s="9" t="str">
        <f>+HYPERLINK("http://trademark.i-assist.jp/data/china/image_1884th/76575400.pdf", "76575400")</f>
        <v>76575400</v>
      </c>
      <c r="F997" s="6" t="s">
        <v>2743</v>
      </c>
      <c r="G997" s="6" t="s">
        <v>2742</v>
      </c>
      <c r="H997" s="8" t="s">
        <v>2744</v>
      </c>
      <c r="I997" s="14">
        <v>45315</v>
      </c>
    </row>
    <row r="998" spans="1:9" x14ac:dyDescent="0.15">
      <c r="A998" s="5">
        <v>997</v>
      </c>
      <c r="B998" s="6" t="s">
        <v>9</v>
      </c>
      <c r="C998" s="7">
        <v>1884</v>
      </c>
      <c r="D998" s="8">
        <v>45402</v>
      </c>
      <c r="E998" s="9" t="str">
        <f>+HYPERLINK("http://trademark.i-assist.jp/data/china/image_1884th/76575875.pdf", "76575875")</f>
        <v>76575875</v>
      </c>
      <c r="F998" s="6" t="s">
        <v>2746</v>
      </c>
      <c r="G998" s="6" t="s">
        <v>2745</v>
      </c>
      <c r="H998" s="8" t="s">
        <v>2249</v>
      </c>
      <c r="I998" s="14">
        <v>45315</v>
      </c>
    </row>
    <row r="999" spans="1:9" x14ac:dyDescent="0.15">
      <c r="A999" s="5">
        <v>998</v>
      </c>
      <c r="B999" s="6" t="s">
        <v>9</v>
      </c>
      <c r="C999" s="7">
        <v>1884</v>
      </c>
      <c r="D999" s="8">
        <v>45402</v>
      </c>
      <c r="E999" s="9" t="str">
        <f>+HYPERLINK("http://trademark.i-assist.jp/data/china/image_1884th/76575985.pdf", "76575985")</f>
        <v>76575985</v>
      </c>
      <c r="F999" s="6" t="s">
        <v>2748</v>
      </c>
      <c r="G999" s="6" t="s">
        <v>2747</v>
      </c>
      <c r="H999" s="8" t="s">
        <v>2749</v>
      </c>
      <c r="I999" s="14">
        <v>45315</v>
      </c>
    </row>
    <row r="1000" spans="1:9" x14ac:dyDescent="0.15">
      <c r="A1000" s="5">
        <v>999</v>
      </c>
      <c r="B1000" s="6" t="s">
        <v>9</v>
      </c>
      <c r="C1000" s="7">
        <v>1884</v>
      </c>
      <c r="D1000" s="8">
        <v>45402</v>
      </c>
      <c r="E1000" s="9" t="str">
        <f>+HYPERLINK("http://trademark.i-assist.jp/data/china/image_1884th/76576174.pdf", "76576174")</f>
        <v>76576174</v>
      </c>
      <c r="F1000" s="6" t="s">
        <v>2751</v>
      </c>
      <c r="G1000" s="6" t="s">
        <v>2750</v>
      </c>
      <c r="H1000" s="8" t="s">
        <v>2752</v>
      </c>
      <c r="I1000" s="14">
        <v>45315</v>
      </c>
    </row>
    <row r="1001" spans="1:9" x14ac:dyDescent="0.15">
      <c r="A1001" s="5">
        <v>1000</v>
      </c>
      <c r="B1001" s="6" t="s">
        <v>9</v>
      </c>
      <c r="C1001" s="7">
        <v>1884</v>
      </c>
      <c r="D1001" s="8">
        <v>45402</v>
      </c>
      <c r="E1001" s="9" t="str">
        <f>+HYPERLINK("http://trademark.i-assist.jp/data/china/image_1884th/76576455.pdf", "76576455")</f>
        <v>76576455</v>
      </c>
      <c r="F1001" s="6" t="s">
        <v>2754</v>
      </c>
      <c r="G1001" s="6" t="s">
        <v>2753</v>
      </c>
      <c r="H1001" s="8" t="s">
        <v>2755</v>
      </c>
      <c r="I1001" s="14">
        <v>45315</v>
      </c>
    </row>
    <row r="1002" spans="1:9" x14ac:dyDescent="0.15">
      <c r="A1002" s="5">
        <v>1001</v>
      </c>
      <c r="B1002" s="6" t="s">
        <v>9</v>
      </c>
      <c r="C1002" s="7">
        <v>1884</v>
      </c>
      <c r="D1002" s="8">
        <v>45402</v>
      </c>
      <c r="E1002" s="9" t="str">
        <f>+HYPERLINK("http://trademark.i-assist.jp/data/china/image_1884th/76577074.pdf", "76577074")</f>
        <v>76577074</v>
      </c>
      <c r="F1002" s="6" t="s">
        <v>2757</v>
      </c>
      <c r="G1002" s="6" t="s">
        <v>2756</v>
      </c>
      <c r="H1002" s="8" t="s">
        <v>2758</v>
      </c>
      <c r="I1002" s="14">
        <v>45315</v>
      </c>
    </row>
    <row r="1003" spans="1:9" x14ac:dyDescent="0.15">
      <c r="A1003" s="5">
        <v>1002</v>
      </c>
      <c r="B1003" s="6" t="s">
        <v>9</v>
      </c>
      <c r="C1003" s="7">
        <v>1884</v>
      </c>
      <c r="D1003" s="8">
        <v>45402</v>
      </c>
      <c r="E1003" s="9" t="str">
        <f>+HYPERLINK("http://trademark.i-assist.jp/data/china/image_1884th/76577288.pdf", "76577288")</f>
        <v>76577288</v>
      </c>
      <c r="F1003" s="6" t="s">
        <v>2760</v>
      </c>
      <c r="G1003" s="6" t="s">
        <v>2759</v>
      </c>
      <c r="H1003" s="8" t="s">
        <v>2761</v>
      </c>
      <c r="I1003" s="14">
        <v>45315</v>
      </c>
    </row>
    <row r="1004" spans="1:9" x14ac:dyDescent="0.15">
      <c r="A1004" s="5">
        <v>1003</v>
      </c>
      <c r="B1004" s="6" t="s">
        <v>9</v>
      </c>
      <c r="C1004" s="7">
        <v>1884</v>
      </c>
      <c r="D1004" s="8">
        <v>45402</v>
      </c>
      <c r="E1004" s="9" t="str">
        <f>+HYPERLINK("http://trademark.i-assist.jp/data/china/image_1884th/76577373.pdf", "76577373")</f>
        <v>76577373</v>
      </c>
      <c r="F1004" s="6" t="s">
        <v>167</v>
      </c>
      <c r="G1004" s="6" t="s">
        <v>2762</v>
      </c>
      <c r="H1004" s="8" t="s">
        <v>2763</v>
      </c>
      <c r="I1004" s="14">
        <v>45315</v>
      </c>
    </row>
    <row r="1005" spans="1:9" x14ac:dyDescent="0.15">
      <c r="A1005" s="5">
        <v>1004</v>
      </c>
      <c r="B1005" s="6" t="s">
        <v>9</v>
      </c>
      <c r="C1005" s="7">
        <v>1884</v>
      </c>
      <c r="D1005" s="8">
        <v>45402</v>
      </c>
      <c r="E1005" s="9" t="str">
        <f>+HYPERLINK("http://trademark.i-assist.jp/data/china/image_1884th/76577514.pdf", "76577514")</f>
        <v>76577514</v>
      </c>
      <c r="F1005" s="6" t="s">
        <v>2765</v>
      </c>
      <c r="G1005" s="6" t="s">
        <v>2764</v>
      </c>
      <c r="H1005" s="8" t="s">
        <v>2766</v>
      </c>
      <c r="I1005" s="14">
        <v>45315</v>
      </c>
    </row>
    <row r="1006" spans="1:9" x14ac:dyDescent="0.15">
      <c r="A1006" s="5">
        <v>1005</v>
      </c>
      <c r="B1006" s="6" t="s">
        <v>9</v>
      </c>
      <c r="C1006" s="7">
        <v>1884</v>
      </c>
      <c r="D1006" s="8">
        <v>45402</v>
      </c>
      <c r="E1006" s="9" t="str">
        <f>+HYPERLINK("http://trademark.i-assist.jp/data/china/image_1884th/76577619.pdf", "76577619")</f>
        <v>76577619</v>
      </c>
      <c r="F1006" s="6" t="s">
        <v>2768</v>
      </c>
      <c r="G1006" s="6" t="s">
        <v>2767</v>
      </c>
      <c r="H1006" s="8" t="s">
        <v>2497</v>
      </c>
      <c r="I1006" s="14">
        <v>45315</v>
      </c>
    </row>
    <row r="1007" spans="1:9" x14ac:dyDescent="0.15">
      <c r="A1007" s="5">
        <v>1006</v>
      </c>
      <c r="B1007" s="6" t="s">
        <v>9</v>
      </c>
      <c r="C1007" s="7">
        <v>1884</v>
      </c>
      <c r="D1007" s="8">
        <v>45402</v>
      </c>
      <c r="E1007" s="9" t="str">
        <f>+HYPERLINK("http://trademark.i-assist.jp/data/china/image_1884th/76577930.pdf", "76577930")</f>
        <v>76577930</v>
      </c>
      <c r="F1007" s="6" t="s">
        <v>2770</v>
      </c>
      <c r="G1007" s="6" t="s">
        <v>2769</v>
      </c>
      <c r="H1007" s="8" t="s">
        <v>2771</v>
      </c>
      <c r="I1007" s="14">
        <v>45315</v>
      </c>
    </row>
    <row r="1008" spans="1:9" x14ac:dyDescent="0.15">
      <c r="A1008" s="5">
        <v>1007</v>
      </c>
      <c r="B1008" s="6" t="s">
        <v>9</v>
      </c>
      <c r="C1008" s="7">
        <v>1884</v>
      </c>
      <c r="D1008" s="8">
        <v>45402</v>
      </c>
      <c r="E1008" s="9" t="str">
        <f>+HYPERLINK("http://trademark.i-assist.jp/data/china/image_1884th/76578315.pdf", "76578315")</f>
        <v>76578315</v>
      </c>
      <c r="F1008" s="6" t="s">
        <v>2772</v>
      </c>
      <c r="G1008" s="6" t="s">
        <v>408</v>
      </c>
      <c r="H1008" s="8" t="s">
        <v>2773</v>
      </c>
      <c r="I1008" s="14">
        <v>45315</v>
      </c>
    </row>
    <row r="1009" spans="1:9" x14ac:dyDescent="0.15">
      <c r="A1009" s="5">
        <v>1008</v>
      </c>
      <c r="B1009" s="6" t="s">
        <v>9</v>
      </c>
      <c r="C1009" s="7">
        <v>1884</v>
      </c>
      <c r="D1009" s="8">
        <v>45402</v>
      </c>
      <c r="E1009" s="9" t="str">
        <f>+HYPERLINK("http://trademark.i-assist.jp/data/china/image_1884th/76578335.pdf", "76578335")</f>
        <v>76578335</v>
      </c>
      <c r="F1009" s="6" t="s">
        <v>2775</v>
      </c>
      <c r="G1009" s="6" t="s">
        <v>2774</v>
      </c>
      <c r="H1009" s="8" t="s">
        <v>2776</v>
      </c>
      <c r="I1009" s="14">
        <v>45315</v>
      </c>
    </row>
    <row r="1010" spans="1:9" x14ac:dyDescent="0.15">
      <c r="A1010" s="5">
        <v>1009</v>
      </c>
      <c r="B1010" s="6" t="s">
        <v>9</v>
      </c>
      <c r="C1010" s="7">
        <v>1884</v>
      </c>
      <c r="D1010" s="8">
        <v>45402</v>
      </c>
      <c r="E1010" s="9" t="str">
        <f>+HYPERLINK("http://trademark.i-assist.jp/data/china/image_1884th/76578468.pdf", "76578468")</f>
        <v>76578468</v>
      </c>
      <c r="F1010" s="6" t="s">
        <v>2778</v>
      </c>
      <c r="G1010" s="6" t="s">
        <v>2777</v>
      </c>
      <c r="H1010" s="8" t="s">
        <v>2779</v>
      </c>
      <c r="I1010" s="14">
        <v>45315</v>
      </c>
    </row>
    <row r="1011" spans="1:9" x14ac:dyDescent="0.15">
      <c r="A1011" s="5">
        <v>1010</v>
      </c>
      <c r="B1011" s="6" t="s">
        <v>9</v>
      </c>
      <c r="C1011" s="7">
        <v>1884</v>
      </c>
      <c r="D1011" s="8">
        <v>45402</v>
      </c>
      <c r="E1011" s="9" t="str">
        <f>+HYPERLINK("http://trademark.i-assist.jp/data/china/image_1884th/76578496.pdf", "76578496")</f>
        <v>76578496</v>
      </c>
      <c r="F1011" s="6" t="s">
        <v>2781</v>
      </c>
      <c r="G1011" s="6" t="s">
        <v>2780</v>
      </c>
      <c r="H1011" s="8" t="s">
        <v>2782</v>
      </c>
      <c r="I1011" s="14">
        <v>45315</v>
      </c>
    </row>
    <row r="1012" spans="1:9" x14ac:dyDescent="0.15">
      <c r="A1012" s="5">
        <v>1011</v>
      </c>
      <c r="B1012" s="6" t="s">
        <v>9</v>
      </c>
      <c r="C1012" s="7">
        <v>1884</v>
      </c>
      <c r="D1012" s="8">
        <v>45402</v>
      </c>
      <c r="E1012" s="9" t="str">
        <f>+HYPERLINK("http://trademark.i-assist.jp/data/china/image_1884th/76578735.pdf", "76578735")</f>
        <v>76578735</v>
      </c>
      <c r="F1012" s="6" t="s">
        <v>2784</v>
      </c>
      <c r="G1012" s="6" t="s">
        <v>2783</v>
      </c>
      <c r="H1012" s="8" t="s">
        <v>2785</v>
      </c>
      <c r="I1012" s="14">
        <v>45315</v>
      </c>
    </row>
    <row r="1013" spans="1:9" x14ac:dyDescent="0.15">
      <c r="A1013" s="5">
        <v>1012</v>
      </c>
      <c r="B1013" s="6" t="s">
        <v>9</v>
      </c>
      <c r="C1013" s="7">
        <v>1884</v>
      </c>
      <c r="D1013" s="8">
        <v>45402</v>
      </c>
      <c r="E1013" s="9" t="str">
        <f>+HYPERLINK("http://trademark.i-assist.jp/data/china/image_1884th/76579205.pdf", "76579205")</f>
        <v>76579205</v>
      </c>
      <c r="F1013" s="6" t="s">
        <v>2787</v>
      </c>
      <c r="G1013" s="6" t="s">
        <v>2786</v>
      </c>
      <c r="H1013" s="8" t="s">
        <v>2788</v>
      </c>
      <c r="I1013" s="14">
        <v>45315</v>
      </c>
    </row>
    <row r="1014" spans="1:9" x14ac:dyDescent="0.15">
      <c r="A1014" s="5">
        <v>1013</v>
      </c>
      <c r="B1014" s="6" t="s">
        <v>9</v>
      </c>
      <c r="C1014" s="7">
        <v>1884</v>
      </c>
      <c r="D1014" s="8">
        <v>45402</v>
      </c>
      <c r="E1014" s="9" t="str">
        <f>+HYPERLINK("http://trademark.i-assist.jp/data/china/image_1884th/76579298.pdf", "76579298")</f>
        <v>76579298</v>
      </c>
      <c r="F1014" s="6" t="s">
        <v>2790</v>
      </c>
      <c r="G1014" s="6" t="s">
        <v>2789</v>
      </c>
      <c r="H1014" s="8" t="s">
        <v>2791</v>
      </c>
      <c r="I1014" s="14">
        <v>45315</v>
      </c>
    </row>
    <row r="1015" spans="1:9" x14ac:dyDescent="0.15">
      <c r="A1015" s="5">
        <v>1014</v>
      </c>
      <c r="B1015" s="6" t="s">
        <v>9</v>
      </c>
      <c r="C1015" s="7">
        <v>1884</v>
      </c>
      <c r="D1015" s="8">
        <v>45402</v>
      </c>
      <c r="E1015" s="9" t="str">
        <f>+HYPERLINK("http://trademark.i-assist.jp/data/china/image_1884th/76579299.pdf", "76579299")</f>
        <v>76579299</v>
      </c>
      <c r="F1015" s="6" t="s">
        <v>2793</v>
      </c>
      <c r="G1015" s="6" t="s">
        <v>2792</v>
      </c>
      <c r="H1015" s="8" t="s">
        <v>2794</v>
      </c>
      <c r="I1015" s="14">
        <v>45315</v>
      </c>
    </row>
    <row r="1016" spans="1:9" x14ac:dyDescent="0.15">
      <c r="A1016" s="5">
        <v>1015</v>
      </c>
      <c r="B1016" s="6" t="s">
        <v>9</v>
      </c>
      <c r="C1016" s="7">
        <v>1884</v>
      </c>
      <c r="D1016" s="8">
        <v>45402</v>
      </c>
      <c r="E1016" s="9" t="str">
        <f>+HYPERLINK("http://trademark.i-assist.jp/data/china/image_1884th/76579653.pdf", "76579653")</f>
        <v>76579653</v>
      </c>
      <c r="F1016" s="6" t="s">
        <v>2796</v>
      </c>
      <c r="G1016" s="6" t="s">
        <v>2795</v>
      </c>
      <c r="H1016" s="8" t="s">
        <v>2797</v>
      </c>
      <c r="I1016" s="14">
        <v>45315</v>
      </c>
    </row>
    <row r="1017" spans="1:9" x14ac:dyDescent="0.15">
      <c r="A1017" s="5">
        <v>1016</v>
      </c>
      <c r="B1017" s="6" t="s">
        <v>9</v>
      </c>
      <c r="C1017" s="7">
        <v>1884</v>
      </c>
      <c r="D1017" s="8">
        <v>45402</v>
      </c>
      <c r="E1017" s="9" t="str">
        <f>+HYPERLINK("http://trademark.i-assist.jp/data/china/image_1884th/76579682.pdf", "76579682")</f>
        <v>76579682</v>
      </c>
      <c r="F1017" s="6" t="s">
        <v>2798</v>
      </c>
      <c r="G1017" s="6" t="s">
        <v>1208</v>
      </c>
      <c r="H1017" s="8" t="s">
        <v>2799</v>
      </c>
      <c r="I1017" s="14">
        <v>45315</v>
      </c>
    </row>
    <row r="1018" spans="1:9" x14ac:dyDescent="0.15">
      <c r="A1018" s="5">
        <v>1017</v>
      </c>
      <c r="B1018" s="6" t="s">
        <v>9</v>
      </c>
      <c r="C1018" s="7">
        <v>1884</v>
      </c>
      <c r="D1018" s="8">
        <v>45402</v>
      </c>
      <c r="E1018" s="9" t="str">
        <f>+HYPERLINK("http://trademark.i-assist.jp/data/china/image_1884th/76579775.pdf", "76579775")</f>
        <v>76579775</v>
      </c>
      <c r="F1018" s="6" t="s">
        <v>2801</v>
      </c>
      <c r="G1018" s="6" t="s">
        <v>2800</v>
      </c>
      <c r="H1018" s="8" t="s">
        <v>2802</v>
      </c>
      <c r="I1018" s="14">
        <v>45315</v>
      </c>
    </row>
    <row r="1019" spans="1:9" x14ac:dyDescent="0.15">
      <c r="A1019" s="5">
        <v>1018</v>
      </c>
      <c r="B1019" s="6" t="s">
        <v>9</v>
      </c>
      <c r="C1019" s="7">
        <v>1884</v>
      </c>
      <c r="D1019" s="8">
        <v>45402</v>
      </c>
      <c r="E1019" s="9" t="str">
        <f>+HYPERLINK("http://trademark.i-assist.jp/data/china/image_1884th/76579812.pdf", "76579812")</f>
        <v>76579812</v>
      </c>
      <c r="F1019" s="6" t="s">
        <v>2804</v>
      </c>
      <c r="G1019" s="6" t="s">
        <v>2803</v>
      </c>
      <c r="H1019" s="8" t="s">
        <v>2805</v>
      </c>
      <c r="I1019" s="14">
        <v>45315</v>
      </c>
    </row>
    <row r="1020" spans="1:9" x14ac:dyDescent="0.15">
      <c r="A1020" s="5">
        <v>1019</v>
      </c>
      <c r="B1020" s="6" t="s">
        <v>9</v>
      </c>
      <c r="C1020" s="7">
        <v>1884</v>
      </c>
      <c r="D1020" s="8">
        <v>45402</v>
      </c>
      <c r="E1020" s="9" t="str">
        <f>+HYPERLINK("http://trademark.i-assist.jp/data/china/image_1884th/76579842.pdf", "76579842")</f>
        <v>76579842</v>
      </c>
      <c r="F1020" s="6" t="s">
        <v>2807</v>
      </c>
      <c r="G1020" s="6" t="s">
        <v>2806</v>
      </c>
      <c r="H1020" s="8" t="s">
        <v>2808</v>
      </c>
      <c r="I1020" s="14">
        <v>45315</v>
      </c>
    </row>
    <row r="1021" spans="1:9" x14ac:dyDescent="0.15">
      <c r="A1021" s="5">
        <v>1020</v>
      </c>
      <c r="B1021" s="6" t="s">
        <v>9</v>
      </c>
      <c r="C1021" s="7">
        <v>1884</v>
      </c>
      <c r="D1021" s="8">
        <v>45402</v>
      </c>
      <c r="E1021" s="9" t="str">
        <f>+HYPERLINK("http://trademark.i-assist.jp/data/china/image_1884th/76579977.pdf", "76579977")</f>
        <v>76579977</v>
      </c>
      <c r="F1021" s="6" t="s">
        <v>2810</v>
      </c>
      <c r="G1021" s="6" t="s">
        <v>2809</v>
      </c>
      <c r="H1021" s="8" t="s">
        <v>2811</v>
      </c>
      <c r="I1021" s="14">
        <v>45315</v>
      </c>
    </row>
    <row r="1022" spans="1:9" x14ac:dyDescent="0.15">
      <c r="A1022" s="5">
        <v>1021</v>
      </c>
      <c r="B1022" s="6" t="s">
        <v>9</v>
      </c>
      <c r="C1022" s="7">
        <v>1884</v>
      </c>
      <c r="D1022" s="8">
        <v>45402</v>
      </c>
      <c r="E1022" s="9" t="str">
        <f>+HYPERLINK("http://trademark.i-assist.jp/data/china/image_1884th/76580013.pdf", "76580013")</f>
        <v>76580013</v>
      </c>
      <c r="F1022" s="6" t="s">
        <v>2812</v>
      </c>
      <c r="G1022" s="6" t="s">
        <v>408</v>
      </c>
      <c r="H1022" s="8" t="s">
        <v>2687</v>
      </c>
      <c r="I1022" s="14">
        <v>45315</v>
      </c>
    </row>
    <row r="1023" spans="1:9" x14ac:dyDescent="0.15">
      <c r="A1023" s="5">
        <v>1022</v>
      </c>
      <c r="B1023" s="6" t="s">
        <v>9</v>
      </c>
      <c r="C1023" s="7">
        <v>1884</v>
      </c>
      <c r="D1023" s="8">
        <v>45402</v>
      </c>
      <c r="E1023" s="9" t="str">
        <f>+HYPERLINK("http://trademark.i-assist.jp/data/china/image_1884th/76580308.pdf", "76580308")</f>
        <v>76580308</v>
      </c>
      <c r="F1023" s="6" t="s">
        <v>2814</v>
      </c>
      <c r="G1023" s="6" t="s">
        <v>2813</v>
      </c>
      <c r="H1023" s="8" t="s">
        <v>2815</v>
      </c>
      <c r="I1023" s="14">
        <v>45315</v>
      </c>
    </row>
    <row r="1024" spans="1:9" x14ac:dyDescent="0.15">
      <c r="A1024" s="5">
        <v>1023</v>
      </c>
      <c r="B1024" s="6" t="s">
        <v>9</v>
      </c>
      <c r="C1024" s="7">
        <v>1884</v>
      </c>
      <c r="D1024" s="8">
        <v>45402</v>
      </c>
      <c r="E1024" s="9" t="str">
        <f>+HYPERLINK("http://trademark.i-assist.jp/data/china/image_1884th/76580546.pdf", "76580546")</f>
        <v>76580546</v>
      </c>
      <c r="F1024" s="6" t="s">
        <v>2817</v>
      </c>
      <c r="G1024" s="6" t="s">
        <v>2816</v>
      </c>
      <c r="H1024" s="8" t="s">
        <v>2818</v>
      </c>
      <c r="I1024" s="14">
        <v>45315</v>
      </c>
    </row>
    <row r="1025" spans="1:9" x14ac:dyDescent="0.15">
      <c r="A1025" s="5">
        <v>1024</v>
      </c>
      <c r="B1025" s="6" t="s">
        <v>9</v>
      </c>
      <c r="C1025" s="7">
        <v>1884</v>
      </c>
      <c r="D1025" s="8">
        <v>45402</v>
      </c>
      <c r="E1025" s="9" t="str">
        <f>+HYPERLINK("http://trademark.i-assist.jp/data/china/image_1884th/76580624.pdf", "76580624")</f>
        <v>76580624</v>
      </c>
      <c r="F1025" s="6" t="s">
        <v>2819</v>
      </c>
      <c r="G1025" s="6" t="s">
        <v>24</v>
      </c>
      <c r="H1025" s="8" t="s">
        <v>2820</v>
      </c>
      <c r="I1025" s="14">
        <v>45315</v>
      </c>
    </row>
    <row r="1026" spans="1:9" x14ac:dyDescent="0.15">
      <c r="A1026" s="5">
        <v>1025</v>
      </c>
      <c r="B1026" s="6" t="s">
        <v>9</v>
      </c>
      <c r="C1026" s="7">
        <v>1884</v>
      </c>
      <c r="D1026" s="8">
        <v>45402</v>
      </c>
      <c r="E1026" s="9" t="str">
        <f>+HYPERLINK("http://trademark.i-assist.jp/data/china/image_1884th/76580627.pdf", "76580627")</f>
        <v>76580627</v>
      </c>
      <c r="F1026" s="6" t="s">
        <v>2822</v>
      </c>
      <c r="G1026" s="6" t="s">
        <v>2821</v>
      </c>
      <c r="H1026" s="8" t="s">
        <v>2823</v>
      </c>
      <c r="I1026" s="14">
        <v>45315</v>
      </c>
    </row>
    <row r="1027" spans="1:9" x14ac:dyDescent="0.15">
      <c r="A1027" s="5">
        <v>1026</v>
      </c>
      <c r="B1027" s="6" t="s">
        <v>9</v>
      </c>
      <c r="C1027" s="7">
        <v>1884</v>
      </c>
      <c r="D1027" s="8">
        <v>45402</v>
      </c>
      <c r="E1027" s="9" t="str">
        <f>+HYPERLINK("http://trademark.i-assist.jp/data/china/image_1884th/76580925.pdf", "76580925")</f>
        <v>76580925</v>
      </c>
      <c r="F1027" s="6" t="s">
        <v>2824</v>
      </c>
      <c r="G1027" s="6" t="s">
        <v>2747</v>
      </c>
      <c r="H1027" s="8" t="s">
        <v>2825</v>
      </c>
      <c r="I1027" s="14">
        <v>45315</v>
      </c>
    </row>
    <row r="1028" spans="1:9" x14ac:dyDescent="0.15">
      <c r="A1028" s="5">
        <v>1027</v>
      </c>
      <c r="B1028" s="6" t="s">
        <v>9</v>
      </c>
      <c r="C1028" s="7">
        <v>1884</v>
      </c>
      <c r="D1028" s="8">
        <v>45402</v>
      </c>
      <c r="E1028" s="9" t="str">
        <f>+HYPERLINK("http://trademark.i-assist.jp/data/china/image_1884th/76580993.pdf", "76580993")</f>
        <v>76580993</v>
      </c>
      <c r="F1028" s="6" t="s">
        <v>2827</v>
      </c>
      <c r="G1028" s="6" t="s">
        <v>2826</v>
      </c>
      <c r="H1028" s="8" t="s">
        <v>2828</v>
      </c>
      <c r="I1028" s="14">
        <v>45315</v>
      </c>
    </row>
    <row r="1029" spans="1:9" x14ac:dyDescent="0.15">
      <c r="A1029" s="5">
        <v>1028</v>
      </c>
      <c r="B1029" s="6" t="s">
        <v>9</v>
      </c>
      <c r="C1029" s="7">
        <v>1884</v>
      </c>
      <c r="D1029" s="8">
        <v>45402</v>
      </c>
      <c r="E1029" s="9" t="str">
        <f>+HYPERLINK("http://trademark.i-assist.jp/data/china/image_1884th/76581081.pdf", "76581081")</f>
        <v>76581081</v>
      </c>
      <c r="F1029" s="6" t="s">
        <v>2830</v>
      </c>
      <c r="G1029" s="6" t="s">
        <v>2829</v>
      </c>
      <c r="H1029" s="8" t="s">
        <v>2831</v>
      </c>
      <c r="I1029" s="14">
        <v>45315</v>
      </c>
    </row>
    <row r="1030" spans="1:9" x14ac:dyDescent="0.15">
      <c r="A1030" s="5">
        <v>1029</v>
      </c>
      <c r="B1030" s="6" t="s">
        <v>9</v>
      </c>
      <c r="C1030" s="7">
        <v>1884</v>
      </c>
      <c r="D1030" s="8">
        <v>45402</v>
      </c>
      <c r="E1030" s="9" t="str">
        <f>+HYPERLINK("http://trademark.i-assist.jp/data/china/image_1884th/76581209.pdf", "76581209")</f>
        <v>76581209</v>
      </c>
      <c r="F1030" s="6" t="s">
        <v>2832</v>
      </c>
      <c r="G1030" s="6" t="s">
        <v>2747</v>
      </c>
      <c r="H1030" s="8" t="s">
        <v>2833</v>
      </c>
      <c r="I1030" s="14">
        <v>45315</v>
      </c>
    </row>
    <row r="1031" spans="1:9" x14ac:dyDescent="0.15">
      <c r="A1031" s="5">
        <v>1030</v>
      </c>
      <c r="B1031" s="6" t="s">
        <v>9</v>
      </c>
      <c r="C1031" s="7">
        <v>1884</v>
      </c>
      <c r="D1031" s="8">
        <v>45402</v>
      </c>
      <c r="E1031" s="9" t="str">
        <f>+HYPERLINK("http://trademark.i-assist.jp/data/china/image_1884th/76581617.pdf", "76581617")</f>
        <v>76581617</v>
      </c>
      <c r="F1031" s="6" t="s">
        <v>2835</v>
      </c>
      <c r="G1031" s="6" t="s">
        <v>2834</v>
      </c>
      <c r="H1031" s="8" t="s">
        <v>2836</v>
      </c>
      <c r="I1031" s="14">
        <v>45315</v>
      </c>
    </row>
    <row r="1032" spans="1:9" x14ac:dyDescent="0.15">
      <c r="A1032" s="5">
        <v>1031</v>
      </c>
      <c r="B1032" s="6" t="s">
        <v>9</v>
      </c>
      <c r="C1032" s="7">
        <v>1884</v>
      </c>
      <c r="D1032" s="8">
        <v>45402</v>
      </c>
      <c r="E1032" s="9" t="str">
        <f>+HYPERLINK("http://trademark.i-assist.jp/data/china/image_1884th/76581638.pdf", "76581638")</f>
        <v>76581638</v>
      </c>
      <c r="F1032" s="6" t="s">
        <v>2838</v>
      </c>
      <c r="G1032" s="6" t="s">
        <v>2837</v>
      </c>
      <c r="H1032" s="8" t="s">
        <v>2839</v>
      </c>
      <c r="I1032" s="14">
        <v>45315</v>
      </c>
    </row>
    <row r="1033" spans="1:9" x14ac:dyDescent="0.15">
      <c r="A1033" s="5">
        <v>1032</v>
      </c>
      <c r="B1033" s="6" t="s">
        <v>9</v>
      </c>
      <c r="C1033" s="7">
        <v>1884</v>
      </c>
      <c r="D1033" s="8">
        <v>45402</v>
      </c>
      <c r="E1033" s="9" t="str">
        <f>+HYPERLINK("http://trademark.i-assist.jp/data/china/image_1884th/76581650.pdf", "76581650")</f>
        <v>76581650</v>
      </c>
      <c r="F1033" s="6" t="s">
        <v>2841</v>
      </c>
      <c r="G1033" s="6" t="s">
        <v>2840</v>
      </c>
      <c r="H1033" s="8" t="s">
        <v>2842</v>
      </c>
      <c r="I1033" s="14">
        <v>45315</v>
      </c>
    </row>
    <row r="1034" spans="1:9" x14ac:dyDescent="0.15">
      <c r="A1034" s="5">
        <v>1033</v>
      </c>
      <c r="B1034" s="6" t="s">
        <v>9</v>
      </c>
      <c r="C1034" s="7">
        <v>1884</v>
      </c>
      <c r="D1034" s="8">
        <v>45402</v>
      </c>
      <c r="E1034" s="9" t="str">
        <f>+HYPERLINK("http://trademark.i-assist.jp/data/china/image_1884th/76581782.pdf", "76581782")</f>
        <v>76581782</v>
      </c>
      <c r="F1034" s="6" t="s">
        <v>2843</v>
      </c>
      <c r="G1034" s="6" t="s">
        <v>2564</v>
      </c>
      <c r="H1034" s="8" t="s">
        <v>2566</v>
      </c>
      <c r="I1034" s="14">
        <v>45315</v>
      </c>
    </row>
    <row r="1035" spans="1:9" x14ac:dyDescent="0.15">
      <c r="A1035" s="5">
        <v>1034</v>
      </c>
      <c r="B1035" s="6" t="s">
        <v>9</v>
      </c>
      <c r="C1035" s="7">
        <v>1884</v>
      </c>
      <c r="D1035" s="8">
        <v>45402</v>
      </c>
      <c r="E1035" s="9" t="str">
        <f>+HYPERLINK("http://trademark.i-assist.jp/data/china/image_1884th/76581847.pdf", "76581847")</f>
        <v>76581847</v>
      </c>
      <c r="F1035" s="6" t="s">
        <v>2845</v>
      </c>
      <c r="G1035" s="6" t="s">
        <v>2844</v>
      </c>
      <c r="H1035" s="8" t="s">
        <v>2846</v>
      </c>
      <c r="I1035" s="14">
        <v>45315</v>
      </c>
    </row>
    <row r="1036" spans="1:9" x14ac:dyDescent="0.15">
      <c r="A1036" s="5">
        <v>1035</v>
      </c>
      <c r="B1036" s="6" t="s">
        <v>9</v>
      </c>
      <c r="C1036" s="7">
        <v>1884</v>
      </c>
      <c r="D1036" s="8">
        <v>45402</v>
      </c>
      <c r="E1036" s="9" t="str">
        <f>+HYPERLINK("http://trademark.i-assist.jp/data/china/image_1884th/76581952.pdf", "76581952")</f>
        <v>76581952</v>
      </c>
      <c r="F1036" s="6" t="s">
        <v>2848</v>
      </c>
      <c r="G1036" s="6" t="s">
        <v>2847</v>
      </c>
      <c r="H1036" s="8" t="s">
        <v>2849</v>
      </c>
      <c r="I1036" s="14">
        <v>45315</v>
      </c>
    </row>
    <row r="1037" spans="1:9" x14ac:dyDescent="0.15">
      <c r="A1037" s="5">
        <v>1036</v>
      </c>
      <c r="B1037" s="6" t="s">
        <v>9</v>
      </c>
      <c r="C1037" s="7">
        <v>1884</v>
      </c>
      <c r="D1037" s="8">
        <v>45402</v>
      </c>
      <c r="E1037" s="9" t="str">
        <f>+HYPERLINK("http://trademark.i-assist.jp/data/china/image_1884th/76582312.pdf", "76582312")</f>
        <v>76582312</v>
      </c>
      <c r="F1037" s="6" t="s">
        <v>2851</v>
      </c>
      <c r="G1037" s="6" t="s">
        <v>2850</v>
      </c>
      <c r="H1037" s="8"/>
      <c r="I1037" s="14">
        <v>45315</v>
      </c>
    </row>
    <row r="1038" spans="1:9" x14ac:dyDescent="0.15">
      <c r="A1038" s="5">
        <v>1037</v>
      </c>
      <c r="B1038" s="6" t="s">
        <v>9</v>
      </c>
      <c r="C1038" s="7">
        <v>1884</v>
      </c>
      <c r="D1038" s="8">
        <v>45402</v>
      </c>
      <c r="E1038" s="9" t="str">
        <f>+HYPERLINK("http://trademark.i-assist.jp/data/china/image_1884th/76582605.pdf", "76582605")</f>
        <v>76582605</v>
      </c>
      <c r="F1038" s="6" t="s">
        <v>2853</v>
      </c>
      <c r="G1038" s="6" t="s">
        <v>2852</v>
      </c>
      <c r="H1038" s="8" t="s">
        <v>2854</v>
      </c>
      <c r="I1038" s="14">
        <v>45315</v>
      </c>
    </row>
    <row r="1039" spans="1:9" x14ac:dyDescent="0.15">
      <c r="A1039" s="5">
        <v>1038</v>
      </c>
      <c r="B1039" s="6" t="s">
        <v>9</v>
      </c>
      <c r="C1039" s="7">
        <v>1884</v>
      </c>
      <c r="D1039" s="8">
        <v>45402</v>
      </c>
      <c r="E1039" s="9" t="str">
        <f>+HYPERLINK("http://trademark.i-assist.jp/data/china/image_1884th/76582616.pdf", "76582616")</f>
        <v>76582616</v>
      </c>
      <c r="F1039" s="6" t="s">
        <v>2856</v>
      </c>
      <c r="G1039" s="6" t="s">
        <v>2855</v>
      </c>
      <c r="H1039" s="8" t="s">
        <v>2857</v>
      </c>
      <c r="I1039" s="14">
        <v>45315</v>
      </c>
    </row>
    <row r="1040" spans="1:9" x14ac:dyDescent="0.15">
      <c r="A1040" s="5">
        <v>1039</v>
      </c>
      <c r="B1040" s="6" t="s">
        <v>9</v>
      </c>
      <c r="C1040" s="7">
        <v>1884</v>
      </c>
      <c r="D1040" s="8">
        <v>45402</v>
      </c>
      <c r="E1040" s="9" t="str">
        <f>+HYPERLINK("http://trademark.i-assist.jp/data/china/image_1884th/76582775.pdf", "76582775")</f>
        <v>76582775</v>
      </c>
      <c r="F1040" s="6" t="s">
        <v>2858</v>
      </c>
      <c r="G1040" s="6" t="s">
        <v>2774</v>
      </c>
      <c r="H1040" s="8" t="s">
        <v>2859</v>
      </c>
      <c r="I1040" s="14">
        <v>45315</v>
      </c>
    </row>
    <row r="1041" spans="1:9" x14ac:dyDescent="0.15">
      <c r="A1041" s="5">
        <v>1040</v>
      </c>
      <c r="B1041" s="6" t="s">
        <v>9</v>
      </c>
      <c r="C1041" s="7">
        <v>1884</v>
      </c>
      <c r="D1041" s="8">
        <v>45402</v>
      </c>
      <c r="E1041" s="9" t="str">
        <f>+HYPERLINK("http://trademark.i-assist.jp/data/china/image_1884th/76582823.pdf", "76582823")</f>
        <v>76582823</v>
      </c>
      <c r="F1041" s="6" t="s">
        <v>2861</v>
      </c>
      <c r="G1041" s="6" t="s">
        <v>2860</v>
      </c>
      <c r="H1041" s="8" t="s">
        <v>2862</v>
      </c>
      <c r="I1041" s="14">
        <v>45315</v>
      </c>
    </row>
    <row r="1042" spans="1:9" x14ac:dyDescent="0.15">
      <c r="A1042" s="5">
        <v>1041</v>
      </c>
      <c r="B1042" s="6" t="s">
        <v>9</v>
      </c>
      <c r="C1042" s="7">
        <v>1884</v>
      </c>
      <c r="D1042" s="8">
        <v>45402</v>
      </c>
      <c r="E1042" s="9" t="str">
        <f>+HYPERLINK("http://trademark.i-assist.jp/data/china/image_1884th/76582881.pdf", "76582881")</f>
        <v>76582881</v>
      </c>
      <c r="F1042" s="6" t="s">
        <v>2864</v>
      </c>
      <c r="G1042" s="6" t="s">
        <v>2863</v>
      </c>
      <c r="H1042" s="8" t="s">
        <v>2865</v>
      </c>
      <c r="I1042" s="14">
        <v>45315</v>
      </c>
    </row>
    <row r="1043" spans="1:9" x14ac:dyDescent="0.15">
      <c r="A1043" s="5">
        <v>1042</v>
      </c>
      <c r="B1043" s="6" t="s">
        <v>9</v>
      </c>
      <c r="C1043" s="7">
        <v>1884</v>
      </c>
      <c r="D1043" s="8">
        <v>45402</v>
      </c>
      <c r="E1043" s="9" t="str">
        <f>+HYPERLINK("http://trademark.i-assist.jp/data/china/image_1884th/76583416.pdf", "76583416")</f>
        <v>76583416</v>
      </c>
      <c r="F1043" s="6" t="s">
        <v>167</v>
      </c>
      <c r="G1043" s="6" t="s">
        <v>28</v>
      </c>
      <c r="H1043" s="8" t="s">
        <v>2866</v>
      </c>
      <c r="I1043" s="14">
        <v>45315</v>
      </c>
    </row>
    <row r="1044" spans="1:9" x14ac:dyDescent="0.15">
      <c r="A1044" s="5">
        <v>1043</v>
      </c>
      <c r="B1044" s="6" t="s">
        <v>9</v>
      </c>
      <c r="C1044" s="7">
        <v>1884</v>
      </c>
      <c r="D1044" s="8">
        <v>45402</v>
      </c>
      <c r="E1044" s="9" t="str">
        <f>+HYPERLINK("http://trademark.i-assist.jp/data/china/image_1884th/76583608.pdf", "76583608")</f>
        <v>76583608</v>
      </c>
      <c r="F1044" s="6" t="s">
        <v>2868</v>
      </c>
      <c r="G1044" s="6" t="s">
        <v>2867</v>
      </c>
      <c r="H1044" s="8" t="s">
        <v>2869</v>
      </c>
      <c r="I1044" s="14">
        <v>45315</v>
      </c>
    </row>
    <row r="1045" spans="1:9" x14ac:dyDescent="0.15">
      <c r="A1045" s="5">
        <v>1044</v>
      </c>
      <c r="B1045" s="6" t="s">
        <v>9</v>
      </c>
      <c r="C1045" s="7">
        <v>1884</v>
      </c>
      <c r="D1045" s="8">
        <v>45402</v>
      </c>
      <c r="E1045" s="9" t="str">
        <f>+HYPERLINK("http://trademark.i-assist.jp/data/china/image_1884th/76584337.pdf", "76584337")</f>
        <v>76584337</v>
      </c>
      <c r="F1045" s="6" t="s">
        <v>2870</v>
      </c>
      <c r="G1045" s="6" t="s">
        <v>1208</v>
      </c>
      <c r="H1045" s="8" t="s">
        <v>2799</v>
      </c>
      <c r="I1045" s="14">
        <v>45315</v>
      </c>
    </row>
    <row r="1046" spans="1:9" x14ac:dyDescent="0.15">
      <c r="A1046" s="5">
        <v>1045</v>
      </c>
      <c r="B1046" s="6" t="s">
        <v>9</v>
      </c>
      <c r="C1046" s="7">
        <v>1884</v>
      </c>
      <c r="D1046" s="8">
        <v>45402</v>
      </c>
      <c r="E1046" s="9" t="str">
        <f>+HYPERLINK("http://trademark.i-assist.jp/data/china/image_1884th/76584381.pdf", "76584381")</f>
        <v>76584381</v>
      </c>
      <c r="F1046" s="6" t="s">
        <v>2872</v>
      </c>
      <c r="G1046" s="6" t="s">
        <v>2871</v>
      </c>
      <c r="H1046" s="8" t="s">
        <v>2873</v>
      </c>
      <c r="I1046" s="14">
        <v>45315</v>
      </c>
    </row>
    <row r="1047" spans="1:9" x14ac:dyDescent="0.15">
      <c r="A1047" s="5">
        <v>1046</v>
      </c>
      <c r="B1047" s="6" t="s">
        <v>9</v>
      </c>
      <c r="C1047" s="7">
        <v>1884</v>
      </c>
      <c r="D1047" s="8">
        <v>45402</v>
      </c>
      <c r="E1047" s="9" t="str">
        <f>+HYPERLINK("http://trademark.i-assist.jp/data/china/image_1884th/76584439.pdf", "76584439")</f>
        <v>76584439</v>
      </c>
      <c r="F1047" s="6" t="s">
        <v>2875</v>
      </c>
      <c r="G1047" s="6" t="s">
        <v>2874</v>
      </c>
      <c r="H1047" s="8" t="s">
        <v>2876</v>
      </c>
      <c r="I1047" s="14">
        <v>45315</v>
      </c>
    </row>
    <row r="1048" spans="1:9" x14ac:dyDescent="0.15">
      <c r="A1048" s="5">
        <v>1047</v>
      </c>
      <c r="B1048" s="6" t="s">
        <v>9</v>
      </c>
      <c r="C1048" s="7">
        <v>1884</v>
      </c>
      <c r="D1048" s="8">
        <v>45402</v>
      </c>
      <c r="E1048" s="9" t="str">
        <f>+HYPERLINK("http://trademark.i-assist.jp/data/china/image_1884th/76584598.pdf", "76584598")</f>
        <v>76584598</v>
      </c>
      <c r="F1048" s="6" t="s">
        <v>2877</v>
      </c>
      <c r="G1048" s="6" t="s">
        <v>2747</v>
      </c>
      <c r="H1048" s="8" t="s">
        <v>2878</v>
      </c>
      <c r="I1048" s="14">
        <v>45315</v>
      </c>
    </row>
    <row r="1049" spans="1:9" x14ac:dyDescent="0.15">
      <c r="A1049" s="5">
        <v>1048</v>
      </c>
      <c r="B1049" s="6" t="s">
        <v>9</v>
      </c>
      <c r="C1049" s="7">
        <v>1884</v>
      </c>
      <c r="D1049" s="8">
        <v>45402</v>
      </c>
      <c r="E1049" s="9" t="str">
        <f>+HYPERLINK("http://trademark.i-assist.jp/data/china/image_1884th/76584813.pdf", "76584813")</f>
        <v>76584813</v>
      </c>
      <c r="F1049" s="6" t="s">
        <v>2880</v>
      </c>
      <c r="G1049" s="6" t="s">
        <v>2879</v>
      </c>
      <c r="H1049" s="8" t="s">
        <v>2881</v>
      </c>
      <c r="I1049" s="14">
        <v>45315</v>
      </c>
    </row>
    <row r="1050" spans="1:9" x14ac:dyDescent="0.15">
      <c r="A1050" s="5">
        <v>1049</v>
      </c>
      <c r="B1050" s="6" t="s">
        <v>9</v>
      </c>
      <c r="C1050" s="7">
        <v>1884</v>
      </c>
      <c r="D1050" s="8">
        <v>45402</v>
      </c>
      <c r="E1050" s="9" t="str">
        <f>+HYPERLINK("http://trademark.i-assist.jp/data/china/image_1884th/76584858.pdf", "76584858")</f>
        <v>76584858</v>
      </c>
      <c r="F1050" s="6" t="s">
        <v>2883</v>
      </c>
      <c r="G1050" s="6" t="s">
        <v>2882</v>
      </c>
      <c r="H1050" s="8" t="s">
        <v>2884</v>
      </c>
      <c r="I1050" s="14">
        <v>45315</v>
      </c>
    </row>
    <row r="1051" spans="1:9" x14ac:dyDescent="0.15">
      <c r="A1051" s="5">
        <v>1050</v>
      </c>
      <c r="B1051" s="6" t="s">
        <v>9</v>
      </c>
      <c r="C1051" s="7">
        <v>1884</v>
      </c>
      <c r="D1051" s="8">
        <v>45402</v>
      </c>
      <c r="E1051" s="9" t="str">
        <f>+HYPERLINK("http://trademark.i-assist.jp/data/china/image_1884th/76585307.pdf", "76585307")</f>
        <v>76585307</v>
      </c>
      <c r="F1051" s="6" t="s">
        <v>2886</v>
      </c>
      <c r="G1051" s="6" t="s">
        <v>2885</v>
      </c>
      <c r="H1051" s="8" t="s">
        <v>2887</v>
      </c>
      <c r="I1051" s="14">
        <v>45315</v>
      </c>
    </row>
    <row r="1052" spans="1:9" x14ac:dyDescent="0.15">
      <c r="A1052" s="5">
        <v>1051</v>
      </c>
      <c r="B1052" s="6" t="s">
        <v>9</v>
      </c>
      <c r="C1052" s="7">
        <v>1884</v>
      </c>
      <c r="D1052" s="8">
        <v>45402</v>
      </c>
      <c r="E1052" s="9" t="str">
        <f>+HYPERLINK("http://trademark.i-assist.jp/data/china/image_1884th/76585356.pdf", "76585356")</f>
        <v>76585356</v>
      </c>
      <c r="F1052" s="6" t="s">
        <v>2889</v>
      </c>
      <c r="G1052" s="6" t="s">
        <v>2888</v>
      </c>
      <c r="H1052" s="8" t="s">
        <v>2890</v>
      </c>
      <c r="I1052" s="14">
        <v>45315</v>
      </c>
    </row>
    <row r="1053" spans="1:9" x14ac:dyDescent="0.15">
      <c r="A1053" s="5">
        <v>1052</v>
      </c>
      <c r="B1053" s="6" t="s">
        <v>9</v>
      </c>
      <c r="C1053" s="7">
        <v>1884</v>
      </c>
      <c r="D1053" s="8">
        <v>45402</v>
      </c>
      <c r="E1053" s="9" t="str">
        <f>+HYPERLINK("http://trademark.i-assist.jp/data/china/image_1884th/76585867.pdf", "76585867")</f>
        <v>76585867</v>
      </c>
      <c r="F1053" s="6" t="s">
        <v>2892</v>
      </c>
      <c r="G1053" s="6" t="s">
        <v>2891</v>
      </c>
      <c r="H1053" s="8" t="s">
        <v>2893</v>
      </c>
      <c r="I1053" s="14">
        <v>45315</v>
      </c>
    </row>
    <row r="1054" spans="1:9" x14ac:dyDescent="0.15">
      <c r="A1054" s="5">
        <v>1053</v>
      </c>
      <c r="B1054" s="6" t="s">
        <v>9</v>
      </c>
      <c r="C1054" s="7">
        <v>1884</v>
      </c>
      <c r="D1054" s="8">
        <v>45402</v>
      </c>
      <c r="E1054" s="9" t="str">
        <f>+HYPERLINK("http://trademark.i-assist.jp/data/china/image_1884th/76585932.pdf", "76585932")</f>
        <v>76585932</v>
      </c>
      <c r="F1054" s="6" t="s">
        <v>2895</v>
      </c>
      <c r="G1054" s="6" t="s">
        <v>2894</v>
      </c>
      <c r="H1054" s="8" t="s">
        <v>2896</v>
      </c>
      <c r="I1054" s="14">
        <v>45315</v>
      </c>
    </row>
    <row r="1055" spans="1:9" x14ac:dyDescent="0.15">
      <c r="A1055" s="5">
        <v>1054</v>
      </c>
      <c r="B1055" s="6" t="s">
        <v>9</v>
      </c>
      <c r="C1055" s="7">
        <v>1884</v>
      </c>
      <c r="D1055" s="8">
        <v>45402</v>
      </c>
      <c r="E1055" s="9" t="str">
        <f>+HYPERLINK("http://trademark.i-assist.jp/data/china/image_1884th/76585985.pdf", "76585985")</f>
        <v>76585985</v>
      </c>
      <c r="F1055" s="6" t="s">
        <v>2898</v>
      </c>
      <c r="G1055" s="6" t="s">
        <v>2897</v>
      </c>
      <c r="H1055" s="8" t="s">
        <v>2899</v>
      </c>
      <c r="I1055" s="14">
        <v>45315</v>
      </c>
    </row>
    <row r="1056" spans="1:9" x14ac:dyDescent="0.15">
      <c r="A1056" s="5">
        <v>1055</v>
      </c>
      <c r="B1056" s="6" t="s">
        <v>9</v>
      </c>
      <c r="C1056" s="7">
        <v>1884</v>
      </c>
      <c r="D1056" s="8">
        <v>45402</v>
      </c>
      <c r="E1056" s="9" t="str">
        <f>+HYPERLINK("http://trademark.i-assist.jp/data/china/image_1884th/76586107.pdf", "76586107")</f>
        <v>76586107</v>
      </c>
      <c r="F1056" s="6" t="s">
        <v>2901</v>
      </c>
      <c r="G1056" s="6" t="s">
        <v>2900</v>
      </c>
      <c r="H1056" s="8" t="s">
        <v>2902</v>
      </c>
      <c r="I1056" s="14">
        <v>45315</v>
      </c>
    </row>
    <row r="1057" spans="1:9" x14ac:dyDescent="0.15">
      <c r="A1057" s="5">
        <v>1056</v>
      </c>
      <c r="B1057" s="6" t="s">
        <v>9</v>
      </c>
      <c r="C1057" s="7">
        <v>1884</v>
      </c>
      <c r="D1057" s="8">
        <v>45402</v>
      </c>
      <c r="E1057" s="9" t="str">
        <f>+HYPERLINK("http://trademark.i-assist.jp/data/china/image_1884th/76586293.pdf", "76586293")</f>
        <v>76586293</v>
      </c>
      <c r="F1057" s="6" t="s">
        <v>2904</v>
      </c>
      <c r="G1057" s="6" t="s">
        <v>2903</v>
      </c>
      <c r="H1057" s="8" t="s">
        <v>2905</v>
      </c>
      <c r="I1057" s="14">
        <v>45315</v>
      </c>
    </row>
    <row r="1058" spans="1:9" x14ac:dyDescent="0.15">
      <c r="A1058" s="5">
        <v>1057</v>
      </c>
      <c r="B1058" s="6" t="s">
        <v>9</v>
      </c>
      <c r="C1058" s="7">
        <v>1884</v>
      </c>
      <c r="D1058" s="8">
        <v>45402</v>
      </c>
      <c r="E1058" s="9" t="str">
        <f>+HYPERLINK("http://trademark.i-assist.jp/data/china/image_1884th/76586673.pdf", "76586673")</f>
        <v>76586673</v>
      </c>
      <c r="F1058" s="6" t="s">
        <v>2907</v>
      </c>
      <c r="G1058" s="6" t="s">
        <v>2906</v>
      </c>
      <c r="H1058" s="8" t="s">
        <v>2908</v>
      </c>
      <c r="I1058" s="14">
        <v>45315</v>
      </c>
    </row>
    <row r="1059" spans="1:9" x14ac:dyDescent="0.15">
      <c r="A1059" s="5">
        <v>1058</v>
      </c>
      <c r="B1059" s="6" t="s">
        <v>9</v>
      </c>
      <c r="C1059" s="7">
        <v>1884</v>
      </c>
      <c r="D1059" s="8">
        <v>45402</v>
      </c>
      <c r="E1059" s="9" t="str">
        <f>+HYPERLINK("http://trademark.i-assist.jp/data/china/image_1884th/76586726.pdf", "76586726")</f>
        <v>76586726</v>
      </c>
      <c r="F1059" s="6" t="s">
        <v>2910</v>
      </c>
      <c r="G1059" s="6" t="s">
        <v>2909</v>
      </c>
      <c r="H1059" s="8" t="s">
        <v>2911</v>
      </c>
      <c r="I1059" s="14">
        <v>45315</v>
      </c>
    </row>
    <row r="1060" spans="1:9" x14ac:dyDescent="0.15">
      <c r="A1060" s="5">
        <v>1059</v>
      </c>
      <c r="B1060" s="6" t="s">
        <v>9</v>
      </c>
      <c r="C1060" s="7">
        <v>1884</v>
      </c>
      <c r="D1060" s="8">
        <v>45402</v>
      </c>
      <c r="E1060" s="9" t="str">
        <f>+HYPERLINK("http://trademark.i-assist.jp/data/china/image_1884th/76586762.pdf", "76586762")</f>
        <v>76586762</v>
      </c>
      <c r="F1060" s="6" t="s">
        <v>2912</v>
      </c>
      <c r="G1060" s="6" t="s">
        <v>2739</v>
      </c>
      <c r="H1060" s="8" t="s">
        <v>2913</v>
      </c>
      <c r="I1060" s="14">
        <v>45315</v>
      </c>
    </row>
    <row r="1061" spans="1:9" x14ac:dyDescent="0.15">
      <c r="A1061" s="5">
        <v>1060</v>
      </c>
      <c r="B1061" s="6" t="s">
        <v>9</v>
      </c>
      <c r="C1061" s="7">
        <v>1884</v>
      </c>
      <c r="D1061" s="8">
        <v>45402</v>
      </c>
      <c r="E1061" s="9" t="str">
        <f>+HYPERLINK("http://trademark.i-assist.jp/data/china/image_1884th/76586938.pdf", "76586938")</f>
        <v>76586938</v>
      </c>
      <c r="F1061" s="6" t="s">
        <v>2915</v>
      </c>
      <c r="G1061" s="6" t="s">
        <v>2914</v>
      </c>
      <c r="H1061" s="8" t="s">
        <v>2916</v>
      </c>
      <c r="I1061" s="14">
        <v>45315</v>
      </c>
    </row>
    <row r="1062" spans="1:9" x14ac:dyDescent="0.15">
      <c r="A1062" s="5">
        <v>1061</v>
      </c>
      <c r="B1062" s="6" t="s">
        <v>9</v>
      </c>
      <c r="C1062" s="7">
        <v>1884</v>
      </c>
      <c r="D1062" s="8">
        <v>45402</v>
      </c>
      <c r="E1062" s="9" t="str">
        <f>+HYPERLINK("http://trademark.i-assist.jp/data/china/image_1884th/76586949.pdf", "76586949")</f>
        <v>76586949</v>
      </c>
      <c r="F1062" s="6" t="s">
        <v>2918</v>
      </c>
      <c r="G1062" s="6" t="s">
        <v>2917</v>
      </c>
      <c r="H1062" s="8" t="s">
        <v>2919</v>
      </c>
      <c r="I1062" s="14">
        <v>45315</v>
      </c>
    </row>
    <row r="1063" spans="1:9" x14ac:dyDescent="0.15">
      <c r="A1063" s="5">
        <v>1062</v>
      </c>
      <c r="B1063" s="6" t="s">
        <v>9</v>
      </c>
      <c r="C1063" s="7">
        <v>1884</v>
      </c>
      <c r="D1063" s="8">
        <v>45402</v>
      </c>
      <c r="E1063" s="9" t="str">
        <f>+HYPERLINK("http://trademark.i-assist.jp/data/china/image_1884th/76587324.pdf", "76587324")</f>
        <v>76587324</v>
      </c>
      <c r="F1063" s="6" t="s">
        <v>2921</v>
      </c>
      <c r="G1063" s="6" t="s">
        <v>2920</v>
      </c>
      <c r="H1063" s="8" t="s">
        <v>2922</v>
      </c>
      <c r="I1063" s="14">
        <v>45315</v>
      </c>
    </row>
    <row r="1064" spans="1:9" x14ac:dyDescent="0.15">
      <c r="A1064" s="5">
        <v>1063</v>
      </c>
      <c r="B1064" s="6" t="s">
        <v>9</v>
      </c>
      <c r="C1064" s="7">
        <v>1884</v>
      </c>
      <c r="D1064" s="8">
        <v>45402</v>
      </c>
      <c r="E1064" s="9" t="str">
        <f>+HYPERLINK("http://trademark.i-assist.jp/data/china/image_1884th/76587646.pdf", "76587646")</f>
        <v>76587646</v>
      </c>
      <c r="F1064" s="6" t="s">
        <v>2924</v>
      </c>
      <c r="G1064" s="6" t="s">
        <v>2923</v>
      </c>
      <c r="H1064" s="8" t="s">
        <v>2925</v>
      </c>
      <c r="I1064" s="14">
        <v>45315</v>
      </c>
    </row>
    <row r="1065" spans="1:9" x14ac:dyDescent="0.15">
      <c r="A1065" s="5">
        <v>1064</v>
      </c>
      <c r="B1065" s="6" t="s">
        <v>9</v>
      </c>
      <c r="C1065" s="7">
        <v>1884</v>
      </c>
      <c r="D1065" s="8">
        <v>45402</v>
      </c>
      <c r="E1065" s="9" t="str">
        <f>+HYPERLINK("http://trademark.i-assist.jp/data/china/image_1884th/76588309.pdf", "76588309")</f>
        <v>76588309</v>
      </c>
      <c r="F1065" s="6" t="s">
        <v>2927</v>
      </c>
      <c r="G1065" s="6" t="s">
        <v>2926</v>
      </c>
      <c r="H1065" s="8" t="s">
        <v>2928</v>
      </c>
      <c r="I1065" s="14">
        <v>45315</v>
      </c>
    </row>
    <row r="1066" spans="1:9" x14ac:dyDescent="0.15">
      <c r="A1066" s="5">
        <v>1065</v>
      </c>
      <c r="B1066" s="6" t="s">
        <v>9</v>
      </c>
      <c r="C1066" s="7">
        <v>1884</v>
      </c>
      <c r="D1066" s="8">
        <v>45402</v>
      </c>
      <c r="E1066" s="9" t="str">
        <f>+HYPERLINK("http://trademark.i-assist.jp/data/china/image_1884th/76588546.pdf", "76588546")</f>
        <v>76588546</v>
      </c>
      <c r="F1066" s="6" t="s">
        <v>2930</v>
      </c>
      <c r="G1066" s="6" t="s">
        <v>2929</v>
      </c>
      <c r="H1066" s="8" t="s">
        <v>2931</v>
      </c>
      <c r="I1066" s="14">
        <v>45315</v>
      </c>
    </row>
    <row r="1067" spans="1:9" x14ac:dyDescent="0.15">
      <c r="A1067" s="5">
        <v>1066</v>
      </c>
      <c r="B1067" s="6" t="s">
        <v>9</v>
      </c>
      <c r="C1067" s="7">
        <v>1884</v>
      </c>
      <c r="D1067" s="8">
        <v>45402</v>
      </c>
      <c r="E1067" s="9" t="str">
        <f>+HYPERLINK("http://trademark.i-assist.jp/data/china/image_1884th/76588718.pdf", "76588718")</f>
        <v>76588718</v>
      </c>
      <c r="F1067" s="6" t="s">
        <v>2933</v>
      </c>
      <c r="G1067" s="6" t="s">
        <v>2932</v>
      </c>
      <c r="H1067" s="8" t="s">
        <v>2934</v>
      </c>
      <c r="I1067" s="14">
        <v>45315</v>
      </c>
    </row>
    <row r="1068" spans="1:9" x14ac:dyDescent="0.15">
      <c r="A1068" s="5">
        <v>1067</v>
      </c>
      <c r="B1068" s="6" t="s">
        <v>9</v>
      </c>
      <c r="C1068" s="7">
        <v>1884</v>
      </c>
      <c r="D1068" s="8">
        <v>45402</v>
      </c>
      <c r="E1068" s="9" t="str">
        <f>+HYPERLINK("http://trademark.i-assist.jp/data/china/image_1884th/76589278.pdf", "76589278")</f>
        <v>76589278</v>
      </c>
      <c r="F1068" s="6" t="s">
        <v>2936</v>
      </c>
      <c r="G1068" s="6" t="s">
        <v>2935</v>
      </c>
      <c r="H1068" s="8" t="s">
        <v>2937</v>
      </c>
      <c r="I1068" s="14">
        <v>45315</v>
      </c>
    </row>
    <row r="1069" spans="1:9" x14ac:dyDescent="0.15">
      <c r="A1069" s="5">
        <v>1068</v>
      </c>
      <c r="B1069" s="6" t="s">
        <v>9</v>
      </c>
      <c r="C1069" s="7">
        <v>1884</v>
      </c>
      <c r="D1069" s="8">
        <v>45402</v>
      </c>
      <c r="E1069" s="9" t="str">
        <f>+HYPERLINK("http://trademark.i-assist.jp/data/china/image_1884th/76589481.pdf", "76589481")</f>
        <v>76589481</v>
      </c>
      <c r="F1069" s="6" t="s">
        <v>2939</v>
      </c>
      <c r="G1069" s="6" t="s">
        <v>2938</v>
      </c>
      <c r="H1069" s="8" t="s">
        <v>2887</v>
      </c>
      <c r="I1069" s="14">
        <v>45315</v>
      </c>
    </row>
    <row r="1070" spans="1:9" x14ac:dyDescent="0.15">
      <c r="A1070" s="5">
        <v>1069</v>
      </c>
      <c r="B1070" s="6" t="s">
        <v>9</v>
      </c>
      <c r="C1070" s="7">
        <v>1884</v>
      </c>
      <c r="D1070" s="8">
        <v>45402</v>
      </c>
      <c r="E1070" s="9" t="str">
        <f>+HYPERLINK("http://trademark.i-assist.jp/data/china/image_1884th/76589661.pdf", "76589661")</f>
        <v>76589661</v>
      </c>
      <c r="F1070" s="6" t="s">
        <v>2941</v>
      </c>
      <c r="G1070" s="6" t="s">
        <v>2940</v>
      </c>
      <c r="H1070" s="8" t="s">
        <v>2942</v>
      </c>
      <c r="I1070" s="14">
        <v>45315</v>
      </c>
    </row>
    <row r="1071" spans="1:9" x14ac:dyDescent="0.15">
      <c r="A1071" s="5">
        <v>1070</v>
      </c>
      <c r="B1071" s="6" t="s">
        <v>9</v>
      </c>
      <c r="C1071" s="7">
        <v>1884</v>
      </c>
      <c r="D1071" s="8">
        <v>45402</v>
      </c>
      <c r="E1071" s="9" t="str">
        <f>+HYPERLINK("http://trademark.i-assist.jp/data/china/image_1884th/76589796.pdf", "76589796")</f>
        <v>76589796</v>
      </c>
      <c r="F1071" s="6" t="s">
        <v>167</v>
      </c>
      <c r="G1071" s="6" t="s">
        <v>2943</v>
      </c>
      <c r="H1071" s="8" t="s">
        <v>2944</v>
      </c>
      <c r="I1071" s="14">
        <v>45315</v>
      </c>
    </row>
    <row r="1072" spans="1:9" x14ac:dyDescent="0.15">
      <c r="A1072" s="5">
        <v>1071</v>
      </c>
      <c r="B1072" s="6" t="s">
        <v>9</v>
      </c>
      <c r="C1072" s="7">
        <v>1884</v>
      </c>
      <c r="D1072" s="8">
        <v>45402</v>
      </c>
      <c r="E1072" s="9" t="str">
        <f>+HYPERLINK("http://trademark.i-assist.jp/data/china/image_1884th/76589895.pdf", "76589895")</f>
        <v>76589895</v>
      </c>
      <c r="F1072" s="6" t="s">
        <v>2945</v>
      </c>
      <c r="G1072" s="6" t="s">
        <v>1208</v>
      </c>
      <c r="H1072" s="8" t="s">
        <v>2946</v>
      </c>
      <c r="I1072" s="14">
        <v>45315</v>
      </c>
    </row>
    <row r="1073" spans="1:9" x14ac:dyDescent="0.15">
      <c r="A1073" s="5">
        <v>1072</v>
      </c>
      <c r="B1073" s="6" t="s">
        <v>9</v>
      </c>
      <c r="C1073" s="7">
        <v>1884</v>
      </c>
      <c r="D1073" s="8">
        <v>45402</v>
      </c>
      <c r="E1073" s="9" t="str">
        <f>+HYPERLINK("http://trademark.i-assist.jp/data/china/image_1884th/76590617.pdf", "76590617")</f>
        <v>76590617</v>
      </c>
      <c r="F1073" s="6" t="s">
        <v>2948</v>
      </c>
      <c r="G1073" s="6" t="s">
        <v>2947</v>
      </c>
      <c r="H1073" s="8" t="s">
        <v>2949</v>
      </c>
      <c r="I1073" s="14">
        <v>45315</v>
      </c>
    </row>
    <row r="1074" spans="1:9" x14ac:dyDescent="0.15">
      <c r="A1074" s="5">
        <v>1073</v>
      </c>
      <c r="B1074" s="6" t="s">
        <v>9</v>
      </c>
      <c r="C1074" s="7">
        <v>1884</v>
      </c>
      <c r="D1074" s="8">
        <v>45402</v>
      </c>
      <c r="E1074" s="9" t="str">
        <f>+HYPERLINK("http://trademark.i-assist.jp/data/china/image_1884th/76590863.pdf", "76590863")</f>
        <v>76590863</v>
      </c>
      <c r="F1074" s="6" t="s">
        <v>2951</v>
      </c>
      <c r="G1074" s="6" t="s">
        <v>2950</v>
      </c>
      <c r="H1074" s="8" t="s">
        <v>2952</v>
      </c>
      <c r="I1074" s="14">
        <v>45315</v>
      </c>
    </row>
    <row r="1075" spans="1:9" x14ac:dyDescent="0.15">
      <c r="A1075" s="5">
        <v>1074</v>
      </c>
      <c r="B1075" s="6" t="s">
        <v>9</v>
      </c>
      <c r="C1075" s="7">
        <v>1884</v>
      </c>
      <c r="D1075" s="8">
        <v>45402</v>
      </c>
      <c r="E1075" s="9" t="str">
        <f>+HYPERLINK("http://trademark.i-assist.jp/data/china/image_1884th/76590871.pdf", "76590871")</f>
        <v>76590871</v>
      </c>
      <c r="F1075" s="6" t="s">
        <v>2954</v>
      </c>
      <c r="G1075" s="6" t="s">
        <v>2953</v>
      </c>
      <c r="H1075" s="8" t="s">
        <v>2955</v>
      </c>
      <c r="I1075" s="14">
        <v>45315</v>
      </c>
    </row>
    <row r="1076" spans="1:9" x14ac:dyDescent="0.15">
      <c r="A1076" s="5">
        <v>1075</v>
      </c>
      <c r="B1076" s="6" t="s">
        <v>9</v>
      </c>
      <c r="C1076" s="7">
        <v>1884</v>
      </c>
      <c r="D1076" s="8">
        <v>45402</v>
      </c>
      <c r="E1076" s="9" t="str">
        <f>+HYPERLINK("http://trademark.i-assist.jp/data/china/image_1884th/76590976.pdf", "76590976")</f>
        <v>76590976</v>
      </c>
      <c r="F1076" s="6" t="s">
        <v>2956</v>
      </c>
      <c r="G1076" s="6" t="s">
        <v>2747</v>
      </c>
      <c r="H1076" s="8" t="s">
        <v>2957</v>
      </c>
      <c r="I1076" s="14">
        <v>45315</v>
      </c>
    </row>
    <row r="1077" spans="1:9" x14ac:dyDescent="0.15">
      <c r="A1077" s="5">
        <v>1076</v>
      </c>
      <c r="B1077" s="6" t="s">
        <v>9</v>
      </c>
      <c r="C1077" s="7">
        <v>1884</v>
      </c>
      <c r="D1077" s="8">
        <v>45402</v>
      </c>
      <c r="E1077" s="9" t="str">
        <f>+HYPERLINK("http://trademark.i-assist.jp/data/china/image_1884th/76591210.pdf", "76591210")</f>
        <v>76591210</v>
      </c>
      <c r="F1077" s="6" t="s">
        <v>2959</v>
      </c>
      <c r="G1077" s="6" t="s">
        <v>2958</v>
      </c>
      <c r="H1077" s="8" t="s">
        <v>2960</v>
      </c>
      <c r="I1077" s="14">
        <v>45315</v>
      </c>
    </row>
    <row r="1078" spans="1:9" x14ac:dyDescent="0.15">
      <c r="A1078" s="5">
        <v>1077</v>
      </c>
      <c r="B1078" s="6" t="s">
        <v>9</v>
      </c>
      <c r="C1078" s="7">
        <v>1884</v>
      </c>
      <c r="D1078" s="8">
        <v>45402</v>
      </c>
      <c r="E1078" s="9" t="str">
        <f>+HYPERLINK("http://trademark.i-assist.jp/data/china/image_1884th/76591459.pdf", "76591459")</f>
        <v>76591459</v>
      </c>
      <c r="F1078" s="6" t="s">
        <v>2962</v>
      </c>
      <c r="G1078" s="6" t="s">
        <v>2961</v>
      </c>
      <c r="H1078" s="8" t="s">
        <v>2963</v>
      </c>
      <c r="I1078" s="14">
        <v>45315</v>
      </c>
    </row>
    <row r="1079" spans="1:9" x14ac:dyDescent="0.15">
      <c r="A1079" s="5">
        <v>1078</v>
      </c>
      <c r="B1079" s="6" t="s">
        <v>9</v>
      </c>
      <c r="C1079" s="7">
        <v>1884</v>
      </c>
      <c r="D1079" s="8">
        <v>45402</v>
      </c>
      <c r="E1079" s="9" t="str">
        <f>+HYPERLINK("http://trademark.i-assist.jp/data/china/image_1884th/76591532.pdf", "76591532")</f>
        <v>76591532</v>
      </c>
      <c r="F1079" s="6" t="s">
        <v>2964</v>
      </c>
      <c r="G1079" s="6" t="s">
        <v>2894</v>
      </c>
      <c r="H1079" s="8" t="s">
        <v>2965</v>
      </c>
      <c r="I1079" s="14">
        <v>45315</v>
      </c>
    </row>
    <row r="1080" spans="1:9" x14ac:dyDescent="0.15">
      <c r="A1080" s="5">
        <v>1079</v>
      </c>
      <c r="B1080" s="6" t="s">
        <v>9</v>
      </c>
      <c r="C1080" s="7">
        <v>1884</v>
      </c>
      <c r="D1080" s="8">
        <v>45402</v>
      </c>
      <c r="E1080" s="9" t="str">
        <f>+HYPERLINK("http://trademark.i-assist.jp/data/china/image_1884th/76591559.pdf", "76591559")</f>
        <v>76591559</v>
      </c>
      <c r="F1080" s="6" t="s">
        <v>2966</v>
      </c>
      <c r="G1080" s="6" t="s">
        <v>2894</v>
      </c>
      <c r="H1080" s="8" t="s">
        <v>2967</v>
      </c>
      <c r="I1080" s="14">
        <v>45315</v>
      </c>
    </row>
    <row r="1081" spans="1:9" x14ac:dyDescent="0.15">
      <c r="A1081" s="5">
        <v>1080</v>
      </c>
      <c r="B1081" s="6" t="s">
        <v>9</v>
      </c>
      <c r="C1081" s="7">
        <v>1884</v>
      </c>
      <c r="D1081" s="8">
        <v>45402</v>
      </c>
      <c r="E1081" s="9" t="str">
        <f>+HYPERLINK("http://trademark.i-assist.jp/data/china/image_1884th/76591869.pdf", "76591869")</f>
        <v>76591869</v>
      </c>
      <c r="F1081" s="6" t="s">
        <v>2969</v>
      </c>
      <c r="G1081" s="6" t="s">
        <v>2968</v>
      </c>
      <c r="H1081" s="8" t="s">
        <v>2970</v>
      </c>
      <c r="I1081" s="14">
        <v>45315</v>
      </c>
    </row>
    <row r="1082" spans="1:9" x14ac:dyDescent="0.15">
      <c r="A1082" s="5">
        <v>1081</v>
      </c>
      <c r="B1082" s="6" t="s">
        <v>9</v>
      </c>
      <c r="C1082" s="7">
        <v>1884</v>
      </c>
      <c r="D1082" s="8">
        <v>45402</v>
      </c>
      <c r="E1082" s="9" t="str">
        <f>+HYPERLINK("http://trademark.i-assist.jp/data/china/image_1884th/76592003.pdf", "76592003")</f>
        <v>76592003</v>
      </c>
      <c r="F1082" s="6" t="s">
        <v>2972</v>
      </c>
      <c r="G1082" s="6" t="s">
        <v>2971</v>
      </c>
      <c r="H1082" s="8" t="s">
        <v>2973</v>
      </c>
      <c r="I1082" s="14">
        <v>45315</v>
      </c>
    </row>
    <row r="1083" spans="1:9" x14ac:dyDescent="0.15">
      <c r="A1083" s="5">
        <v>1082</v>
      </c>
      <c r="B1083" s="6" t="s">
        <v>9</v>
      </c>
      <c r="C1083" s="7">
        <v>1884</v>
      </c>
      <c r="D1083" s="8">
        <v>45402</v>
      </c>
      <c r="E1083" s="9" t="str">
        <f>+HYPERLINK("http://trademark.i-assist.jp/data/china/image_1884th/76592432.pdf", "76592432")</f>
        <v>76592432</v>
      </c>
      <c r="F1083" s="6" t="s">
        <v>2974</v>
      </c>
      <c r="G1083" s="6" t="s">
        <v>2747</v>
      </c>
      <c r="H1083" s="8" t="s">
        <v>2975</v>
      </c>
      <c r="I1083" s="14">
        <v>45315</v>
      </c>
    </row>
    <row r="1084" spans="1:9" x14ac:dyDescent="0.15">
      <c r="A1084" s="5">
        <v>1083</v>
      </c>
      <c r="B1084" s="6" t="s">
        <v>9</v>
      </c>
      <c r="C1084" s="7">
        <v>1884</v>
      </c>
      <c r="D1084" s="8">
        <v>45402</v>
      </c>
      <c r="E1084" s="9" t="str">
        <f>+HYPERLINK("http://trademark.i-assist.jp/data/china/image_1884th/76592456.pdf", "76592456")</f>
        <v>76592456</v>
      </c>
      <c r="F1084" s="6" t="s">
        <v>2977</v>
      </c>
      <c r="G1084" s="6" t="s">
        <v>2976</v>
      </c>
      <c r="H1084" s="8" t="s">
        <v>2978</v>
      </c>
      <c r="I1084" s="14">
        <v>45315</v>
      </c>
    </row>
    <row r="1085" spans="1:9" x14ac:dyDescent="0.15">
      <c r="A1085" s="5">
        <v>1084</v>
      </c>
      <c r="B1085" s="6" t="s">
        <v>9</v>
      </c>
      <c r="C1085" s="7">
        <v>1884</v>
      </c>
      <c r="D1085" s="8">
        <v>45402</v>
      </c>
      <c r="E1085" s="9" t="str">
        <f>+HYPERLINK("http://trademark.i-assist.jp/data/china/image_1884th/76592503.pdf", "76592503")</f>
        <v>76592503</v>
      </c>
      <c r="F1085" s="6" t="s">
        <v>2980</v>
      </c>
      <c r="G1085" s="6" t="s">
        <v>2979</v>
      </c>
      <c r="H1085" s="8" t="s">
        <v>2981</v>
      </c>
      <c r="I1085" s="14">
        <v>45315</v>
      </c>
    </row>
    <row r="1086" spans="1:9" x14ac:dyDescent="0.15">
      <c r="A1086" s="5">
        <v>1085</v>
      </c>
      <c r="B1086" s="6" t="s">
        <v>9</v>
      </c>
      <c r="C1086" s="7">
        <v>1884</v>
      </c>
      <c r="D1086" s="8">
        <v>45402</v>
      </c>
      <c r="E1086" s="9" t="str">
        <f>+HYPERLINK("http://trademark.i-assist.jp/data/china/image_1884th/76592625.pdf", "76592625")</f>
        <v>76592625</v>
      </c>
      <c r="F1086" s="6" t="s">
        <v>2983</v>
      </c>
      <c r="G1086" s="6" t="s">
        <v>2982</v>
      </c>
      <c r="H1086" s="8" t="s">
        <v>2984</v>
      </c>
      <c r="I1086" s="14">
        <v>45315</v>
      </c>
    </row>
    <row r="1087" spans="1:9" x14ac:dyDescent="0.15">
      <c r="A1087" s="5">
        <v>1086</v>
      </c>
      <c r="B1087" s="6" t="s">
        <v>9</v>
      </c>
      <c r="C1087" s="7">
        <v>1884</v>
      </c>
      <c r="D1087" s="8">
        <v>45402</v>
      </c>
      <c r="E1087" s="9" t="str">
        <f>+HYPERLINK("http://trademark.i-assist.jp/data/china/image_1884th/76592878.pdf", "76592878")</f>
        <v>76592878</v>
      </c>
      <c r="F1087" s="6" t="s">
        <v>2986</v>
      </c>
      <c r="G1087" s="6" t="s">
        <v>2985</v>
      </c>
      <c r="H1087" s="8" t="s">
        <v>2987</v>
      </c>
      <c r="I1087" s="14">
        <v>45315</v>
      </c>
    </row>
    <row r="1088" spans="1:9" x14ac:dyDescent="0.15">
      <c r="A1088" s="5">
        <v>1087</v>
      </c>
      <c r="B1088" s="6" t="s">
        <v>9</v>
      </c>
      <c r="C1088" s="7">
        <v>1884</v>
      </c>
      <c r="D1088" s="8">
        <v>45402</v>
      </c>
      <c r="E1088" s="9" t="str">
        <f>+HYPERLINK("http://trademark.i-assist.jp/data/china/image_1884th/76593221.pdf", "76593221")</f>
        <v>76593221</v>
      </c>
      <c r="F1088" s="6" t="s">
        <v>2989</v>
      </c>
      <c r="G1088" s="6" t="s">
        <v>2988</v>
      </c>
      <c r="H1088" s="8" t="s">
        <v>2990</v>
      </c>
      <c r="I1088" s="14">
        <v>45316</v>
      </c>
    </row>
    <row r="1089" spans="1:9" x14ac:dyDescent="0.15">
      <c r="A1089" s="5">
        <v>1088</v>
      </c>
      <c r="B1089" s="6" t="s">
        <v>9</v>
      </c>
      <c r="C1089" s="7">
        <v>1884</v>
      </c>
      <c r="D1089" s="8">
        <v>45402</v>
      </c>
      <c r="E1089" s="9" t="str">
        <f>+HYPERLINK("http://trademark.i-assist.jp/data/china/image_1884th/76593251.pdf", "76593251")</f>
        <v>76593251</v>
      </c>
      <c r="F1089" s="6" t="s">
        <v>2992</v>
      </c>
      <c r="G1089" s="6" t="s">
        <v>2991</v>
      </c>
      <c r="H1089" s="8" t="s">
        <v>2993</v>
      </c>
      <c r="I1089" s="14">
        <v>45316</v>
      </c>
    </row>
    <row r="1090" spans="1:9" x14ac:dyDescent="0.15">
      <c r="A1090" s="5">
        <v>1089</v>
      </c>
      <c r="B1090" s="6" t="s">
        <v>9</v>
      </c>
      <c r="C1090" s="7">
        <v>1884</v>
      </c>
      <c r="D1090" s="8">
        <v>45402</v>
      </c>
      <c r="E1090" s="9" t="str">
        <f>+HYPERLINK("http://trademark.i-assist.jp/data/china/image_1884th/76593272.pdf", "76593272")</f>
        <v>76593272</v>
      </c>
      <c r="F1090" s="6" t="s">
        <v>2995</v>
      </c>
      <c r="G1090" s="6" t="s">
        <v>2994</v>
      </c>
      <c r="H1090" s="8" t="s">
        <v>2996</v>
      </c>
      <c r="I1090" s="14">
        <v>45316</v>
      </c>
    </row>
    <row r="1091" spans="1:9" x14ac:dyDescent="0.15">
      <c r="A1091" s="5">
        <v>1090</v>
      </c>
      <c r="B1091" s="6" t="s">
        <v>9</v>
      </c>
      <c r="C1091" s="7">
        <v>1884</v>
      </c>
      <c r="D1091" s="8">
        <v>45402</v>
      </c>
      <c r="E1091" s="9" t="str">
        <f>+HYPERLINK("http://trademark.i-assist.jp/data/china/image_1884th/76593358.pdf", "76593358")</f>
        <v>76593358</v>
      </c>
      <c r="F1091" s="6" t="s">
        <v>2998</v>
      </c>
      <c r="G1091" s="6" t="s">
        <v>2997</v>
      </c>
      <c r="H1091" s="8" t="s">
        <v>2999</v>
      </c>
      <c r="I1091" s="14">
        <v>45316</v>
      </c>
    </row>
    <row r="1092" spans="1:9" x14ac:dyDescent="0.15">
      <c r="A1092" s="5">
        <v>1091</v>
      </c>
      <c r="B1092" s="6" t="s">
        <v>9</v>
      </c>
      <c r="C1092" s="7">
        <v>1884</v>
      </c>
      <c r="D1092" s="8">
        <v>45402</v>
      </c>
      <c r="E1092" s="9" t="str">
        <f>+HYPERLINK("http://trademark.i-assist.jp/data/china/image_1884th/76593374.pdf", "76593374")</f>
        <v>76593374</v>
      </c>
      <c r="F1092" s="6" t="s">
        <v>3001</v>
      </c>
      <c r="G1092" s="6" t="s">
        <v>3000</v>
      </c>
      <c r="H1092" s="8" t="s">
        <v>3002</v>
      </c>
      <c r="I1092" s="14">
        <v>45316</v>
      </c>
    </row>
    <row r="1093" spans="1:9" x14ac:dyDescent="0.15">
      <c r="A1093" s="5">
        <v>1092</v>
      </c>
      <c r="B1093" s="6" t="s">
        <v>9</v>
      </c>
      <c r="C1093" s="7">
        <v>1884</v>
      </c>
      <c r="D1093" s="8">
        <v>45402</v>
      </c>
      <c r="E1093" s="9" t="str">
        <f>+HYPERLINK("http://trademark.i-assist.jp/data/china/image_1884th/76593644.pdf", "76593644")</f>
        <v>76593644</v>
      </c>
      <c r="F1093" s="6" t="s">
        <v>3004</v>
      </c>
      <c r="G1093" s="6" t="s">
        <v>3003</v>
      </c>
      <c r="H1093" s="8" t="s">
        <v>3005</v>
      </c>
      <c r="I1093" s="14">
        <v>45316</v>
      </c>
    </row>
    <row r="1094" spans="1:9" x14ac:dyDescent="0.15">
      <c r="A1094" s="5">
        <v>1093</v>
      </c>
      <c r="B1094" s="6" t="s">
        <v>9</v>
      </c>
      <c r="C1094" s="7">
        <v>1884</v>
      </c>
      <c r="D1094" s="8">
        <v>45402</v>
      </c>
      <c r="E1094" s="9" t="str">
        <f>+HYPERLINK("http://trademark.i-assist.jp/data/china/image_1884th/76593660.pdf", "76593660")</f>
        <v>76593660</v>
      </c>
      <c r="F1094" s="6" t="s">
        <v>3007</v>
      </c>
      <c r="G1094" s="6" t="s">
        <v>3006</v>
      </c>
      <c r="H1094" s="8" t="s">
        <v>3008</v>
      </c>
      <c r="I1094" s="14">
        <v>45316</v>
      </c>
    </row>
    <row r="1095" spans="1:9" x14ac:dyDescent="0.15">
      <c r="A1095" s="5">
        <v>1094</v>
      </c>
      <c r="B1095" s="6" t="s">
        <v>9</v>
      </c>
      <c r="C1095" s="7">
        <v>1884</v>
      </c>
      <c r="D1095" s="8">
        <v>45402</v>
      </c>
      <c r="E1095" s="9" t="str">
        <f>+HYPERLINK("http://trademark.i-assist.jp/data/china/image_1884th/76593682.pdf", "76593682")</f>
        <v>76593682</v>
      </c>
      <c r="F1095" s="6" t="s">
        <v>3010</v>
      </c>
      <c r="G1095" s="6" t="s">
        <v>3009</v>
      </c>
      <c r="H1095" s="8" t="s">
        <v>3011</v>
      </c>
      <c r="I1095" s="14">
        <v>45316</v>
      </c>
    </row>
    <row r="1096" spans="1:9" x14ac:dyDescent="0.15">
      <c r="A1096" s="5">
        <v>1095</v>
      </c>
      <c r="B1096" s="6" t="s">
        <v>9</v>
      </c>
      <c r="C1096" s="7">
        <v>1884</v>
      </c>
      <c r="D1096" s="8">
        <v>45402</v>
      </c>
      <c r="E1096" s="9" t="str">
        <f>+HYPERLINK("http://trademark.i-assist.jp/data/china/image_1884th/76593869.pdf", "76593869")</f>
        <v>76593869</v>
      </c>
      <c r="F1096" s="6" t="s">
        <v>3013</v>
      </c>
      <c r="G1096" s="6" t="s">
        <v>3012</v>
      </c>
      <c r="H1096" s="8" t="s">
        <v>3014</v>
      </c>
      <c r="I1096" s="14">
        <v>45316</v>
      </c>
    </row>
    <row r="1097" spans="1:9" x14ac:dyDescent="0.15">
      <c r="A1097" s="5">
        <v>1096</v>
      </c>
      <c r="B1097" s="6" t="s">
        <v>9</v>
      </c>
      <c r="C1097" s="7">
        <v>1884</v>
      </c>
      <c r="D1097" s="8">
        <v>45402</v>
      </c>
      <c r="E1097" s="9" t="str">
        <f>+HYPERLINK("http://trademark.i-assist.jp/data/china/image_1884th/76594081.pdf", "76594081")</f>
        <v>76594081</v>
      </c>
      <c r="F1097" s="6" t="s">
        <v>3016</v>
      </c>
      <c r="G1097" s="6" t="s">
        <v>3015</v>
      </c>
      <c r="H1097" s="8" t="s">
        <v>3017</v>
      </c>
      <c r="I1097" s="14">
        <v>45316</v>
      </c>
    </row>
    <row r="1098" spans="1:9" x14ac:dyDescent="0.15">
      <c r="A1098" s="5">
        <v>1097</v>
      </c>
      <c r="B1098" s="6" t="s">
        <v>9</v>
      </c>
      <c r="C1098" s="7">
        <v>1884</v>
      </c>
      <c r="D1098" s="8">
        <v>45402</v>
      </c>
      <c r="E1098" s="9" t="str">
        <f>+HYPERLINK("http://trademark.i-assist.jp/data/china/image_1884th/76594207.pdf", "76594207")</f>
        <v>76594207</v>
      </c>
      <c r="F1098" s="6" t="s">
        <v>3019</v>
      </c>
      <c r="G1098" s="6" t="s">
        <v>3018</v>
      </c>
      <c r="H1098" s="8" t="s">
        <v>3020</v>
      </c>
      <c r="I1098" s="14">
        <v>45316</v>
      </c>
    </row>
    <row r="1099" spans="1:9" x14ac:dyDescent="0.15">
      <c r="A1099" s="5">
        <v>1098</v>
      </c>
      <c r="B1099" s="6" t="s">
        <v>9</v>
      </c>
      <c r="C1099" s="7">
        <v>1884</v>
      </c>
      <c r="D1099" s="8">
        <v>45402</v>
      </c>
      <c r="E1099" s="9" t="str">
        <f>+HYPERLINK("http://trademark.i-assist.jp/data/china/image_1884th/76594357.pdf", "76594357")</f>
        <v>76594357</v>
      </c>
      <c r="F1099" s="6" t="s">
        <v>3022</v>
      </c>
      <c r="G1099" s="6" t="s">
        <v>3021</v>
      </c>
      <c r="H1099" s="8" t="s">
        <v>3023</v>
      </c>
      <c r="I1099" s="14">
        <v>45316</v>
      </c>
    </row>
    <row r="1100" spans="1:9" x14ac:dyDescent="0.15">
      <c r="A1100" s="5">
        <v>1099</v>
      </c>
      <c r="B1100" s="6" t="s">
        <v>9</v>
      </c>
      <c r="C1100" s="7">
        <v>1884</v>
      </c>
      <c r="D1100" s="8">
        <v>45402</v>
      </c>
      <c r="E1100" s="9" t="str">
        <f>+HYPERLINK("http://trademark.i-assist.jp/data/china/image_1884th/76594515.pdf", "76594515")</f>
        <v>76594515</v>
      </c>
      <c r="F1100" s="6" t="s">
        <v>3025</v>
      </c>
      <c r="G1100" s="6" t="s">
        <v>3024</v>
      </c>
      <c r="H1100" s="8" t="s">
        <v>3026</v>
      </c>
      <c r="I1100" s="14">
        <v>45316</v>
      </c>
    </row>
    <row r="1101" spans="1:9" x14ac:dyDescent="0.15">
      <c r="A1101" s="5">
        <v>1100</v>
      </c>
      <c r="B1101" s="6" t="s">
        <v>9</v>
      </c>
      <c r="C1101" s="7">
        <v>1884</v>
      </c>
      <c r="D1101" s="8">
        <v>45402</v>
      </c>
      <c r="E1101" s="9" t="str">
        <f>+HYPERLINK("http://trademark.i-assist.jp/data/china/image_1884th/76594582.pdf", "76594582")</f>
        <v>76594582</v>
      </c>
      <c r="F1101" s="6" t="s">
        <v>3028</v>
      </c>
      <c r="G1101" s="6" t="s">
        <v>3027</v>
      </c>
      <c r="H1101" s="8" t="s">
        <v>3029</v>
      </c>
      <c r="I1101" s="14">
        <v>45316</v>
      </c>
    </row>
    <row r="1102" spans="1:9" x14ac:dyDescent="0.15">
      <c r="A1102" s="5">
        <v>1101</v>
      </c>
      <c r="B1102" s="6" t="s">
        <v>9</v>
      </c>
      <c r="C1102" s="7">
        <v>1884</v>
      </c>
      <c r="D1102" s="8">
        <v>45402</v>
      </c>
      <c r="E1102" s="9" t="str">
        <f>+HYPERLINK("http://trademark.i-assist.jp/data/china/image_1884th/76595106.pdf", "76595106")</f>
        <v>76595106</v>
      </c>
      <c r="F1102" s="6" t="s">
        <v>3031</v>
      </c>
      <c r="G1102" s="6" t="s">
        <v>3030</v>
      </c>
      <c r="H1102" s="8" t="s">
        <v>3032</v>
      </c>
      <c r="I1102" s="14">
        <v>45316</v>
      </c>
    </row>
    <row r="1103" spans="1:9" x14ac:dyDescent="0.15">
      <c r="A1103" s="5">
        <v>1102</v>
      </c>
      <c r="B1103" s="6" t="s">
        <v>9</v>
      </c>
      <c r="C1103" s="7">
        <v>1884</v>
      </c>
      <c r="D1103" s="8">
        <v>45402</v>
      </c>
      <c r="E1103" s="9" t="str">
        <f>+HYPERLINK("http://trademark.i-assist.jp/data/china/image_1884th/76595247.pdf", "76595247")</f>
        <v>76595247</v>
      </c>
      <c r="F1103" s="6" t="s">
        <v>167</v>
      </c>
      <c r="G1103" s="6" t="s">
        <v>3033</v>
      </c>
      <c r="H1103" s="8" t="s">
        <v>3034</v>
      </c>
      <c r="I1103" s="14">
        <v>45316</v>
      </c>
    </row>
    <row r="1104" spans="1:9" x14ac:dyDescent="0.15">
      <c r="A1104" s="5">
        <v>1103</v>
      </c>
      <c r="B1104" s="6" t="s">
        <v>9</v>
      </c>
      <c r="C1104" s="7">
        <v>1884</v>
      </c>
      <c r="D1104" s="8">
        <v>45402</v>
      </c>
      <c r="E1104" s="9" t="str">
        <f>+HYPERLINK("http://trademark.i-assist.jp/data/china/image_1884th/76595450.pdf", "76595450")</f>
        <v>76595450</v>
      </c>
      <c r="F1104" s="6" t="s">
        <v>167</v>
      </c>
      <c r="G1104" s="6" t="s">
        <v>3035</v>
      </c>
      <c r="H1104" s="8" t="s">
        <v>3036</v>
      </c>
      <c r="I1104" s="14">
        <v>45316</v>
      </c>
    </row>
    <row r="1105" spans="1:9" x14ac:dyDescent="0.15">
      <c r="A1105" s="5">
        <v>1104</v>
      </c>
      <c r="B1105" s="6" t="s">
        <v>9</v>
      </c>
      <c r="C1105" s="7">
        <v>1884</v>
      </c>
      <c r="D1105" s="8">
        <v>45402</v>
      </c>
      <c r="E1105" s="9" t="str">
        <f>+HYPERLINK("http://trademark.i-assist.jp/data/china/image_1884th/76596061.pdf", "76596061")</f>
        <v>76596061</v>
      </c>
      <c r="F1105" s="6" t="s">
        <v>3037</v>
      </c>
      <c r="G1105" s="6" t="s">
        <v>3012</v>
      </c>
      <c r="H1105" s="8" t="s">
        <v>3038</v>
      </c>
      <c r="I1105" s="14">
        <v>45316</v>
      </c>
    </row>
    <row r="1106" spans="1:9" x14ac:dyDescent="0.15">
      <c r="A1106" s="5">
        <v>1105</v>
      </c>
      <c r="B1106" s="6" t="s">
        <v>9</v>
      </c>
      <c r="C1106" s="7">
        <v>1884</v>
      </c>
      <c r="D1106" s="8">
        <v>45402</v>
      </c>
      <c r="E1106" s="9" t="str">
        <f>+HYPERLINK("http://trademark.i-assist.jp/data/china/image_1884th/76596149.pdf", "76596149")</f>
        <v>76596149</v>
      </c>
      <c r="F1106" s="6" t="s">
        <v>3040</v>
      </c>
      <c r="G1106" s="6" t="s">
        <v>3039</v>
      </c>
      <c r="H1106" s="8" t="s">
        <v>3041</v>
      </c>
      <c r="I1106" s="14">
        <v>45316</v>
      </c>
    </row>
    <row r="1107" spans="1:9" x14ac:dyDescent="0.15">
      <c r="A1107" s="5">
        <v>1106</v>
      </c>
      <c r="B1107" s="6" t="s">
        <v>9</v>
      </c>
      <c r="C1107" s="7">
        <v>1884</v>
      </c>
      <c r="D1107" s="8">
        <v>45402</v>
      </c>
      <c r="E1107" s="9" t="str">
        <f>+HYPERLINK("http://trademark.i-assist.jp/data/china/image_1884th/76596242.pdf", "76596242")</f>
        <v>76596242</v>
      </c>
      <c r="F1107" s="6" t="s">
        <v>3043</v>
      </c>
      <c r="G1107" s="6" t="s">
        <v>3042</v>
      </c>
      <c r="H1107" s="8" t="s">
        <v>3044</v>
      </c>
      <c r="I1107" s="14">
        <v>45316</v>
      </c>
    </row>
    <row r="1108" spans="1:9" x14ac:dyDescent="0.15">
      <c r="A1108" s="5">
        <v>1107</v>
      </c>
      <c r="B1108" s="6" t="s">
        <v>9</v>
      </c>
      <c r="C1108" s="7">
        <v>1884</v>
      </c>
      <c r="D1108" s="8">
        <v>45402</v>
      </c>
      <c r="E1108" s="9" t="str">
        <f>+HYPERLINK("http://trademark.i-assist.jp/data/china/image_1884th/76596326.pdf", "76596326")</f>
        <v>76596326</v>
      </c>
      <c r="F1108" s="6" t="s">
        <v>3045</v>
      </c>
      <c r="G1108" s="6" t="s">
        <v>30</v>
      </c>
      <c r="H1108" s="8" t="s">
        <v>3046</v>
      </c>
      <c r="I1108" s="14">
        <v>45316</v>
      </c>
    </row>
    <row r="1109" spans="1:9" x14ac:dyDescent="0.15">
      <c r="A1109" s="5">
        <v>1108</v>
      </c>
      <c r="B1109" s="6" t="s">
        <v>9</v>
      </c>
      <c r="C1109" s="7">
        <v>1884</v>
      </c>
      <c r="D1109" s="8">
        <v>45402</v>
      </c>
      <c r="E1109" s="9" t="str">
        <f>+HYPERLINK("http://trademark.i-assist.jp/data/china/image_1884th/76596499.pdf", "76596499")</f>
        <v>76596499</v>
      </c>
      <c r="F1109" s="6" t="s">
        <v>3048</v>
      </c>
      <c r="G1109" s="6" t="s">
        <v>3047</v>
      </c>
      <c r="H1109" s="8" t="s">
        <v>3049</v>
      </c>
      <c r="I1109" s="14">
        <v>45316</v>
      </c>
    </row>
    <row r="1110" spans="1:9" x14ac:dyDescent="0.15">
      <c r="A1110" s="5">
        <v>1109</v>
      </c>
      <c r="B1110" s="6" t="s">
        <v>9</v>
      </c>
      <c r="C1110" s="7">
        <v>1884</v>
      </c>
      <c r="D1110" s="8">
        <v>45402</v>
      </c>
      <c r="E1110" s="9" t="str">
        <f>+HYPERLINK("http://trademark.i-assist.jp/data/china/image_1884th/76596573.pdf", "76596573")</f>
        <v>76596573</v>
      </c>
      <c r="F1110" s="6" t="s">
        <v>3051</v>
      </c>
      <c r="G1110" s="6" t="s">
        <v>3050</v>
      </c>
      <c r="H1110" s="8" t="s">
        <v>3052</v>
      </c>
      <c r="I1110" s="14">
        <v>45316</v>
      </c>
    </row>
    <row r="1111" spans="1:9" x14ac:dyDescent="0.15">
      <c r="A1111" s="5">
        <v>1110</v>
      </c>
      <c r="B1111" s="6" t="s">
        <v>9</v>
      </c>
      <c r="C1111" s="7">
        <v>1884</v>
      </c>
      <c r="D1111" s="8">
        <v>45402</v>
      </c>
      <c r="E1111" s="9" t="str">
        <f>+HYPERLINK("http://trademark.i-assist.jp/data/china/image_1884th/76596758.pdf", "76596758")</f>
        <v>76596758</v>
      </c>
      <c r="F1111" s="6" t="s">
        <v>167</v>
      </c>
      <c r="G1111" s="6" t="s">
        <v>3053</v>
      </c>
      <c r="H1111" s="8" t="s">
        <v>3054</v>
      </c>
      <c r="I1111" s="14">
        <v>45316</v>
      </c>
    </row>
    <row r="1112" spans="1:9" x14ac:dyDescent="0.15">
      <c r="A1112" s="5">
        <v>1111</v>
      </c>
      <c r="B1112" s="6" t="s">
        <v>9</v>
      </c>
      <c r="C1112" s="7">
        <v>1884</v>
      </c>
      <c r="D1112" s="8">
        <v>45402</v>
      </c>
      <c r="E1112" s="9" t="str">
        <f>+HYPERLINK("http://trademark.i-assist.jp/data/china/image_1884th/76596795.pdf", "76596795")</f>
        <v>76596795</v>
      </c>
      <c r="F1112" s="6" t="s">
        <v>3056</v>
      </c>
      <c r="G1112" s="6" t="s">
        <v>3055</v>
      </c>
      <c r="H1112" s="8" t="s">
        <v>3057</v>
      </c>
      <c r="I1112" s="14">
        <v>45316</v>
      </c>
    </row>
    <row r="1113" spans="1:9" x14ac:dyDescent="0.15">
      <c r="A1113" s="5">
        <v>1112</v>
      </c>
      <c r="B1113" s="6" t="s">
        <v>9</v>
      </c>
      <c r="C1113" s="7">
        <v>1884</v>
      </c>
      <c r="D1113" s="8">
        <v>45402</v>
      </c>
      <c r="E1113" s="9" t="str">
        <f>+HYPERLINK("http://trademark.i-assist.jp/data/china/image_1884th/76596796.pdf", "76596796")</f>
        <v>76596796</v>
      </c>
      <c r="F1113" s="6" t="s">
        <v>3059</v>
      </c>
      <c r="G1113" s="6" t="s">
        <v>3058</v>
      </c>
      <c r="H1113" s="8" t="s">
        <v>3060</v>
      </c>
      <c r="I1113" s="14">
        <v>45316</v>
      </c>
    </row>
    <row r="1114" spans="1:9" x14ac:dyDescent="0.15">
      <c r="A1114" s="5">
        <v>1113</v>
      </c>
      <c r="B1114" s="6" t="s">
        <v>9</v>
      </c>
      <c r="C1114" s="7">
        <v>1884</v>
      </c>
      <c r="D1114" s="8">
        <v>45402</v>
      </c>
      <c r="E1114" s="9" t="str">
        <f>+HYPERLINK("http://trademark.i-assist.jp/data/china/image_1884th/76596995.pdf", "76596995")</f>
        <v>76596995</v>
      </c>
      <c r="F1114" s="6" t="s">
        <v>3062</v>
      </c>
      <c r="G1114" s="6" t="s">
        <v>3061</v>
      </c>
      <c r="H1114" s="8" t="s">
        <v>3063</v>
      </c>
      <c r="I1114" s="14">
        <v>45316</v>
      </c>
    </row>
    <row r="1115" spans="1:9" x14ac:dyDescent="0.15">
      <c r="A1115" s="5">
        <v>1114</v>
      </c>
      <c r="B1115" s="6" t="s">
        <v>9</v>
      </c>
      <c r="C1115" s="7">
        <v>1884</v>
      </c>
      <c r="D1115" s="8">
        <v>45402</v>
      </c>
      <c r="E1115" s="9" t="str">
        <f>+HYPERLINK("http://trademark.i-assist.jp/data/china/image_1884th/76597019.pdf", "76597019")</f>
        <v>76597019</v>
      </c>
      <c r="F1115" s="6" t="s">
        <v>3065</v>
      </c>
      <c r="G1115" s="6" t="s">
        <v>3064</v>
      </c>
      <c r="H1115" s="8" t="s">
        <v>3066</v>
      </c>
      <c r="I1115" s="14">
        <v>45316</v>
      </c>
    </row>
    <row r="1116" spans="1:9" x14ac:dyDescent="0.15">
      <c r="A1116" s="5">
        <v>1115</v>
      </c>
      <c r="B1116" s="6" t="s">
        <v>9</v>
      </c>
      <c r="C1116" s="7">
        <v>1884</v>
      </c>
      <c r="D1116" s="8">
        <v>45402</v>
      </c>
      <c r="E1116" s="9" t="str">
        <f>+HYPERLINK("http://trademark.i-assist.jp/data/china/image_1884th/76597246.pdf", "76597246")</f>
        <v>76597246</v>
      </c>
      <c r="F1116" s="6" t="s">
        <v>3067</v>
      </c>
      <c r="G1116" s="6" t="s">
        <v>3027</v>
      </c>
      <c r="H1116" s="8" t="s">
        <v>3068</v>
      </c>
      <c r="I1116" s="14">
        <v>45316</v>
      </c>
    </row>
    <row r="1117" spans="1:9" x14ac:dyDescent="0.15">
      <c r="A1117" s="5">
        <v>1116</v>
      </c>
      <c r="B1117" s="6" t="s">
        <v>9</v>
      </c>
      <c r="C1117" s="7">
        <v>1884</v>
      </c>
      <c r="D1117" s="8">
        <v>45402</v>
      </c>
      <c r="E1117" s="9" t="str">
        <f>+HYPERLINK("http://trademark.i-assist.jp/data/china/image_1884th/76597277.pdf", "76597277")</f>
        <v>76597277</v>
      </c>
      <c r="F1117" s="6" t="s">
        <v>3070</v>
      </c>
      <c r="G1117" s="6" t="s">
        <v>3069</v>
      </c>
      <c r="H1117" s="8" t="s">
        <v>3071</v>
      </c>
      <c r="I1117" s="14">
        <v>45316</v>
      </c>
    </row>
    <row r="1118" spans="1:9" x14ac:dyDescent="0.15">
      <c r="A1118" s="5">
        <v>1117</v>
      </c>
      <c r="B1118" s="6" t="s">
        <v>9</v>
      </c>
      <c r="C1118" s="7">
        <v>1884</v>
      </c>
      <c r="D1118" s="8">
        <v>45402</v>
      </c>
      <c r="E1118" s="9" t="str">
        <f>+HYPERLINK("http://trademark.i-assist.jp/data/china/image_1884th/76597447.pdf", "76597447")</f>
        <v>76597447</v>
      </c>
      <c r="F1118" s="6" t="s">
        <v>3073</v>
      </c>
      <c r="G1118" s="6" t="s">
        <v>3072</v>
      </c>
      <c r="H1118" s="8" t="s">
        <v>3074</v>
      </c>
      <c r="I1118" s="14">
        <v>45316</v>
      </c>
    </row>
    <row r="1119" spans="1:9" x14ac:dyDescent="0.15">
      <c r="A1119" s="5">
        <v>1118</v>
      </c>
      <c r="B1119" s="6" t="s">
        <v>9</v>
      </c>
      <c r="C1119" s="7">
        <v>1884</v>
      </c>
      <c r="D1119" s="8">
        <v>45402</v>
      </c>
      <c r="E1119" s="9" t="str">
        <f>+HYPERLINK("http://trademark.i-assist.jp/data/china/image_1884th/76597518.pdf", "76597518")</f>
        <v>76597518</v>
      </c>
      <c r="F1119" s="6" t="s">
        <v>3076</v>
      </c>
      <c r="G1119" s="6" t="s">
        <v>3075</v>
      </c>
      <c r="H1119" s="8" t="s">
        <v>3077</v>
      </c>
      <c r="I1119" s="14">
        <v>45316</v>
      </c>
    </row>
    <row r="1120" spans="1:9" x14ac:dyDescent="0.15">
      <c r="A1120" s="5">
        <v>1119</v>
      </c>
      <c r="B1120" s="6" t="s">
        <v>9</v>
      </c>
      <c r="C1120" s="7">
        <v>1884</v>
      </c>
      <c r="D1120" s="8">
        <v>45402</v>
      </c>
      <c r="E1120" s="9" t="str">
        <f>+HYPERLINK("http://trademark.i-assist.jp/data/china/image_1884th/76597582.pdf", "76597582")</f>
        <v>76597582</v>
      </c>
      <c r="F1120" s="6" t="s">
        <v>3079</v>
      </c>
      <c r="G1120" s="6" t="s">
        <v>3078</v>
      </c>
      <c r="H1120" s="8" t="s">
        <v>3080</v>
      </c>
      <c r="I1120" s="14">
        <v>45316</v>
      </c>
    </row>
    <row r="1121" spans="1:9" x14ac:dyDescent="0.15">
      <c r="A1121" s="5">
        <v>1120</v>
      </c>
      <c r="B1121" s="6" t="s">
        <v>9</v>
      </c>
      <c r="C1121" s="7">
        <v>1884</v>
      </c>
      <c r="D1121" s="8">
        <v>45402</v>
      </c>
      <c r="E1121" s="9" t="str">
        <f>+HYPERLINK("http://trademark.i-assist.jp/data/china/image_1884th/76597667.pdf", "76597667")</f>
        <v>76597667</v>
      </c>
      <c r="F1121" s="6" t="s">
        <v>3082</v>
      </c>
      <c r="G1121" s="6" t="s">
        <v>3081</v>
      </c>
      <c r="H1121" s="8" t="s">
        <v>3083</v>
      </c>
      <c r="I1121" s="14">
        <v>45316</v>
      </c>
    </row>
    <row r="1122" spans="1:9" x14ac:dyDescent="0.15">
      <c r="A1122" s="5">
        <v>1121</v>
      </c>
      <c r="B1122" s="6" t="s">
        <v>9</v>
      </c>
      <c r="C1122" s="7">
        <v>1884</v>
      </c>
      <c r="D1122" s="8">
        <v>45402</v>
      </c>
      <c r="E1122" s="9" t="str">
        <f>+HYPERLINK("http://trademark.i-assist.jp/data/china/image_1884th/76598189.pdf", "76598189")</f>
        <v>76598189</v>
      </c>
      <c r="F1122" s="6" t="s">
        <v>3085</v>
      </c>
      <c r="G1122" s="6" t="s">
        <v>3084</v>
      </c>
      <c r="H1122" s="8" t="s">
        <v>3086</v>
      </c>
      <c r="I1122" s="14">
        <v>45316</v>
      </c>
    </row>
    <row r="1123" spans="1:9" x14ac:dyDescent="0.15">
      <c r="A1123" s="5">
        <v>1122</v>
      </c>
      <c r="B1123" s="6" t="s">
        <v>9</v>
      </c>
      <c r="C1123" s="7">
        <v>1884</v>
      </c>
      <c r="D1123" s="8">
        <v>45402</v>
      </c>
      <c r="E1123" s="9" t="str">
        <f>+HYPERLINK("http://trademark.i-assist.jp/data/china/image_1884th/76598258.pdf", "76598258")</f>
        <v>76598258</v>
      </c>
      <c r="F1123" s="6" t="s">
        <v>3088</v>
      </c>
      <c r="G1123" s="6" t="s">
        <v>3087</v>
      </c>
      <c r="H1123" s="8" t="s">
        <v>2949</v>
      </c>
      <c r="I1123" s="14">
        <v>45316</v>
      </c>
    </row>
    <row r="1124" spans="1:9" x14ac:dyDescent="0.15">
      <c r="A1124" s="5">
        <v>1123</v>
      </c>
      <c r="B1124" s="6" t="s">
        <v>9</v>
      </c>
      <c r="C1124" s="7">
        <v>1884</v>
      </c>
      <c r="D1124" s="8">
        <v>45402</v>
      </c>
      <c r="E1124" s="9" t="str">
        <f>+HYPERLINK("http://trademark.i-assist.jp/data/china/image_1884th/76598271.pdf", "76598271")</f>
        <v>76598271</v>
      </c>
      <c r="F1124" s="6" t="s">
        <v>3089</v>
      </c>
      <c r="G1124" s="6" t="s">
        <v>3018</v>
      </c>
      <c r="H1124" s="8" t="s">
        <v>3090</v>
      </c>
      <c r="I1124" s="14">
        <v>45316</v>
      </c>
    </row>
    <row r="1125" spans="1:9" x14ac:dyDescent="0.15">
      <c r="A1125" s="5">
        <v>1124</v>
      </c>
      <c r="B1125" s="6" t="s">
        <v>9</v>
      </c>
      <c r="C1125" s="7">
        <v>1884</v>
      </c>
      <c r="D1125" s="8">
        <v>45402</v>
      </c>
      <c r="E1125" s="9" t="str">
        <f>+HYPERLINK("http://trademark.i-assist.jp/data/china/image_1884th/76598313.pdf", "76598313")</f>
        <v>76598313</v>
      </c>
      <c r="F1125" s="6" t="s">
        <v>3092</v>
      </c>
      <c r="G1125" s="6" t="s">
        <v>3091</v>
      </c>
      <c r="H1125" s="8" t="s">
        <v>3093</v>
      </c>
      <c r="I1125" s="14">
        <v>45316</v>
      </c>
    </row>
    <row r="1126" spans="1:9" x14ac:dyDescent="0.15">
      <c r="A1126" s="5">
        <v>1125</v>
      </c>
      <c r="B1126" s="6" t="s">
        <v>9</v>
      </c>
      <c r="C1126" s="7">
        <v>1884</v>
      </c>
      <c r="D1126" s="8">
        <v>45402</v>
      </c>
      <c r="E1126" s="9" t="str">
        <f>+HYPERLINK("http://trademark.i-assist.jp/data/china/image_1884th/76598486.pdf", "76598486")</f>
        <v>76598486</v>
      </c>
      <c r="F1126" s="6" t="s">
        <v>167</v>
      </c>
      <c r="G1126" s="6" t="s">
        <v>3094</v>
      </c>
      <c r="H1126" s="8" t="s">
        <v>3095</v>
      </c>
      <c r="I1126" s="14">
        <v>45316</v>
      </c>
    </row>
    <row r="1127" spans="1:9" x14ac:dyDescent="0.15">
      <c r="A1127" s="5">
        <v>1126</v>
      </c>
      <c r="B1127" s="6" t="s">
        <v>9</v>
      </c>
      <c r="C1127" s="7">
        <v>1884</v>
      </c>
      <c r="D1127" s="8">
        <v>45402</v>
      </c>
      <c r="E1127" s="9" t="str">
        <f>+HYPERLINK("http://trademark.i-assist.jp/data/china/image_1884th/76598725.pdf", "76598725")</f>
        <v>76598725</v>
      </c>
      <c r="F1127" s="6" t="s">
        <v>3096</v>
      </c>
      <c r="G1127" s="6" t="s">
        <v>3050</v>
      </c>
      <c r="H1127" s="8" t="s">
        <v>3097</v>
      </c>
      <c r="I1127" s="14">
        <v>45316</v>
      </c>
    </row>
    <row r="1128" spans="1:9" x14ac:dyDescent="0.15">
      <c r="A1128" s="5">
        <v>1127</v>
      </c>
      <c r="B1128" s="6" t="s">
        <v>9</v>
      </c>
      <c r="C1128" s="7">
        <v>1884</v>
      </c>
      <c r="D1128" s="8">
        <v>45402</v>
      </c>
      <c r="E1128" s="9" t="str">
        <f>+HYPERLINK("http://trademark.i-assist.jp/data/china/image_1884th/76598824.pdf", "76598824")</f>
        <v>76598824</v>
      </c>
      <c r="F1128" s="6" t="s">
        <v>3099</v>
      </c>
      <c r="G1128" s="6" t="s">
        <v>3098</v>
      </c>
      <c r="H1128" s="8" t="s">
        <v>3100</v>
      </c>
      <c r="I1128" s="14">
        <v>45316</v>
      </c>
    </row>
    <row r="1129" spans="1:9" x14ac:dyDescent="0.15">
      <c r="A1129" s="5">
        <v>1128</v>
      </c>
      <c r="B1129" s="6" t="s">
        <v>9</v>
      </c>
      <c r="C1129" s="7">
        <v>1884</v>
      </c>
      <c r="D1129" s="8">
        <v>45402</v>
      </c>
      <c r="E1129" s="9" t="str">
        <f>+HYPERLINK("http://trademark.i-assist.jp/data/china/image_1884th/76598862.pdf", "76598862")</f>
        <v>76598862</v>
      </c>
      <c r="F1129" s="6" t="s">
        <v>3101</v>
      </c>
      <c r="G1129" s="6" t="s">
        <v>3018</v>
      </c>
      <c r="H1129" s="8" t="s">
        <v>3102</v>
      </c>
      <c r="I1129" s="14">
        <v>45316</v>
      </c>
    </row>
    <row r="1130" spans="1:9" x14ac:dyDescent="0.15">
      <c r="A1130" s="5">
        <v>1129</v>
      </c>
      <c r="B1130" s="6" t="s">
        <v>9</v>
      </c>
      <c r="C1130" s="7">
        <v>1884</v>
      </c>
      <c r="D1130" s="8">
        <v>45402</v>
      </c>
      <c r="E1130" s="9" t="str">
        <f>+HYPERLINK("http://trademark.i-assist.jp/data/china/image_1884th/76599095.pdf", "76599095")</f>
        <v>76599095</v>
      </c>
      <c r="F1130" s="6" t="s">
        <v>3104</v>
      </c>
      <c r="G1130" s="6" t="s">
        <v>3103</v>
      </c>
      <c r="H1130" s="8" t="s">
        <v>3105</v>
      </c>
      <c r="I1130" s="14">
        <v>45316</v>
      </c>
    </row>
    <row r="1131" spans="1:9" x14ac:dyDescent="0.15">
      <c r="A1131" s="5">
        <v>1130</v>
      </c>
      <c r="B1131" s="6" t="s">
        <v>9</v>
      </c>
      <c r="C1131" s="7">
        <v>1884</v>
      </c>
      <c r="D1131" s="8">
        <v>45402</v>
      </c>
      <c r="E1131" s="9" t="str">
        <f>+HYPERLINK("http://trademark.i-assist.jp/data/china/image_1884th/76599306.pdf", "76599306")</f>
        <v>76599306</v>
      </c>
      <c r="F1131" s="6" t="s">
        <v>3107</v>
      </c>
      <c r="G1131" s="6" t="s">
        <v>3106</v>
      </c>
      <c r="H1131" s="8" t="s">
        <v>3108</v>
      </c>
      <c r="I1131" s="14">
        <v>45316</v>
      </c>
    </row>
    <row r="1132" spans="1:9" x14ac:dyDescent="0.15">
      <c r="A1132" s="5">
        <v>1131</v>
      </c>
      <c r="B1132" s="6" t="s">
        <v>9</v>
      </c>
      <c r="C1132" s="7">
        <v>1884</v>
      </c>
      <c r="D1132" s="8">
        <v>45402</v>
      </c>
      <c r="E1132" s="9" t="str">
        <f>+HYPERLINK("http://trademark.i-assist.jp/data/china/image_1884th/76599320.pdf", "76599320")</f>
        <v>76599320</v>
      </c>
      <c r="F1132" s="6" t="s">
        <v>3110</v>
      </c>
      <c r="G1132" s="6" t="s">
        <v>3109</v>
      </c>
      <c r="H1132" s="8" t="s">
        <v>3111</v>
      </c>
      <c r="I1132" s="14">
        <v>45316</v>
      </c>
    </row>
    <row r="1133" spans="1:9" x14ac:dyDescent="0.15">
      <c r="A1133" s="5">
        <v>1132</v>
      </c>
      <c r="B1133" s="6" t="s">
        <v>9</v>
      </c>
      <c r="C1133" s="7">
        <v>1884</v>
      </c>
      <c r="D1133" s="8">
        <v>45402</v>
      </c>
      <c r="E1133" s="9" t="str">
        <f>+HYPERLINK("http://trademark.i-assist.jp/data/china/image_1884th/76599344.pdf", "76599344")</f>
        <v>76599344</v>
      </c>
      <c r="F1133" s="6" t="s">
        <v>3113</v>
      </c>
      <c r="G1133" s="6" t="s">
        <v>3112</v>
      </c>
      <c r="H1133" s="8" t="s">
        <v>3114</v>
      </c>
      <c r="I1133" s="14">
        <v>45316</v>
      </c>
    </row>
    <row r="1134" spans="1:9" x14ac:dyDescent="0.15">
      <c r="A1134" s="5">
        <v>1133</v>
      </c>
      <c r="B1134" s="6" t="s">
        <v>9</v>
      </c>
      <c r="C1134" s="7">
        <v>1884</v>
      </c>
      <c r="D1134" s="8">
        <v>45402</v>
      </c>
      <c r="E1134" s="9" t="str">
        <f>+HYPERLINK("http://trademark.i-assist.jp/data/china/image_1884th/76599574.pdf", "76599574")</f>
        <v>76599574</v>
      </c>
      <c r="F1134" s="6" t="s">
        <v>3116</v>
      </c>
      <c r="G1134" s="6" t="s">
        <v>3115</v>
      </c>
      <c r="H1134" s="8" t="s">
        <v>3117</v>
      </c>
      <c r="I1134" s="14">
        <v>45316</v>
      </c>
    </row>
    <row r="1135" spans="1:9" x14ac:dyDescent="0.15">
      <c r="A1135" s="5">
        <v>1134</v>
      </c>
      <c r="B1135" s="6" t="s">
        <v>9</v>
      </c>
      <c r="C1135" s="7">
        <v>1884</v>
      </c>
      <c r="D1135" s="8">
        <v>45402</v>
      </c>
      <c r="E1135" s="9" t="str">
        <f>+HYPERLINK("http://trademark.i-assist.jp/data/china/image_1884th/76599850.pdf", "76599850")</f>
        <v>76599850</v>
      </c>
      <c r="F1135" s="6" t="s">
        <v>3119</v>
      </c>
      <c r="G1135" s="6" t="s">
        <v>3118</v>
      </c>
      <c r="H1135" s="8" t="s">
        <v>3120</v>
      </c>
      <c r="I1135" s="14">
        <v>45316</v>
      </c>
    </row>
    <row r="1136" spans="1:9" x14ac:dyDescent="0.15">
      <c r="A1136" s="5">
        <v>1135</v>
      </c>
      <c r="B1136" s="6" t="s">
        <v>9</v>
      </c>
      <c r="C1136" s="7">
        <v>1884</v>
      </c>
      <c r="D1136" s="8">
        <v>45402</v>
      </c>
      <c r="E1136" s="9" t="str">
        <f>+HYPERLINK("http://trademark.i-assist.jp/data/china/image_1884th/76600042.pdf", "76600042")</f>
        <v>76600042</v>
      </c>
      <c r="F1136" s="6" t="s">
        <v>3122</v>
      </c>
      <c r="G1136" s="6" t="s">
        <v>3121</v>
      </c>
      <c r="H1136" s="8" t="s">
        <v>3123</v>
      </c>
      <c r="I1136" s="14">
        <v>45316</v>
      </c>
    </row>
    <row r="1137" spans="1:9" x14ac:dyDescent="0.15">
      <c r="A1137" s="5">
        <v>1136</v>
      </c>
      <c r="B1137" s="6" t="s">
        <v>9</v>
      </c>
      <c r="C1137" s="7">
        <v>1884</v>
      </c>
      <c r="D1137" s="8">
        <v>45402</v>
      </c>
      <c r="E1137" s="9" t="str">
        <f>+HYPERLINK("http://trademark.i-assist.jp/data/china/image_1884th/76600091.pdf", "76600091")</f>
        <v>76600091</v>
      </c>
      <c r="F1137" s="6" t="s">
        <v>3125</v>
      </c>
      <c r="G1137" s="6" t="s">
        <v>3124</v>
      </c>
      <c r="H1137" s="8" t="s">
        <v>3126</v>
      </c>
      <c r="I1137" s="14">
        <v>45316</v>
      </c>
    </row>
    <row r="1138" spans="1:9" x14ac:dyDescent="0.15">
      <c r="A1138" s="5">
        <v>1137</v>
      </c>
      <c r="B1138" s="6" t="s">
        <v>9</v>
      </c>
      <c r="C1138" s="7">
        <v>1884</v>
      </c>
      <c r="D1138" s="8">
        <v>45402</v>
      </c>
      <c r="E1138" s="9" t="str">
        <f>+HYPERLINK("http://trademark.i-assist.jp/data/china/image_1884th/76600115.pdf", "76600115")</f>
        <v>76600115</v>
      </c>
      <c r="F1138" s="6" t="s">
        <v>3128</v>
      </c>
      <c r="G1138" s="6" t="s">
        <v>3127</v>
      </c>
      <c r="H1138" s="8" t="s">
        <v>3129</v>
      </c>
      <c r="I1138" s="14">
        <v>45316</v>
      </c>
    </row>
    <row r="1139" spans="1:9" x14ac:dyDescent="0.15">
      <c r="A1139" s="5">
        <v>1138</v>
      </c>
      <c r="B1139" s="6" t="s">
        <v>9</v>
      </c>
      <c r="C1139" s="7">
        <v>1884</v>
      </c>
      <c r="D1139" s="8">
        <v>45402</v>
      </c>
      <c r="E1139" s="9" t="str">
        <f>+HYPERLINK("http://trademark.i-assist.jp/data/china/image_1884th/76600370.pdf", "76600370")</f>
        <v>76600370</v>
      </c>
      <c r="F1139" s="6" t="s">
        <v>3131</v>
      </c>
      <c r="G1139" s="6" t="s">
        <v>3130</v>
      </c>
      <c r="H1139" s="8" t="s">
        <v>3132</v>
      </c>
      <c r="I1139" s="14">
        <v>45316</v>
      </c>
    </row>
    <row r="1140" spans="1:9" x14ac:dyDescent="0.15">
      <c r="A1140" s="5">
        <v>1139</v>
      </c>
      <c r="B1140" s="6" t="s">
        <v>9</v>
      </c>
      <c r="C1140" s="7">
        <v>1884</v>
      </c>
      <c r="D1140" s="8">
        <v>45402</v>
      </c>
      <c r="E1140" s="9" t="str">
        <f>+HYPERLINK("http://trademark.i-assist.jp/data/china/image_1884th/76600446.pdf", "76600446")</f>
        <v>76600446</v>
      </c>
      <c r="F1140" s="6" t="s">
        <v>3133</v>
      </c>
      <c r="G1140" s="6" t="s">
        <v>3021</v>
      </c>
      <c r="H1140" s="8" t="s">
        <v>3023</v>
      </c>
      <c r="I1140" s="14">
        <v>45316</v>
      </c>
    </row>
    <row r="1141" spans="1:9" x14ac:dyDescent="0.15">
      <c r="A1141" s="5">
        <v>1140</v>
      </c>
      <c r="B1141" s="6" t="s">
        <v>9</v>
      </c>
      <c r="C1141" s="7">
        <v>1884</v>
      </c>
      <c r="D1141" s="8">
        <v>45402</v>
      </c>
      <c r="E1141" s="9" t="str">
        <f>+HYPERLINK("http://trademark.i-assist.jp/data/china/image_1884th/76600589.pdf", "76600589")</f>
        <v>76600589</v>
      </c>
      <c r="F1141" s="6" t="s">
        <v>3134</v>
      </c>
      <c r="G1141" s="6" t="s">
        <v>3006</v>
      </c>
      <c r="H1141" s="8" t="s">
        <v>3008</v>
      </c>
      <c r="I1141" s="14">
        <v>45316</v>
      </c>
    </row>
    <row r="1142" spans="1:9" x14ac:dyDescent="0.15">
      <c r="A1142" s="5">
        <v>1141</v>
      </c>
      <c r="B1142" s="6" t="s">
        <v>9</v>
      </c>
      <c r="C1142" s="7">
        <v>1884</v>
      </c>
      <c r="D1142" s="8">
        <v>45402</v>
      </c>
      <c r="E1142" s="9" t="str">
        <f>+HYPERLINK("http://trademark.i-assist.jp/data/china/image_1884th/76600712.pdf", "76600712")</f>
        <v>76600712</v>
      </c>
      <c r="F1142" s="6" t="s">
        <v>3136</v>
      </c>
      <c r="G1142" s="6" t="s">
        <v>3135</v>
      </c>
      <c r="H1142" s="8" t="s">
        <v>3137</v>
      </c>
      <c r="I1142" s="14">
        <v>45316</v>
      </c>
    </row>
    <row r="1143" spans="1:9" x14ac:dyDescent="0.15">
      <c r="A1143" s="5">
        <v>1142</v>
      </c>
      <c r="B1143" s="6" t="s">
        <v>9</v>
      </c>
      <c r="C1143" s="7">
        <v>1884</v>
      </c>
      <c r="D1143" s="8">
        <v>45402</v>
      </c>
      <c r="E1143" s="9" t="str">
        <f>+HYPERLINK("http://trademark.i-assist.jp/data/china/image_1884th/76600809.pdf", "76600809")</f>
        <v>76600809</v>
      </c>
      <c r="F1143" s="6" t="s">
        <v>3139</v>
      </c>
      <c r="G1143" s="6" t="s">
        <v>3138</v>
      </c>
      <c r="H1143" s="8" t="s">
        <v>3140</v>
      </c>
      <c r="I1143" s="14">
        <v>45316</v>
      </c>
    </row>
    <row r="1144" spans="1:9" x14ac:dyDescent="0.15">
      <c r="A1144" s="5">
        <v>1143</v>
      </c>
      <c r="B1144" s="6" t="s">
        <v>9</v>
      </c>
      <c r="C1144" s="7">
        <v>1884</v>
      </c>
      <c r="D1144" s="8">
        <v>45402</v>
      </c>
      <c r="E1144" s="9" t="str">
        <f>+HYPERLINK("http://trademark.i-assist.jp/data/china/image_1884th/76600958.pdf", "76600958")</f>
        <v>76600958</v>
      </c>
      <c r="F1144" s="6" t="s">
        <v>3142</v>
      </c>
      <c r="G1144" s="6" t="s">
        <v>3141</v>
      </c>
      <c r="H1144" s="8" t="s">
        <v>3143</v>
      </c>
      <c r="I1144" s="14">
        <v>45316</v>
      </c>
    </row>
    <row r="1145" spans="1:9" x14ac:dyDescent="0.15">
      <c r="A1145" s="5">
        <v>1144</v>
      </c>
      <c r="B1145" s="6" t="s">
        <v>9</v>
      </c>
      <c r="C1145" s="7">
        <v>1884</v>
      </c>
      <c r="D1145" s="8">
        <v>45402</v>
      </c>
      <c r="E1145" s="9" t="str">
        <f>+HYPERLINK("http://trademark.i-assist.jp/data/china/image_1884th/76601031.pdf", "76601031")</f>
        <v>76601031</v>
      </c>
      <c r="F1145" s="6" t="s">
        <v>3145</v>
      </c>
      <c r="G1145" s="6" t="s">
        <v>3144</v>
      </c>
      <c r="H1145" s="8" t="s">
        <v>3146</v>
      </c>
      <c r="I1145" s="14">
        <v>45316</v>
      </c>
    </row>
    <row r="1146" spans="1:9" x14ac:dyDescent="0.15">
      <c r="A1146" s="5">
        <v>1145</v>
      </c>
      <c r="B1146" s="6" t="s">
        <v>9</v>
      </c>
      <c r="C1146" s="7">
        <v>1884</v>
      </c>
      <c r="D1146" s="8">
        <v>45402</v>
      </c>
      <c r="E1146" s="9" t="str">
        <f>+HYPERLINK("http://trademark.i-assist.jp/data/china/image_1884th/76601034.pdf", "76601034")</f>
        <v>76601034</v>
      </c>
      <c r="F1146" s="6" t="s">
        <v>3148</v>
      </c>
      <c r="G1146" s="6" t="s">
        <v>3147</v>
      </c>
      <c r="H1146" s="8" t="s">
        <v>3149</v>
      </c>
      <c r="I1146" s="14">
        <v>45316</v>
      </c>
    </row>
    <row r="1147" spans="1:9" x14ac:dyDescent="0.15">
      <c r="A1147" s="5">
        <v>1146</v>
      </c>
      <c r="B1147" s="6" t="s">
        <v>9</v>
      </c>
      <c r="C1147" s="7">
        <v>1884</v>
      </c>
      <c r="D1147" s="8">
        <v>45402</v>
      </c>
      <c r="E1147" s="9" t="str">
        <f>+HYPERLINK("http://trademark.i-assist.jp/data/china/image_1884th/76601252.pdf", "76601252")</f>
        <v>76601252</v>
      </c>
      <c r="F1147" s="6" t="s">
        <v>3151</v>
      </c>
      <c r="G1147" s="6" t="s">
        <v>3150</v>
      </c>
      <c r="H1147" s="8" t="s">
        <v>3152</v>
      </c>
      <c r="I1147" s="14">
        <v>45316</v>
      </c>
    </row>
    <row r="1148" spans="1:9" x14ac:dyDescent="0.15">
      <c r="A1148" s="5">
        <v>1147</v>
      </c>
      <c r="B1148" s="6" t="s">
        <v>9</v>
      </c>
      <c r="C1148" s="7">
        <v>1884</v>
      </c>
      <c r="D1148" s="8">
        <v>45402</v>
      </c>
      <c r="E1148" s="9" t="str">
        <f>+HYPERLINK("http://trademark.i-assist.jp/data/china/image_1884th/76601375.pdf", "76601375")</f>
        <v>76601375</v>
      </c>
      <c r="F1148" s="6" t="s">
        <v>167</v>
      </c>
      <c r="G1148" s="6" t="s">
        <v>3153</v>
      </c>
      <c r="H1148" s="8" t="s">
        <v>3154</v>
      </c>
      <c r="I1148" s="14">
        <v>45316</v>
      </c>
    </row>
    <row r="1149" spans="1:9" x14ac:dyDescent="0.15">
      <c r="A1149" s="5">
        <v>1148</v>
      </c>
      <c r="B1149" s="6" t="s">
        <v>9</v>
      </c>
      <c r="C1149" s="7">
        <v>1884</v>
      </c>
      <c r="D1149" s="8">
        <v>45402</v>
      </c>
      <c r="E1149" s="9" t="str">
        <f>+HYPERLINK("http://trademark.i-assist.jp/data/china/image_1884th/76601427.pdf", "76601427")</f>
        <v>76601427</v>
      </c>
      <c r="F1149" s="6" t="s">
        <v>3156</v>
      </c>
      <c r="G1149" s="6" t="s">
        <v>3155</v>
      </c>
      <c r="H1149" s="8" t="s">
        <v>3157</v>
      </c>
      <c r="I1149" s="14">
        <v>45316</v>
      </c>
    </row>
    <row r="1150" spans="1:9" x14ac:dyDescent="0.15">
      <c r="A1150" s="5">
        <v>1149</v>
      </c>
      <c r="B1150" s="6" t="s">
        <v>9</v>
      </c>
      <c r="C1150" s="7">
        <v>1884</v>
      </c>
      <c r="D1150" s="8">
        <v>45402</v>
      </c>
      <c r="E1150" s="9" t="str">
        <f>+HYPERLINK("http://trademark.i-assist.jp/data/china/image_1884th/76601639.pdf", "76601639")</f>
        <v>76601639</v>
      </c>
      <c r="F1150" s="6" t="s">
        <v>3159</v>
      </c>
      <c r="G1150" s="6" t="s">
        <v>3158</v>
      </c>
      <c r="H1150" s="8" t="s">
        <v>3160</v>
      </c>
      <c r="I1150" s="14">
        <v>45316</v>
      </c>
    </row>
    <row r="1151" spans="1:9" x14ac:dyDescent="0.15">
      <c r="A1151" s="5">
        <v>1150</v>
      </c>
      <c r="B1151" s="6" t="s">
        <v>9</v>
      </c>
      <c r="C1151" s="7">
        <v>1884</v>
      </c>
      <c r="D1151" s="8">
        <v>45402</v>
      </c>
      <c r="E1151" s="9" t="str">
        <f>+HYPERLINK("http://trademark.i-assist.jp/data/china/image_1884th/76601732.pdf", "76601732")</f>
        <v>76601732</v>
      </c>
      <c r="F1151" s="6" t="s">
        <v>3162</v>
      </c>
      <c r="G1151" s="6" t="s">
        <v>3161</v>
      </c>
      <c r="H1151" s="8" t="s">
        <v>3163</v>
      </c>
      <c r="I1151" s="14">
        <v>45316</v>
      </c>
    </row>
    <row r="1152" spans="1:9" x14ac:dyDescent="0.15">
      <c r="A1152" s="5">
        <v>1151</v>
      </c>
      <c r="B1152" s="6" t="s">
        <v>9</v>
      </c>
      <c r="C1152" s="7">
        <v>1884</v>
      </c>
      <c r="D1152" s="8">
        <v>45402</v>
      </c>
      <c r="E1152" s="9" t="str">
        <f>+HYPERLINK("http://trademark.i-assist.jp/data/china/image_1884th/76601741.pdf", "76601741")</f>
        <v>76601741</v>
      </c>
      <c r="F1152" s="6" t="s">
        <v>3165</v>
      </c>
      <c r="G1152" s="6" t="s">
        <v>3164</v>
      </c>
      <c r="H1152" s="8" t="s">
        <v>2949</v>
      </c>
      <c r="I1152" s="14">
        <v>45316</v>
      </c>
    </row>
    <row r="1153" spans="1:9" x14ac:dyDescent="0.15">
      <c r="A1153" s="5">
        <v>1152</v>
      </c>
      <c r="B1153" s="6" t="s">
        <v>9</v>
      </c>
      <c r="C1153" s="7">
        <v>1884</v>
      </c>
      <c r="D1153" s="8">
        <v>45402</v>
      </c>
      <c r="E1153" s="9" t="str">
        <f>+HYPERLINK("http://trademark.i-assist.jp/data/china/image_1884th/76602057.pdf", "76602057")</f>
        <v>76602057</v>
      </c>
      <c r="F1153" s="6" t="s">
        <v>3167</v>
      </c>
      <c r="G1153" s="6" t="s">
        <v>3166</v>
      </c>
      <c r="H1153" s="8" t="s">
        <v>3168</v>
      </c>
      <c r="I1153" s="14">
        <v>45316</v>
      </c>
    </row>
    <row r="1154" spans="1:9" x14ac:dyDescent="0.15">
      <c r="A1154" s="5">
        <v>1153</v>
      </c>
      <c r="B1154" s="6" t="s">
        <v>9</v>
      </c>
      <c r="C1154" s="7">
        <v>1884</v>
      </c>
      <c r="D1154" s="8">
        <v>45402</v>
      </c>
      <c r="E1154" s="9" t="str">
        <f>+HYPERLINK("http://trademark.i-assist.jp/data/china/image_1884th/76602106.pdf", "76602106")</f>
        <v>76602106</v>
      </c>
      <c r="F1154" s="6" t="s">
        <v>3170</v>
      </c>
      <c r="G1154" s="6" t="s">
        <v>3169</v>
      </c>
      <c r="H1154" s="8" t="s">
        <v>3171</v>
      </c>
      <c r="I1154" s="14">
        <v>45316</v>
      </c>
    </row>
    <row r="1155" spans="1:9" x14ac:dyDescent="0.15">
      <c r="A1155" s="5">
        <v>1154</v>
      </c>
      <c r="B1155" s="6" t="s">
        <v>9</v>
      </c>
      <c r="C1155" s="7">
        <v>1884</v>
      </c>
      <c r="D1155" s="8">
        <v>45402</v>
      </c>
      <c r="E1155" s="9" t="str">
        <f>+HYPERLINK("http://trademark.i-assist.jp/data/china/image_1884th/76602271.pdf", "76602271")</f>
        <v>76602271</v>
      </c>
      <c r="F1155" s="6" t="s">
        <v>3173</v>
      </c>
      <c r="G1155" s="6" t="s">
        <v>3172</v>
      </c>
      <c r="H1155" s="8" t="s">
        <v>3174</v>
      </c>
      <c r="I1155" s="14">
        <v>45316</v>
      </c>
    </row>
    <row r="1156" spans="1:9" x14ac:dyDescent="0.15">
      <c r="A1156" s="5">
        <v>1155</v>
      </c>
      <c r="B1156" s="6" t="s">
        <v>9</v>
      </c>
      <c r="C1156" s="7">
        <v>1884</v>
      </c>
      <c r="D1156" s="8">
        <v>45402</v>
      </c>
      <c r="E1156" s="9" t="str">
        <f>+HYPERLINK("http://trademark.i-assist.jp/data/china/image_1884th/76602464.pdf", "76602464")</f>
        <v>76602464</v>
      </c>
      <c r="F1156" s="6" t="s">
        <v>3175</v>
      </c>
      <c r="G1156" s="6" t="s">
        <v>3012</v>
      </c>
      <c r="H1156" s="8" t="s">
        <v>3038</v>
      </c>
      <c r="I1156" s="14">
        <v>45316</v>
      </c>
    </row>
    <row r="1157" spans="1:9" x14ac:dyDescent="0.15">
      <c r="A1157" s="5">
        <v>1156</v>
      </c>
      <c r="B1157" s="6" t="s">
        <v>9</v>
      </c>
      <c r="C1157" s="7">
        <v>1884</v>
      </c>
      <c r="D1157" s="8">
        <v>45402</v>
      </c>
      <c r="E1157" s="9" t="str">
        <f>+HYPERLINK("http://trademark.i-assist.jp/data/china/image_1884th/76602606.pdf", "76602606")</f>
        <v>76602606</v>
      </c>
      <c r="F1157" s="6" t="s">
        <v>3177</v>
      </c>
      <c r="G1157" s="6" t="s">
        <v>3176</v>
      </c>
      <c r="H1157" s="8" t="s">
        <v>3178</v>
      </c>
      <c r="I1157" s="14">
        <v>45316</v>
      </c>
    </row>
    <row r="1158" spans="1:9" x14ac:dyDescent="0.15">
      <c r="A1158" s="5">
        <v>1157</v>
      </c>
      <c r="B1158" s="6" t="s">
        <v>9</v>
      </c>
      <c r="C1158" s="7">
        <v>1884</v>
      </c>
      <c r="D1158" s="8">
        <v>45402</v>
      </c>
      <c r="E1158" s="9" t="str">
        <f>+HYPERLINK("http://trademark.i-assist.jp/data/china/image_1884th/76602749.pdf", "76602749")</f>
        <v>76602749</v>
      </c>
      <c r="F1158" s="6" t="s">
        <v>167</v>
      </c>
      <c r="G1158" s="6" t="s">
        <v>3179</v>
      </c>
      <c r="H1158" s="8" t="s">
        <v>3180</v>
      </c>
      <c r="I1158" s="14">
        <v>45316</v>
      </c>
    </row>
    <row r="1159" spans="1:9" x14ac:dyDescent="0.15">
      <c r="A1159" s="5">
        <v>1158</v>
      </c>
      <c r="B1159" s="6" t="s">
        <v>9</v>
      </c>
      <c r="C1159" s="7">
        <v>1884</v>
      </c>
      <c r="D1159" s="8">
        <v>45402</v>
      </c>
      <c r="E1159" s="9" t="str">
        <f>+HYPERLINK("http://trademark.i-assist.jp/data/china/image_1884th/76602818.pdf", "76602818")</f>
        <v>76602818</v>
      </c>
      <c r="F1159" s="6" t="s">
        <v>3182</v>
      </c>
      <c r="G1159" s="6" t="s">
        <v>3181</v>
      </c>
      <c r="H1159" s="8" t="s">
        <v>3183</v>
      </c>
      <c r="I1159" s="14">
        <v>45316</v>
      </c>
    </row>
    <row r="1160" spans="1:9" x14ac:dyDescent="0.15">
      <c r="A1160" s="5">
        <v>1159</v>
      </c>
      <c r="B1160" s="6" t="s">
        <v>9</v>
      </c>
      <c r="C1160" s="7">
        <v>1884</v>
      </c>
      <c r="D1160" s="8">
        <v>45402</v>
      </c>
      <c r="E1160" s="9" t="str">
        <f>+HYPERLINK("http://trademark.i-assist.jp/data/china/image_1884th/76603019.pdf", "76603019")</f>
        <v>76603019</v>
      </c>
      <c r="F1160" s="6" t="s">
        <v>3185</v>
      </c>
      <c r="G1160" s="6" t="s">
        <v>3184</v>
      </c>
      <c r="H1160" s="8" t="s">
        <v>3186</v>
      </c>
      <c r="I1160" s="14">
        <v>45316</v>
      </c>
    </row>
    <row r="1161" spans="1:9" x14ac:dyDescent="0.15">
      <c r="A1161" s="5">
        <v>1160</v>
      </c>
      <c r="B1161" s="6" t="s">
        <v>9</v>
      </c>
      <c r="C1161" s="7">
        <v>1884</v>
      </c>
      <c r="D1161" s="8">
        <v>45402</v>
      </c>
      <c r="E1161" s="9" t="str">
        <f>+HYPERLINK("http://trademark.i-assist.jp/data/china/image_1884th/76603034.pdf", "76603034")</f>
        <v>76603034</v>
      </c>
      <c r="F1161" s="6" t="s">
        <v>3188</v>
      </c>
      <c r="G1161" s="6" t="s">
        <v>3187</v>
      </c>
      <c r="H1161" s="8" t="s">
        <v>3189</v>
      </c>
      <c r="I1161" s="14">
        <v>45316</v>
      </c>
    </row>
    <row r="1162" spans="1:9" x14ac:dyDescent="0.15">
      <c r="A1162" s="5">
        <v>1161</v>
      </c>
      <c r="B1162" s="6" t="s">
        <v>9</v>
      </c>
      <c r="C1162" s="7">
        <v>1884</v>
      </c>
      <c r="D1162" s="8">
        <v>45402</v>
      </c>
      <c r="E1162" s="9" t="str">
        <f>+HYPERLINK("http://trademark.i-assist.jp/data/china/image_1884th/76603424.pdf", "76603424")</f>
        <v>76603424</v>
      </c>
      <c r="F1162" s="6" t="s">
        <v>3191</v>
      </c>
      <c r="G1162" s="6" t="s">
        <v>3190</v>
      </c>
      <c r="H1162" s="8" t="s">
        <v>3192</v>
      </c>
      <c r="I1162" s="14">
        <v>45316</v>
      </c>
    </row>
    <row r="1163" spans="1:9" x14ac:dyDescent="0.15">
      <c r="A1163" s="5">
        <v>1162</v>
      </c>
      <c r="B1163" s="6" t="s">
        <v>9</v>
      </c>
      <c r="C1163" s="7">
        <v>1884</v>
      </c>
      <c r="D1163" s="8">
        <v>45402</v>
      </c>
      <c r="E1163" s="9" t="str">
        <f>+HYPERLINK("http://trademark.i-assist.jp/data/china/image_1884th/76603592.pdf", "76603592")</f>
        <v>76603592</v>
      </c>
      <c r="F1163" s="6" t="s">
        <v>3194</v>
      </c>
      <c r="G1163" s="6" t="s">
        <v>3193</v>
      </c>
      <c r="H1163" s="8" t="s">
        <v>3195</v>
      </c>
      <c r="I1163" s="14">
        <v>45316</v>
      </c>
    </row>
    <row r="1164" spans="1:9" x14ac:dyDescent="0.15">
      <c r="A1164" s="5">
        <v>1163</v>
      </c>
      <c r="B1164" s="6" t="s">
        <v>9</v>
      </c>
      <c r="C1164" s="7">
        <v>1884</v>
      </c>
      <c r="D1164" s="8">
        <v>45402</v>
      </c>
      <c r="E1164" s="9" t="str">
        <f>+HYPERLINK("http://trademark.i-assist.jp/data/china/image_1884th/76603824.pdf", "76603824")</f>
        <v>76603824</v>
      </c>
      <c r="F1164" s="6" t="s">
        <v>3197</v>
      </c>
      <c r="G1164" s="6" t="s">
        <v>3196</v>
      </c>
      <c r="H1164" s="8" t="s">
        <v>3198</v>
      </c>
      <c r="I1164" s="14">
        <v>45316</v>
      </c>
    </row>
    <row r="1165" spans="1:9" x14ac:dyDescent="0.15">
      <c r="A1165" s="5">
        <v>1164</v>
      </c>
      <c r="B1165" s="6" t="s">
        <v>9</v>
      </c>
      <c r="C1165" s="7">
        <v>1884</v>
      </c>
      <c r="D1165" s="8">
        <v>45402</v>
      </c>
      <c r="E1165" s="9" t="str">
        <f>+HYPERLINK("http://trademark.i-assist.jp/data/china/image_1884th/76603835.pdf", "76603835")</f>
        <v>76603835</v>
      </c>
      <c r="F1165" s="6" t="s">
        <v>3200</v>
      </c>
      <c r="G1165" s="6" t="s">
        <v>3199</v>
      </c>
      <c r="H1165" s="8" t="s">
        <v>3201</v>
      </c>
      <c r="I1165" s="14">
        <v>45316</v>
      </c>
    </row>
    <row r="1166" spans="1:9" x14ac:dyDescent="0.15">
      <c r="A1166" s="5">
        <v>1165</v>
      </c>
      <c r="B1166" s="6" t="s">
        <v>9</v>
      </c>
      <c r="C1166" s="7">
        <v>1884</v>
      </c>
      <c r="D1166" s="8">
        <v>45402</v>
      </c>
      <c r="E1166" s="9" t="str">
        <f>+HYPERLINK("http://trademark.i-assist.jp/data/china/image_1884th/76603865.pdf", "76603865")</f>
        <v>76603865</v>
      </c>
      <c r="F1166" s="6" t="s">
        <v>167</v>
      </c>
      <c r="G1166" s="6" t="s">
        <v>3202</v>
      </c>
      <c r="H1166" s="8" t="s">
        <v>3203</v>
      </c>
      <c r="I1166" s="14">
        <v>45316</v>
      </c>
    </row>
    <row r="1167" spans="1:9" x14ac:dyDescent="0.15">
      <c r="A1167" s="5">
        <v>1166</v>
      </c>
      <c r="B1167" s="6" t="s">
        <v>9</v>
      </c>
      <c r="C1167" s="7">
        <v>1884</v>
      </c>
      <c r="D1167" s="8">
        <v>45402</v>
      </c>
      <c r="E1167" s="9" t="str">
        <f>+HYPERLINK("http://trademark.i-assist.jp/data/china/image_1884th/76604105.pdf", "76604105")</f>
        <v>76604105</v>
      </c>
      <c r="F1167" s="6" t="s">
        <v>3205</v>
      </c>
      <c r="G1167" s="6" t="s">
        <v>3204</v>
      </c>
      <c r="H1167" s="8" t="s">
        <v>3206</v>
      </c>
      <c r="I1167" s="14">
        <v>45316</v>
      </c>
    </row>
    <row r="1168" spans="1:9" x14ac:dyDescent="0.15">
      <c r="A1168" s="5">
        <v>1167</v>
      </c>
      <c r="B1168" s="6" t="s">
        <v>9</v>
      </c>
      <c r="C1168" s="7">
        <v>1884</v>
      </c>
      <c r="D1168" s="8">
        <v>45402</v>
      </c>
      <c r="E1168" s="9" t="str">
        <f>+HYPERLINK("http://trademark.i-assist.jp/data/china/image_1884th/76604241.pdf", "76604241")</f>
        <v>76604241</v>
      </c>
      <c r="F1168" s="6" t="s">
        <v>3208</v>
      </c>
      <c r="G1168" s="6" t="s">
        <v>3207</v>
      </c>
      <c r="H1168" s="8" t="s">
        <v>3209</v>
      </c>
      <c r="I1168" s="14">
        <v>45316</v>
      </c>
    </row>
    <row r="1169" spans="1:9" x14ac:dyDescent="0.15">
      <c r="A1169" s="5">
        <v>1168</v>
      </c>
      <c r="B1169" s="6" t="s">
        <v>9</v>
      </c>
      <c r="C1169" s="7">
        <v>1884</v>
      </c>
      <c r="D1169" s="8">
        <v>45402</v>
      </c>
      <c r="E1169" s="9" t="str">
        <f>+HYPERLINK("http://trademark.i-assist.jp/data/china/image_1884th/76604663.pdf", "76604663")</f>
        <v>76604663</v>
      </c>
      <c r="F1169" s="6" t="s">
        <v>3116</v>
      </c>
      <c r="G1169" s="6" t="s">
        <v>3115</v>
      </c>
      <c r="H1169" s="8" t="s">
        <v>3210</v>
      </c>
      <c r="I1169" s="14">
        <v>45316</v>
      </c>
    </row>
    <row r="1170" spans="1:9" x14ac:dyDescent="0.15">
      <c r="A1170" s="5">
        <v>1169</v>
      </c>
      <c r="B1170" s="6" t="s">
        <v>9</v>
      </c>
      <c r="C1170" s="7">
        <v>1884</v>
      </c>
      <c r="D1170" s="8">
        <v>45402</v>
      </c>
      <c r="E1170" s="9" t="str">
        <f>+HYPERLINK("http://trademark.i-assist.jp/data/china/image_1884th/76604958.pdf", "76604958")</f>
        <v>76604958</v>
      </c>
      <c r="F1170" s="6" t="s">
        <v>3212</v>
      </c>
      <c r="G1170" s="6" t="s">
        <v>3211</v>
      </c>
      <c r="H1170" s="8" t="s">
        <v>3213</v>
      </c>
      <c r="I1170" s="14">
        <v>45316</v>
      </c>
    </row>
    <row r="1171" spans="1:9" x14ac:dyDescent="0.15">
      <c r="A1171" s="5">
        <v>1170</v>
      </c>
      <c r="B1171" s="6" t="s">
        <v>9</v>
      </c>
      <c r="C1171" s="7">
        <v>1884</v>
      </c>
      <c r="D1171" s="8">
        <v>45402</v>
      </c>
      <c r="E1171" s="9" t="str">
        <f>+HYPERLINK("http://trademark.i-assist.jp/data/china/image_1884th/76605059.pdf", "76605059")</f>
        <v>76605059</v>
      </c>
      <c r="F1171" s="6" t="s">
        <v>3215</v>
      </c>
      <c r="G1171" s="6" t="s">
        <v>3214</v>
      </c>
      <c r="H1171" s="8" t="s">
        <v>3216</v>
      </c>
      <c r="I1171" s="14">
        <v>45316</v>
      </c>
    </row>
    <row r="1172" spans="1:9" x14ac:dyDescent="0.15">
      <c r="A1172" s="5">
        <v>1171</v>
      </c>
      <c r="B1172" s="6" t="s">
        <v>9</v>
      </c>
      <c r="C1172" s="7">
        <v>1884</v>
      </c>
      <c r="D1172" s="8">
        <v>45402</v>
      </c>
      <c r="E1172" s="9" t="str">
        <f>+HYPERLINK("http://trademark.i-assist.jp/data/china/image_1884th/76605443.pdf", "76605443")</f>
        <v>76605443</v>
      </c>
      <c r="F1172" s="6" t="s">
        <v>3218</v>
      </c>
      <c r="G1172" s="6" t="s">
        <v>3217</v>
      </c>
      <c r="H1172" s="8" t="s">
        <v>3219</v>
      </c>
      <c r="I1172" s="14">
        <v>45316</v>
      </c>
    </row>
    <row r="1173" spans="1:9" x14ac:dyDescent="0.15">
      <c r="A1173" s="5">
        <v>1172</v>
      </c>
      <c r="B1173" s="6" t="s">
        <v>9</v>
      </c>
      <c r="C1173" s="7">
        <v>1884</v>
      </c>
      <c r="D1173" s="8">
        <v>45402</v>
      </c>
      <c r="E1173" s="9" t="str">
        <f>+HYPERLINK("http://trademark.i-assist.jp/data/china/image_1884th/76606547.pdf", "76606547")</f>
        <v>76606547</v>
      </c>
      <c r="F1173" s="6" t="s">
        <v>167</v>
      </c>
      <c r="G1173" s="6" t="s">
        <v>3220</v>
      </c>
      <c r="H1173" s="8" t="s">
        <v>3221</v>
      </c>
      <c r="I1173" s="14">
        <v>45316</v>
      </c>
    </row>
    <row r="1174" spans="1:9" x14ac:dyDescent="0.15">
      <c r="A1174" s="5">
        <v>1173</v>
      </c>
      <c r="B1174" s="6" t="s">
        <v>9</v>
      </c>
      <c r="C1174" s="7">
        <v>1884</v>
      </c>
      <c r="D1174" s="8">
        <v>45402</v>
      </c>
      <c r="E1174" s="9" t="str">
        <f>+HYPERLINK("http://trademark.i-assist.jp/data/china/image_1884th/76606565.pdf", "76606565")</f>
        <v>76606565</v>
      </c>
      <c r="F1174" s="6" t="s">
        <v>3223</v>
      </c>
      <c r="G1174" s="6" t="s">
        <v>3222</v>
      </c>
      <c r="H1174" s="8" t="s">
        <v>3224</v>
      </c>
      <c r="I1174" s="14">
        <v>45316</v>
      </c>
    </row>
    <row r="1175" spans="1:9" x14ac:dyDescent="0.15">
      <c r="A1175" s="5">
        <v>1174</v>
      </c>
      <c r="B1175" s="6" t="s">
        <v>9</v>
      </c>
      <c r="C1175" s="7">
        <v>1884</v>
      </c>
      <c r="D1175" s="8">
        <v>45402</v>
      </c>
      <c r="E1175" s="9" t="str">
        <f>+HYPERLINK("http://trademark.i-assist.jp/data/china/image_1884th/76606960.pdf", "76606960")</f>
        <v>76606960</v>
      </c>
      <c r="F1175" s="6" t="s">
        <v>3226</v>
      </c>
      <c r="G1175" s="6" t="s">
        <v>3225</v>
      </c>
      <c r="H1175" s="8" t="s">
        <v>3227</v>
      </c>
      <c r="I1175" s="14">
        <v>45316</v>
      </c>
    </row>
    <row r="1176" spans="1:9" x14ac:dyDescent="0.15">
      <c r="A1176" s="5">
        <v>1175</v>
      </c>
      <c r="B1176" s="6" t="s">
        <v>9</v>
      </c>
      <c r="C1176" s="7">
        <v>1884</v>
      </c>
      <c r="D1176" s="8">
        <v>45402</v>
      </c>
      <c r="E1176" s="9" t="str">
        <f>+HYPERLINK("http://trademark.i-assist.jp/data/china/image_1884th/76607093.pdf", "76607093")</f>
        <v>76607093</v>
      </c>
      <c r="F1176" s="6" t="s">
        <v>3228</v>
      </c>
      <c r="G1176" s="6" t="s">
        <v>3075</v>
      </c>
      <c r="H1176" s="8" t="s">
        <v>3229</v>
      </c>
      <c r="I1176" s="14">
        <v>45316</v>
      </c>
    </row>
    <row r="1177" spans="1:9" x14ac:dyDescent="0.15">
      <c r="A1177" s="5">
        <v>1176</v>
      </c>
      <c r="B1177" s="6" t="s">
        <v>9</v>
      </c>
      <c r="C1177" s="7">
        <v>1884</v>
      </c>
      <c r="D1177" s="8">
        <v>45402</v>
      </c>
      <c r="E1177" s="9" t="str">
        <f>+HYPERLINK("http://trademark.i-assist.jp/data/china/image_1884th/76607239.pdf", "76607239")</f>
        <v>76607239</v>
      </c>
      <c r="F1177" s="6" t="s">
        <v>3231</v>
      </c>
      <c r="G1177" s="6" t="s">
        <v>3230</v>
      </c>
      <c r="H1177" s="8" t="s">
        <v>3232</v>
      </c>
      <c r="I1177" s="14">
        <v>45316</v>
      </c>
    </row>
    <row r="1178" spans="1:9" x14ac:dyDescent="0.15">
      <c r="A1178" s="5">
        <v>1177</v>
      </c>
      <c r="B1178" s="6" t="s">
        <v>9</v>
      </c>
      <c r="C1178" s="7">
        <v>1884</v>
      </c>
      <c r="D1178" s="8">
        <v>45402</v>
      </c>
      <c r="E1178" s="9" t="str">
        <f>+HYPERLINK("http://trademark.i-assist.jp/data/china/image_1884th/76607463.pdf", "76607463")</f>
        <v>76607463</v>
      </c>
      <c r="F1178" s="6" t="s">
        <v>167</v>
      </c>
      <c r="G1178" s="6" t="s">
        <v>3153</v>
      </c>
      <c r="H1178" s="8" t="s">
        <v>3233</v>
      </c>
      <c r="I1178" s="14">
        <v>45316</v>
      </c>
    </row>
    <row r="1179" spans="1:9" x14ac:dyDescent="0.15">
      <c r="A1179" s="5">
        <v>1178</v>
      </c>
      <c r="B1179" s="6" t="s">
        <v>9</v>
      </c>
      <c r="C1179" s="7">
        <v>1884</v>
      </c>
      <c r="D1179" s="8">
        <v>45402</v>
      </c>
      <c r="E1179" s="9" t="str">
        <f>+HYPERLINK("http://trademark.i-assist.jp/data/china/image_1884th/76607874.pdf", "76607874")</f>
        <v>76607874</v>
      </c>
      <c r="F1179" s="6" t="s">
        <v>3235</v>
      </c>
      <c r="G1179" s="6" t="s">
        <v>3234</v>
      </c>
      <c r="H1179" s="8" t="s">
        <v>3236</v>
      </c>
      <c r="I1179" s="14">
        <v>45316</v>
      </c>
    </row>
    <row r="1180" spans="1:9" x14ac:dyDescent="0.15">
      <c r="A1180" s="5">
        <v>1179</v>
      </c>
      <c r="B1180" s="6" t="s">
        <v>9</v>
      </c>
      <c r="C1180" s="7">
        <v>1884</v>
      </c>
      <c r="D1180" s="8">
        <v>45402</v>
      </c>
      <c r="E1180" s="9" t="str">
        <f>+HYPERLINK("http://trademark.i-assist.jp/data/china/image_1884th/76607901.pdf", "76607901")</f>
        <v>76607901</v>
      </c>
      <c r="F1180" s="6" t="s">
        <v>3238</v>
      </c>
      <c r="G1180" s="6" t="s">
        <v>3237</v>
      </c>
      <c r="H1180" s="8" t="s">
        <v>3239</v>
      </c>
      <c r="I1180" s="14">
        <v>45316</v>
      </c>
    </row>
    <row r="1181" spans="1:9" x14ac:dyDescent="0.15">
      <c r="A1181" s="5">
        <v>1180</v>
      </c>
      <c r="B1181" s="6" t="s">
        <v>9</v>
      </c>
      <c r="C1181" s="7">
        <v>1884</v>
      </c>
      <c r="D1181" s="8">
        <v>45402</v>
      </c>
      <c r="E1181" s="9" t="str">
        <f>+HYPERLINK("http://trademark.i-assist.jp/data/china/image_1884th/76607952.pdf", "76607952")</f>
        <v>76607952</v>
      </c>
      <c r="F1181" s="6" t="s">
        <v>3241</v>
      </c>
      <c r="G1181" s="6" t="s">
        <v>3240</v>
      </c>
      <c r="H1181" s="8" t="s">
        <v>3242</v>
      </c>
      <c r="I1181" s="14">
        <v>45316</v>
      </c>
    </row>
    <row r="1182" spans="1:9" x14ac:dyDescent="0.15">
      <c r="A1182" s="5">
        <v>1181</v>
      </c>
      <c r="B1182" s="6" t="s">
        <v>9</v>
      </c>
      <c r="C1182" s="7">
        <v>1884</v>
      </c>
      <c r="D1182" s="8">
        <v>45402</v>
      </c>
      <c r="E1182" s="9" t="str">
        <f>+HYPERLINK("http://trademark.i-assist.jp/data/china/image_1884th/76608163.pdf", "76608163")</f>
        <v>76608163</v>
      </c>
      <c r="F1182" s="6" t="s">
        <v>3243</v>
      </c>
      <c r="G1182" s="6" t="s">
        <v>3225</v>
      </c>
      <c r="H1182" s="8" t="s">
        <v>3244</v>
      </c>
      <c r="I1182" s="14">
        <v>45316</v>
      </c>
    </row>
    <row r="1183" spans="1:9" x14ac:dyDescent="0.15">
      <c r="A1183" s="5">
        <v>1182</v>
      </c>
      <c r="B1183" s="6" t="s">
        <v>9</v>
      </c>
      <c r="C1183" s="7">
        <v>1884</v>
      </c>
      <c r="D1183" s="8">
        <v>45402</v>
      </c>
      <c r="E1183" s="9" t="str">
        <f>+HYPERLINK("http://trademark.i-assist.jp/data/china/image_1884th/76608197.pdf", "76608197")</f>
        <v>76608197</v>
      </c>
      <c r="F1183" s="6" t="s">
        <v>3245</v>
      </c>
      <c r="G1183" s="6" t="s">
        <v>3199</v>
      </c>
      <c r="H1183" s="8" t="s">
        <v>3246</v>
      </c>
      <c r="I1183" s="14">
        <v>45316</v>
      </c>
    </row>
    <row r="1184" spans="1:9" x14ac:dyDescent="0.15">
      <c r="A1184" s="5">
        <v>1183</v>
      </c>
      <c r="B1184" s="6" t="s">
        <v>9</v>
      </c>
      <c r="C1184" s="7">
        <v>1884</v>
      </c>
      <c r="D1184" s="8">
        <v>45402</v>
      </c>
      <c r="E1184" s="9" t="str">
        <f>+HYPERLINK("http://trademark.i-assist.jp/data/china/image_1884th/76608282.pdf", "76608282")</f>
        <v>76608282</v>
      </c>
      <c r="F1184" s="6" t="s">
        <v>3247</v>
      </c>
      <c r="G1184" s="6" t="s">
        <v>1498</v>
      </c>
      <c r="H1184" s="8" t="s">
        <v>3248</v>
      </c>
      <c r="I1184" s="14">
        <v>45316</v>
      </c>
    </row>
    <row r="1185" spans="1:9" x14ac:dyDescent="0.15">
      <c r="A1185" s="5">
        <v>1184</v>
      </c>
      <c r="B1185" s="6" t="s">
        <v>9</v>
      </c>
      <c r="C1185" s="7">
        <v>1884</v>
      </c>
      <c r="D1185" s="8">
        <v>45402</v>
      </c>
      <c r="E1185" s="9" t="str">
        <f>+HYPERLINK("http://trademark.i-assist.jp/data/china/image_1884th/76608303.pdf", "76608303")</f>
        <v>76608303</v>
      </c>
      <c r="F1185" s="6" t="s">
        <v>3250</v>
      </c>
      <c r="G1185" s="6" t="s">
        <v>3249</v>
      </c>
      <c r="H1185" s="8" t="s">
        <v>3251</v>
      </c>
      <c r="I1185" s="14">
        <v>45316</v>
      </c>
    </row>
    <row r="1186" spans="1:9" x14ac:dyDescent="0.15">
      <c r="A1186" s="5">
        <v>1185</v>
      </c>
      <c r="B1186" s="6" t="s">
        <v>9</v>
      </c>
      <c r="C1186" s="7">
        <v>1884</v>
      </c>
      <c r="D1186" s="8">
        <v>45402</v>
      </c>
      <c r="E1186" s="9" t="str">
        <f>+HYPERLINK("http://trademark.i-assist.jp/data/china/image_1884th/76608704.pdf", "76608704")</f>
        <v>76608704</v>
      </c>
      <c r="F1186" s="6" t="s">
        <v>3252</v>
      </c>
      <c r="G1186" s="6" t="s">
        <v>3012</v>
      </c>
      <c r="H1186" s="8" t="s">
        <v>3253</v>
      </c>
      <c r="I1186" s="14">
        <v>45316</v>
      </c>
    </row>
    <row r="1187" spans="1:9" x14ac:dyDescent="0.15">
      <c r="A1187" s="5">
        <v>1186</v>
      </c>
      <c r="B1187" s="6" t="s">
        <v>9</v>
      </c>
      <c r="C1187" s="7">
        <v>1884</v>
      </c>
      <c r="D1187" s="8">
        <v>45402</v>
      </c>
      <c r="E1187" s="9" t="str">
        <f>+HYPERLINK("http://trademark.i-assist.jp/data/china/image_1884th/76609197.pdf", "76609197")</f>
        <v>76609197</v>
      </c>
      <c r="F1187" s="6" t="s">
        <v>3255</v>
      </c>
      <c r="G1187" s="6" t="s">
        <v>3254</v>
      </c>
      <c r="H1187" s="8" t="s">
        <v>3256</v>
      </c>
      <c r="I1187" s="14">
        <v>45316</v>
      </c>
    </row>
    <row r="1188" spans="1:9" x14ac:dyDescent="0.15">
      <c r="A1188" s="5">
        <v>1187</v>
      </c>
      <c r="B1188" s="6" t="s">
        <v>9</v>
      </c>
      <c r="C1188" s="7">
        <v>1884</v>
      </c>
      <c r="D1188" s="8">
        <v>45402</v>
      </c>
      <c r="E1188" s="9" t="str">
        <f>+HYPERLINK("http://trademark.i-assist.jp/data/china/image_1884th/76609330.pdf", "76609330")</f>
        <v>76609330</v>
      </c>
      <c r="F1188" s="6" t="s">
        <v>3258</v>
      </c>
      <c r="G1188" s="6" t="s">
        <v>3257</v>
      </c>
      <c r="H1188" s="8" t="s">
        <v>3259</v>
      </c>
      <c r="I1188" s="14">
        <v>45316</v>
      </c>
    </row>
    <row r="1189" spans="1:9" x14ac:dyDescent="0.15">
      <c r="A1189" s="5">
        <v>1188</v>
      </c>
      <c r="B1189" s="6" t="s">
        <v>9</v>
      </c>
      <c r="C1189" s="7">
        <v>1884</v>
      </c>
      <c r="D1189" s="8">
        <v>45402</v>
      </c>
      <c r="E1189" s="9" t="str">
        <f>+HYPERLINK("http://trademark.i-assist.jp/data/china/image_1884th/76609673.pdf", "76609673")</f>
        <v>76609673</v>
      </c>
      <c r="F1189" s="6" t="s">
        <v>3261</v>
      </c>
      <c r="G1189" s="6" t="s">
        <v>3260</v>
      </c>
      <c r="H1189" s="8" t="s">
        <v>3262</v>
      </c>
      <c r="I1189" s="14">
        <v>45316</v>
      </c>
    </row>
    <row r="1190" spans="1:9" x14ac:dyDescent="0.15">
      <c r="A1190" s="5">
        <v>1189</v>
      </c>
      <c r="B1190" s="6" t="s">
        <v>9</v>
      </c>
      <c r="C1190" s="7">
        <v>1884</v>
      </c>
      <c r="D1190" s="8">
        <v>45402</v>
      </c>
      <c r="E1190" s="9" t="str">
        <f>+HYPERLINK("http://trademark.i-assist.jp/data/china/image_1884th/76610056.pdf", "76610056")</f>
        <v>76610056</v>
      </c>
      <c r="F1190" s="6" t="s">
        <v>3264</v>
      </c>
      <c r="G1190" s="6" t="s">
        <v>3263</v>
      </c>
      <c r="H1190" s="8" t="s">
        <v>3114</v>
      </c>
      <c r="I1190" s="14">
        <v>45316</v>
      </c>
    </row>
    <row r="1191" spans="1:9" x14ac:dyDescent="0.15">
      <c r="A1191" s="5">
        <v>1190</v>
      </c>
      <c r="B1191" s="6" t="s">
        <v>9</v>
      </c>
      <c r="C1191" s="7">
        <v>1884</v>
      </c>
      <c r="D1191" s="8">
        <v>45402</v>
      </c>
      <c r="E1191" s="9" t="str">
        <f>+HYPERLINK("http://trademark.i-assist.jp/data/china/image_1884th/76610203.pdf", "76610203")</f>
        <v>76610203</v>
      </c>
      <c r="F1191" s="6" t="s">
        <v>3265</v>
      </c>
      <c r="G1191" s="6" t="s">
        <v>3225</v>
      </c>
      <c r="H1191" s="8" t="s">
        <v>3266</v>
      </c>
      <c r="I1191" s="14">
        <v>45316</v>
      </c>
    </row>
    <row r="1192" spans="1:9" x14ac:dyDescent="0.15">
      <c r="A1192" s="5">
        <v>1191</v>
      </c>
      <c r="B1192" s="6" t="s">
        <v>9</v>
      </c>
      <c r="C1192" s="7">
        <v>1884</v>
      </c>
      <c r="D1192" s="8">
        <v>45402</v>
      </c>
      <c r="E1192" s="9" t="str">
        <f>+HYPERLINK("http://trademark.i-assist.jp/data/china/image_1884th/76610209.pdf", "76610209")</f>
        <v>76610209</v>
      </c>
      <c r="F1192" s="6" t="s">
        <v>3267</v>
      </c>
      <c r="G1192" s="6" t="s">
        <v>3225</v>
      </c>
      <c r="H1192" s="8" t="s">
        <v>3268</v>
      </c>
      <c r="I1192" s="14">
        <v>45316</v>
      </c>
    </row>
    <row r="1193" spans="1:9" x14ac:dyDescent="0.15">
      <c r="A1193" s="5">
        <v>1192</v>
      </c>
      <c r="B1193" s="6" t="s">
        <v>9</v>
      </c>
      <c r="C1193" s="7">
        <v>1884</v>
      </c>
      <c r="D1193" s="8">
        <v>45402</v>
      </c>
      <c r="E1193" s="9" t="str">
        <f>+HYPERLINK("http://trademark.i-assist.jp/data/china/image_1884th/76610223.pdf", "76610223")</f>
        <v>76610223</v>
      </c>
      <c r="F1193" s="6" t="s">
        <v>3270</v>
      </c>
      <c r="G1193" s="6" t="s">
        <v>3269</v>
      </c>
      <c r="H1193" s="8" t="s">
        <v>3271</v>
      </c>
      <c r="I1193" s="14">
        <v>45316</v>
      </c>
    </row>
    <row r="1194" spans="1:9" x14ac:dyDescent="0.15">
      <c r="A1194" s="5">
        <v>1193</v>
      </c>
      <c r="B1194" s="6" t="s">
        <v>9</v>
      </c>
      <c r="C1194" s="7">
        <v>1884</v>
      </c>
      <c r="D1194" s="8">
        <v>45402</v>
      </c>
      <c r="E1194" s="9" t="str">
        <f>+HYPERLINK("http://trademark.i-assist.jp/data/china/image_1884th/76610318.pdf", "76610318")</f>
        <v>76610318</v>
      </c>
      <c r="F1194" s="6" t="s">
        <v>3273</v>
      </c>
      <c r="G1194" s="6" t="s">
        <v>3272</v>
      </c>
      <c r="H1194" s="8" t="s">
        <v>3274</v>
      </c>
      <c r="I1194" s="14">
        <v>45316</v>
      </c>
    </row>
    <row r="1195" spans="1:9" x14ac:dyDescent="0.15">
      <c r="A1195" s="5">
        <v>1194</v>
      </c>
      <c r="B1195" s="6" t="s">
        <v>9</v>
      </c>
      <c r="C1195" s="7">
        <v>1884</v>
      </c>
      <c r="D1195" s="8">
        <v>45402</v>
      </c>
      <c r="E1195" s="9" t="str">
        <f>+HYPERLINK("http://trademark.i-assist.jp/data/china/image_1884th/76610339.pdf", "76610339")</f>
        <v>76610339</v>
      </c>
      <c r="F1195" s="6" t="s">
        <v>3276</v>
      </c>
      <c r="G1195" s="6" t="s">
        <v>3275</v>
      </c>
      <c r="H1195" s="8" t="s">
        <v>3277</v>
      </c>
      <c r="I1195" s="14">
        <v>45316</v>
      </c>
    </row>
    <row r="1196" spans="1:9" x14ac:dyDescent="0.15">
      <c r="A1196" s="5">
        <v>1195</v>
      </c>
      <c r="B1196" s="6" t="s">
        <v>9</v>
      </c>
      <c r="C1196" s="7">
        <v>1884</v>
      </c>
      <c r="D1196" s="8">
        <v>45402</v>
      </c>
      <c r="E1196" s="9" t="str">
        <f>+HYPERLINK("http://trademark.i-assist.jp/data/china/image_1884th/76610644.pdf", "76610644")</f>
        <v>76610644</v>
      </c>
      <c r="F1196" s="6" t="s">
        <v>3279</v>
      </c>
      <c r="G1196" s="6" t="s">
        <v>3278</v>
      </c>
      <c r="H1196" s="8" t="s">
        <v>3280</v>
      </c>
      <c r="I1196" s="14">
        <v>45316</v>
      </c>
    </row>
    <row r="1197" spans="1:9" x14ac:dyDescent="0.15">
      <c r="A1197" s="5">
        <v>1196</v>
      </c>
      <c r="B1197" s="6" t="s">
        <v>9</v>
      </c>
      <c r="C1197" s="7">
        <v>1884</v>
      </c>
      <c r="D1197" s="8">
        <v>45402</v>
      </c>
      <c r="E1197" s="9" t="str">
        <f>+HYPERLINK("http://trademark.i-assist.jp/data/china/image_1884th/76610881.pdf", "76610881")</f>
        <v>76610881</v>
      </c>
      <c r="F1197" s="6" t="s">
        <v>3282</v>
      </c>
      <c r="G1197" s="6" t="s">
        <v>3281</v>
      </c>
      <c r="H1197" s="8" t="s">
        <v>3283</v>
      </c>
      <c r="I1197" s="14">
        <v>45316</v>
      </c>
    </row>
    <row r="1198" spans="1:9" x14ac:dyDescent="0.15">
      <c r="A1198" s="5">
        <v>1197</v>
      </c>
      <c r="B1198" s="6" t="s">
        <v>9</v>
      </c>
      <c r="C1198" s="7">
        <v>1884</v>
      </c>
      <c r="D1198" s="8">
        <v>45402</v>
      </c>
      <c r="E1198" s="9" t="str">
        <f>+HYPERLINK("http://trademark.i-assist.jp/data/china/image_1884th/76611178.pdf", "76611178")</f>
        <v>76611178</v>
      </c>
      <c r="F1198" s="6" t="s">
        <v>167</v>
      </c>
      <c r="G1198" s="6" t="s">
        <v>3179</v>
      </c>
      <c r="H1198" s="8" t="s">
        <v>3284</v>
      </c>
      <c r="I1198" s="14">
        <v>45316</v>
      </c>
    </row>
    <row r="1199" spans="1:9" x14ac:dyDescent="0.15">
      <c r="A1199" s="5">
        <v>1198</v>
      </c>
      <c r="B1199" s="6" t="s">
        <v>9</v>
      </c>
      <c r="C1199" s="7">
        <v>1884</v>
      </c>
      <c r="D1199" s="8">
        <v>45402</v>
      </c>
      <c r="E1199" s="9" t="str">
        <f>+HYPERLINK("http://trademark.i-assist.jp/data/china/image_1884th/76611199.pdf", "76611199")</f>
        <v>76611199</v>
      </c>
      <c r="F1199" s="6" t="s">
        <v>3286</v>
      </c>
      <c r="G1199" s="6" t="s">
        <v>3285</v>
      </c>
      <c r="H1199" s="8" t="s">
        <v>3287</v>
      </c>
      <c r="I1199" s="14">
        <v>45316</v>
      </c>
    </row>
    <row r="1200" spans="1:9" x14ac:dyDescent="0.15">
      <c r="A1200" s="5">
        <v>1199</v>
      </c>
      <c r="B1200" s="6" t="s">
        <v>9</v>
      </c>
      <c r="C1200" s="7">
        <v>1884</v>
      </c>
      <c r="D1200" s="8">
        <v>45402</v>
      </c>
      <c r="E1200" s="9" t="str">
        <f>+HYPERLINK("http://trademark.i-assist.jp/data/china/image_1884th/76611204.pdf", "76611204")</f>
        <v>76611204</v>
      </c>
      <c r="F1200" s="6" t="s">
        <v>3289</v>
      </c>
      <c r="G1200" s="6" t="s">
        <v>3288</v>
      </c>
      <c r="H1200" s="8" t="s">
        <v>3290</v>
      </c>
      <c r="I1200" s="14">
        <v>45316</v>
      </c>
    </row>
    <row r="1201" spans="1:9" x14ac:dyDescent="0.15">
      <c r="A1201" s="5">
        <v>1200</v>
      </c>
      <c r="B1201" s="6" t="s">
        <v>9</v>
      </c>
      <c r="C1201" s="7">
        <v>1884</v>
      </c>
      <c r="D1201" s="8">
        <v>45402</v>
      </c>
      <c r="E1201" s="9" t="str">
        <f>+HYPERLINK("http://trademark.i-assist.jp/data/china/image_1884th/76612138.pdf", "76612138")</f>
        <v>76612138</v>
      </c>
      <c r="F1201" s="6" t="s">
        <v>3292</v>
      </c>
      <c r="G1201" s="6" t="s">
        <v>3291</v>
      </c>
      <c r="H1201" s="8" t="s">
        <v>3293</v>
      </c>
      <c r="I1201" s="14">
        <v>45316</v>
      </c>
    </row>
    <row r="1202" spans="1:9" x14ac:dyDescent="0.15">
      <c r="A1202" s="5">
        <v>1201</v>
      </c>
      <c r="B1202" s="6" t="s">
        <v>9</v>
      </c>
      <c r="C1202" s="7">
        <v>1884</v>
      </c>
      <c r="D1202" s="8">
        <v>45402</v>
      </c>
      <c r="E1202" s="9" t="str">
        <f>+HYPERLINK("http://trademark.i-assist.jp/data/china/image_1884th/76612155.pdf", "76612155")</f>
        <v>76612155</v>
      </c>
      <c r="F1202" s="6" t="s">
        <v>3294</v>
      </c>
      <c r="G1202" s="6" t="s">
        <v>3075</v>
      </c>
      <c r="H1202" s="8" t="s">
        <v>3295</v>
      </c>
      <c r="I1202" s="14">
        <v>45316</v>
      </c>
    </row>
    <row r="1203" spans="1:9" x14ac:dyDescent="0.15">
      <c r="A1203" s="5">
        <v>1202</v>
      </c>
      <c r="B1203" s="6" t="s">
        <v>9</v>
      </c>
      <c r="C1203" s="7">
        <v>1884</v>
      </c>
      <c r="D1203" s="8">
        <v>45402</v>
      </c>
      <c r="E1203" s="9" t="str">
        <f>+HYPERLINK("http://trademark.i-assist.jp/data/china/image_1884th/76612514.pdf", "76612514")</f>
        <v>76612514</v>
      </c>
      <c r="F1203" s="6" t="s">
        <v>3296</v>
      </c>
      <c r="G1203" s="6" t="s">
        <v>1261</v>
      </c>
      <c r="H1203" s="8" t="s">
        <v>3297</v>
      </c>
      <c r="I1203" s="14">
        <v>45316</v>
      </c>
    </row>
    <row r="1204" spans="1:9" x14ac:dyDescent="0.15">
      <c r="A1204" s="5">
        <v>1203</v>
      </c>
      <c r="B1204" s="6" t="s">
        <v>9</v>
      </c>
      <c r="C1204" s="7">
        <v>1884</v>
      </c>
      <c r="D1204" s="8">
        <v>45402</v>
      </c>
      <c r="E1204" s="9" t="str">
        <f>+HYPERLINK("http://trademark.i-assist.jp/data/china/image_1884th/76612791.pdf", "76612791")</f>
        <v>76612791</v>
      </c>
      <c r="F1204" s="6" t="s">
        <v>167</v>
      </c>
      <c r="G1204" s="6" t="s">
        <v>3179</v>
      </c>
      <c r="H1204" s="8" t="s">
        <v>3298</v>
      </c>
      <c r="I1204" s="14">
        <v>45316</v>
      </c>
    </row>
    <row r="1205" spans="1:9" x14ac:dyDescent="0.15">
      <c r="A1205" s="5">
        <v>1204</v>
      </c>
      <c r="B1205" s="6" t="s">
        <v>9</v>
      </c>
      <c r="C1205" s="7">
        <v>1884</v>
      </c>
      <c r="D1205" s="8">
        <v>45402</v>
      </c>
      <c r="E1205" s="9" t="str">
        <f>+HYPERLINK("http://trademark.i-assist.jp/data/china/image_1884th/76612905.pdf", "76612905")</f>
        <v>76612905</v>
      </c>
      <c r="F1205" s="6" t="s">
        <v>3300</v>
      </c>
      <c r="G1205" s="6" t="s">
        <v>3299</v>
      </c>
      <c r="H1205" s="8" t="s">
        <v>3301</v>
      </c>
      <c r="I1205" s="14">
        <v>45316</v>
      </c>
    </row>
    <row r="1206" spans="1:9" x14ac:dyDescent="0.15">
      <c r="A1206" s="5">
        <v>1205</v>
      </c>
      <c r="B1206" s="6" t="s">
        <v>9</v>
      </c>
      <c r="C1206" s="7">
        <v>1884</v>
      </c>
      <c r="D1206" s="8">
        <v>45402</v>
      </c>
      <c r="E1206" s="9" t="str">
        <f>+HYPERLINK("http://trademark.i-assist.jp/data/china/image_1884th/76613449.pdf", "76613449")</f>
        <v>76613449</v>
      </c>
      <c r="F1206" s="6" t="s">
        <v>3303</v>
      </c>
      <c r="G1206" s="6" t="s">
        <v>3302</v>
      </c>
      <c r="H1206" s="8" t="s">
        <v>3304</v>
      </c>
      <c r="I1206" s="14">
        <v>45316</v>
      </c>
    </row>
    <row r="1207" spans="1:9" x14ac:dyDescent="0.15">
      <c r="A1207" s="5">
        <v>1206</v>
      </c>
      <c r="B1207" s="6" t="s">
        <v>9</v>
      </c>
      <c r="C1207" s="7">
        <v>1884</v>
      </c>
      <c r="D1207" s="8">
        <v>45402</v>
      </c>
      <c r="E1207" s="9" t="str">
        <f>+HYPERLINK("http://trademark.i-assist.jp/data/china/image_1884th/76613485.pdf", "76613485")</f>
        <v>76613485</v>
      </c>
      <c r="F1207" s="6" t="s">
        <v>3306</v>
      </c>
      <c r="G1207" s="6" t="s">
        <v>3305</v>
      </c>
      <c r="H1207" s="8" t="s">
        <v>3307</v>
      </c>
      <c r="I1207" s="14">
        <v>45316</v>
      </c>
    </row>
    <row r="1208" spans="1:9" x14ac:dyDescent="0.15">
      <c r="A1208" s="5">
        <v>1207</v>
      </c>
      <c r="B1208" s="6" t="s">
        <v>9</v>
      </c>
      <c r="C1208" s="7">
        <v>1884</v>
      </c>
      <c r="D1208" s="8">
        <v>45402</v>
      </c>
      <c r="E1208" s="9" t="str">
        <f>+HYPERLINK("http://trademark.i-assist.jp/data/china/image_1884th/76614050.pdf", "76614050")</f>
        <v>76614050</v>
      </c>
      <c r="F1208" s="6" t="s">
        <v>3309</v>
      </c>
      <c r="G1208" s="6" t="s">
        <v>3308</v>
      </c>
      <c r="H1208" s="8" t="s">
        <v>3310</v>
      </c>
      <c r="I1208" s="14">
        <v>45316</v>
      </c>
    </row>
    <row r="1209" spans="1:9" x14ac:dyDescent="0.15">
      <c r="A1209" s="5">
        <v>1208</v>
      </c>
      <c r="B1209" s="6" t="s">
        <v>9</v>
      </c>
      <c r="C1209" s="7">
        <v>1884</v>
      </c>
      <c r="D1209" s="8">
        <v>45402</v>
      </c>
      <c r="E1209" s="9" t="str">
        <f>+HYPERLINK("http://trademark.i-assist.jp/data/china/image_1884th/76614165.pdf", "76614165")</f>
        <v>76614165</v>
      </c>
      <c r="F1209" s="6" t="s">
        <v>3312</v>
      </c>
      <c r="G1209" s="6" t="s">
        <v>3311</v>
      </c>
      <c r="H1209" s="8" t="s">
        <v>3313</v>
      </c>
      <c r="I1209" s="14">
        <v>45316</v>
      </c>
    </row>
    <row r="1210" spans="1:9" x14ac:dyDescent="0.15">
      <c r="A1210" s="5">
        <v>1209</v>
      </c>
      <c r="B1210" s="6" t="s">
        <v>9</v>
      </c>
      <c r="C1210" s="7">
        <v>1884</v>
      </c>
      <c r="D1210" s="8">
        <v>45402</v>
      </c>
      <c r="E1210" s="9" t="str">
        <f>+HYPERLINK("http://trademark.i-assist.jp/data/china/image_1884th/76614207.pdf", "76614207")</f>
        <v>76614207</v>
      </c>
      <c r="F1210" s="6" t="s">
        <v>3315</v>
      </c>
      <c r="G1210" s="6" t="s">
        <v>3314</v>
      </c>
      <c r="H1210" s="8"/>
      <c r="I1210" s="14">
        <v>45316</v>
      </c>
    </row>
    <row r="1211" spans="1:9" x14ac:dyDescent="0.15">
      <c r="A1211" s="5">
        <v>1210</v>
      </c>
      <c r="B1211" s="6" t="s">
        <v>9</v>
      </c>
      <c r="C1211" s="7">
        <v>1884</v>
      </c>
      <c r="D1211" s="8">
        <v>45402</v>
      </c>
      <c r="E1211" s="9" t="str">
        <f>+HYPERLINK("http://trademark.i-assist.jp/data/china/image_1884th/76614855.pdf", "76614855")</f>
        <v>76614855</v>
      </c>
      <c r="F1211" s="6" t="s">
        <v>3317</v>
      </c>
      <c r="G1211" s="6" t="s">
        <v>3316</v>
      </c>
      <c r="H1211" s="8" t="s">
        <v>3318</v>
      </c>
      <c r="I1211" s="14">
        <v>45316</v>
      </c>
    </row>
    <row r="1212" spans="1:9" x14ac:dyDescent="0.15">
      <c r="A1212" s="5">
        <v>1211</v>
      </c>
      <c r="B1212" s="6" t="s">
        <v>9</v>
      </c>
      <c r="C1212" s="7">
        <v>1884</v>
      </c>
      <c r="D1212" s="8">
        <v>45402</v>
      </c>
      <c r="E1212" s="9" t="str">
        <f>+HYPERLINK("http://trademark.i-assist.jp/data/china/image_1884th/76614895.pdf", "76614895")</f>
        <v>76614895</v>
      </c>
      <c r="F1212" s="6" t="s">
        <v>3320</v>
      </c>
      <c r="G1212" s="6" t="s">
        <v>3319</v>
      </c>
      <c r="H1212" s="8" t="s">
        <v>3321</v>
      </c>
      <c r="I1212" s="14">
        <v>45316</v>
      </c>
    </row>
    <row r="1213" spans="1:9" x14ac:dyDescent="0.15">
      <c r="A1213" s="5">
        <v>1212</v>
      </c>
      <c r="B1213" s="6" t="s">
        <v>9</v>
      </c>
      <c r="C1213" s="7">
        <v>1884</v>
      </c>
      <c r="D1213" s="8">
        <v>45402</v>
      </c>
      <c r="E1213" s="9" t="str">
        <f>+HYPERLINK("http://trademark.i-assist.jp/data/china/image_1884th/76614935.pdf", "76614935")</f>
        <v>76614935</v>
      </c>
      <c r="F1213" s="6" t="s">
        <v>3323</v>
      </c>
      <c r="G1213" s="6" t="s">
        <v>3322</v>
      </c>
      <c r="H1213" s="8" t="s">
        <v>3324</v>
      </c>
      <c r="I1213" s="14">
        <v>45316</v>
      </c>
    </row>
    <row r="1214" spans="1:9" x14ac:dyDescent="0.15">
      <c r="A1214" s="5">
        <v>1213</v>
      </c>
      <c r="B1214" s="6" t="s">
        <v>9</v>
      </c>
      <c r="C1214" s="7">
        <v>1884</v>
      </c>
      <c r="D1214" s="8">
        <v>45402</v>
      </c>
      <c r="E1214" s="9" t="str">
        <f>+HYPERLINK("http://trademark.i-assist.jp/data/china/image_1884th/76615073.pdf", "76615073")</f>
        <v>76615073</v>
      </c>
      <c r="F1214" s="6" t="s">
        <v>3326</v>
      </c>
      <c r="G1214" s="6" t="s">
        <v>3325</v>
      </c>
      <c r="H1214" s="8" t="s">
        <v>3327</v>
      </c>
      <c r="I1214" s="14">
        <v>45316</v>
      </c>
    </row>
    <row r="1215" spans="1:9" x14ac:dyDescent="0.15">
      <c r="A1215" s="5">
        <v>1214</v>
      </c>
      <c r="B1215" s="6" t="s">
        <v>9</v>
      </c>
      <c r="C1215" s="7">
        <v>1884</v>
      </c>
      <c r="D1215" s="8">
        <v>45402</v>
      </c>
      <c r="E1215" s="9" t="str">
        <f>+HYPERLINK("http://trademark.i-assist.jp/data/china/image_1884th/76615084.pdf", "76615084")</f>
        <v>76615084</v>
      </c>
      <c r="F1215" s="6" t="s">
        <v>3328</v>
      </c>
      <c r="G1215" s="6" t="s">
        <v>3325</v>
      </c>
      <c r="H1215" s="8" t="s">
        <v>3327</v>
      </c>
      <c r="I1215" s="14">
        <v>45316</v>
      </c>
    </row>
    <row r="1216" spans="1:9" x14ac:dyDescent="0.15">
      <c r="A1216" s="5">
        <v>1215</v>
      </c>
      <c r="B1216" s="6" t="s">
        <v>9</v>
      </c>
      <c r="C1216" s="7">
        <v>1884</v>
      </c>
      <c r="D1216" s="8">
        <v>45402</v>
      </c>
      <c r="E1216" s="9" t="str">
        <f>+HYPERLINK("http://trademark.i-assist.jp/data/china/image_1884th/76615445.pdf", "76615445")</f>
        <v>76615445</v>
      </c>
      <c r="F1216" s="6" t="s">
        <v>3330</v>
      </c>
      <c r="G1216" s="6" t="s">
        <v>3329</v>
      </c>
      <c r="H1216" s="8" t="s">
        <v>2887</v>
      </c>
      <c r="I1216" s="14">
        <v>45316</v>
      </c>
    </row>
    <row r="1217" spans="1:9" x14ac:dyDescent="0.15">
      <c r="A1217" s="5">
        <v>1216</v>
      </c>
      <c r="B1217" s="6" t="s">
        <v>9</v>
      </c>
      <c r="C1217" s="7">
        <v>1884</v>
      </c>
      <c r="D1217" s="8">
        <v>45402</v>
      </c>
      <c r="E1217" s="9" t="str">
        <f>+HYPERLINK("http://trademark.i-assist.jp/data/china/image_1884th/76615625.pdf", "76615625")</f>
        <v>76615625</v>
      </c>
      <c r="F1217" s="6" t="s">
        <v>3332</v>
      </c>
      <c r="G1217" s="6" t="s">
        <v>3331</v>
      </c>
      <c r="H1217" s="8" t="s">
        <v>3333</v>
      </c>
      <c r="I1217" s="14">
        <v>45316</v>
      </c>
    </row>
    <row r="1218" spans="1:9" x14ac:dyDescent="0.15">
      <c r="A1218" s="5">
        <v>1217</v>
      </c>
      <c r="B1218" s="6" t="s">
        <v>9</v>
      </c>
      <c r="C1218" s="7">
        <v>1884</v>
      </c>
      <c r="D1218" s="8">
        <v>45402</v>
      </c>
      <c r="E1218" s="9" t="str">
        <f>+HYPERLINK("http://trademark.i-assist.jp/data/china/image_1884th/76615842.pdf", "76615842")</f>
        <v>76615842</v>
      </c>
      <c r="F1218" s="6" t="s">
        <v>3334</v>
      </c>
      <c r="G1218" s="6" t="s">
        <v>3006</v>
      </c>
      <c r="H1218" s="8" t="s">
        <v>3008</v>
      </c>
      <c r="I1218" s="14">
        <v>45316</v>
      </c>
    </row>
    <row r="1219" spans="1:9" x14ac:dyDescent="0.15">
      <c r="A1219" s="5">
        <v>1218</v>
      </c>
      <c r="B1219" s="6" t="s">
        <v>9</v>
      </c>
      <c r="C1219" s="7">
        <v>1884</v>
      </c>
      <c r="D1219" s="8">
        <v>45402</v>
      </c>
      <c r="E1219" s="9" t="str">
        <f>+HYPERLINK("http://trademark.i-assist.jp/data/china/image_1884th/76616211.pdf", "76616211")</f>
        <v>76616211</v>
      </c>
      <c r="F1219" s="6" t="s">
        <v>167</v>
      </c>
      <c r="G1219" s="6" t="s">
        <v>3335</v>
      </c>
      <c r="H1219" s="8" t="s">
        <v>3336</v>
      </c>
      <c r="I1219" s="14">
        <v>45316</v>
      </c>
    </row>
    <row r="1220" spans="1:9" x14ac:dyDescent="0.15">
      <c r="A1220" s="5">
        <v>1219</v>
      </c>
      <c r="B1220" s="6" t="s">
        <v>9</v>
      </c>
      <c r="C1220" s="7">
        <v>1884</v>
      </c>
      <c r="D1220" s="8">
        <v>45402</v>
      </c>
      <c r="E1220" s="9" t="str">
        <f>+HYPERLINK("http://trademark.i-assist.jp/data/china/image_1884th/76616513.pdf", "76616513")</f>
        <v>76616513</v>
      </c>
      <c r="F1220" s="6" t="s">
        <v>3338</v>
      </c>
      <c r="G1220" s="6" t="s">
        <v>3337</v>
      </c>
      <c r="H1220" s="8" t="s">
        <v>3339</v>
      </c>
      <c r="I1220" s="14">
        <v>45317</v>
      </c>
    </row>
    <row r="1221" spans="1:9" x14ac:dyDescent="0.15">
      <c r="A1221" s="5">
        <v>1220</v>
      </c>
      <c r="B1221" s="6" t="s">
        <v>9</v>
      </c>
      <c r="C1221" s="7">
        <v>1884</v>
      </c>
      <c r="D1221" s="8">
        <v>45402</v>
      </c>
      <c r="E1221" s="9" t="str">
        <f>+HYPERLINK("http://trademark.i-assist.jp/data/china/image_1884th/76616517.pdf", "76616517")</f>
        <v>76616517</v>
      </c>
      <c r="F1221" s="6" t="s">
        <v>3341</v>
      </c>
      <c r="G1221" s="6" t="s">
        <v>3340</v>
      </c>
      <c r="H1221" s="8" t="s">
        <v>3342</v>
      </c>
      <c r="I1221" s="14">
        <v>45317</v>
      </c>
    </row>
    <row r="1222" spans="1:9" x14ac:dyDescent="0.15">
      <c r="A1222" s="5">
        <v>1221</v>
      </c>
      <c r="B1222" s="6" t="s">
        <v>9</v>
      </c>
      <c r="C1222" s="7">
        <v>1884</v>
      </c>
      <c r="D1222" s="8">
        <v>45402</v>
      </c>
      <c r="E1222" s="9" t="str">
        <f>+HYPERLINK("http://trademark.i-assist.jp/data/china/image_1884th/76616558.pdf", "76616558")</f>
        <v>76616558</v>
      </c>
      <c r="F1222" s="6" t="s">
        <v>3344</v>
      </c>
      <c r="G1222" s="6" t="s">
        <v>3343</v>
      </c>
      <c r="H1222" s="8" t="s">
        <v>3345</v>
      </c>
      <c r="I1222" s="14">
        <v>45317</v>
      </c>
    </row>
    <row r="1223" spans="1:9" x14ac:dyDescent="0.15">
      <c r="A1223" s="5">
        <v>1222</v>
      </c>
      <c r="B1223" s="6" t="s">
        <v>9</v>
      </c>
      <c r="C1223" s="7">
        <v>1884</v>
      </c>
      <c r="D1223" s="8">
        <v>45402</v>
      </c>
      <c r="E1223" s="9" t="str">
        <f>+HYPERLINK("http://trademark.i-assist.jp/data/china/image_1884th/76616924.pdf", "76616924")</f>
        <v>76616924</v>
      </c>
      <c r="F1223" s="6" t="s">
        <v>3347</v>
      </c>
      <c r="G1223" s="6" t="s">
        <v>3346</v>
      </c>
      <c r="H1223" s="8" t="s">
        <v>3348</v>
      </c>
      <c r="I1223" s="14">
        <v>45317</v>
      </c>
    </row>
    <row r="1224" spans="1:9" x14ac:dyDescent="0.15">
      <c r="A1224" s="5">
        <v>1223</v>
      </c>
      <c r="B1224" s="6" t="s">
        <v>9</v>
      </c>
      <c r="C1224" s="7">
        <v>1884</v>
      </c>
      <c r="D1224" s="8">
        <v>45402</v>
      </c>
      <c r="E1224" s="9" t="str">
        <f>+HYPERLINK("http://trademark.i-assist.jp/data/china/image_1884th/76617127.pdf", "76617127")</f>
        <v>76617127</v>
      </c>
      <c r="F1224" s="6" t="s">
        <v>3350</v>
      </c>
      <c r="G1224" s="6" t="s">
        <v>3349</v>
      </c>
      <c r="H1224" s="8" t="s">
        <v>3351</v>
      </c>
      <c r="I1224" s="14">
        <v>45317</v>
      </c>
    </row>
    <row r="1225" spans="1:9" x14ac:dyDescent="0.15">
      <c r="A1225" s="5">
        <v>1224</v>
      </c>
      <c r="B1225" s="6" t="s">
        <v>9</v>
      </c>
      <c r="C1225" s="7">
        <v>1884</v>
      </c>
      <c r="D1225" s="8">
        <v>45402</v>
      </c>
      <c r="E1225" s="9" t="str">
        <f>+HYPERLINK("http://trademark.i-assist.jp/data/china/image_1884th/76617395.pdf", "76617395")</f>
        <v>76617395</v>
      </c>
      <c r="F1225" s="6" t="s">
        <v>3353</v>
      </c>
      <c r="G1225" s="6" t="s">
        <v>3352</v>
      </c>
      <c r="H1225" s="8" t="s">
        <v>3354</v>
      </c>
      <c r="I1225" s="14">
        <v>45317</v>
      </c>
    </row>
    <row r="1226" spans="1:9" x14ac:dyDescent="0.15">
      <c r="A1226" s="5">
        <v>1225</v>
      </c>
      <c r="B1226" s="6" t="s">
        <v>9</v>
      </c>
      <c r="C1226" s="7">
        <v>1884</v>
      </c>
      <c r="D1226" s="8">
        <v>45402</v>
      </c>
      <c r="E1226" s="9" t="str">
        <f>+HYPERLINK("http://trademark.i-assist.jp/data/china/image_1884th/76617462.pdf", "76617462")</f>
        <v>76617462</v>
      </c>
      <c r="F1226" s="6" t="s">
        <v>3356</v>
      </c>
      <c r="G1226" s="6" t="s">
        <v>3355</v>
      </c>
      <c r="H1226" s="8" t="s">
        <v>3357</v>
      </c>
      <c r="I1226" s="14">
        <v>45317</v>
      </c>
    </row>
    <row r="1227" spans="1:9" x14ac:dyDescent="0.15">
      <c r="A1227" s="5">
        <v>1226</v>
      </c>
      <c r="B1227" s="6" t="s">
        <v>9</v>
      </c>
      <c r="C1227" s="7">
        <v>1884</v>
      </c>
      <c r="D1227" s="8">
        <v>45402</v>
      </c>
      <c r="E1227" s="9" t="str">
        <f>+HYPERLINK("http://trademark.i-assist.jp/data/china/image_1884th/76617853.pdf", "76617853")</f>
        <v>76617853</v>
      </c>
      <c r="F1227" s="6" t="s">
        <v>3359</v>
      </c>
      <c r="G1227" s="6" t="s">
        <v>3358</v>
      </c>
      <c r="H1227" s="8" t="s">
        <v>3360</v>
      </c>
      <c r="I1227" s="14">
        <v>45317</v>
      </c>
    </row>
    <row r="1228" spans="1:9" x14ac:dyDescent="0.15">
      <c r="A1228" s="5">
        <v>1227</v>
      </c>
      <c r="B1228" s="6" t="s">
        <v>9</v>
      </c>
      <c r="C1228" s="7">
        <v>1884</v>
      </c>
      <c r="D1228" s="8">
        <v>45402</v>
      </c>
      <c r="E1228" s="9" t="str">
        <f>+HYPERLINK("http://trademark.i-assist.jp/data/china/image_1884th/76617865.pdf", "76617865")</f>
        <v>76617865</v>
      </c>
      <c r="F1228" s="6" t="s">
        <v>3362</v>
      </c>
      <c r="G1228" s="6" t="s">
        <v>3361</v>
      </c>
      <c r="H1228" s="8" t="s">
        <v>3363</v>
      </c>
      <c r="I1228" s="14">
        <v>45317</v>
      </c>
    </row>
    <row r="1229" spans="1:9" x14ac:dyDescent="0.15">
      <c r="A1229" s="5">
        <v>1228</v>
      </c>
      <c r="B1229" s="6" t="s">
        <v>9</v>
      </c>
      <c r="C1229" s="7">
        <v>1884</v>
      </c>
      <c r="D1229" s="8">
        <v>45402</v>
      </c>
      <c r="E1229" s="9" t="str">
        <f>+HYPERLINK("http://trademark.i-assist.jp/data/china/image_1884th/76617916.pdf", "76617916")</f>
        <v>76617916</v>
      </c>
      <c r="F1229" s="6" t="s">
        <v>3364</v>
      </c>
      <c r="G1229" s="6" t="s">
        <v>2727</v>
      </c>
      <c r="H1229" s="8" t="s">
        <v>3365</v>
      </c>
      <c r="I1229" s="14">
        <v>45317</v>
      </c>
    </row>
    <row r="1230" spans="1:9" x14ac:dyDescent="0.15">
      <c r="A1230" s="5">
        <v>1229</v>
      </c>
      <c r="B1230" s="6" t="s">
        <v>9</v>
      </c>
      <c r="C1230" s="7">
        <v>1884</v>
      </c>
      <c r="D1230" s="8">
        <v>45402</v>
      </c>
      <c r="E1230" s="9" t="str">
        <f>+HYPERLINK("http://trademark.i-assist.jp/data/china/image_1884th/76618032.pdf", "76618032")</f>
        <v>76618032</v>
      </c>
      <c r="F1230" s="6" t="s">
        <v>3367</v>
      </c>
      <c r="G1230" s="6" t="s">
        <v>3366</v>
      </c>
      <c r="H1230" s="8" t="s">
        <v>3368</v>
      </c>
      <c r="I1230" s="14">
        <v>45317</v>
      </c>
    </row>
    <row r="1231" spans="1:9" x14ac:dyDescent="0.15">
      <c r="A1231" s="5">
        <v>1230</v>
      </c>
      <c r="B1231" s="6" t="s">
        <v>9</v>
      </c>
      <c r="C1231" s="7">
        <v>1884</v>
      </c>
      <c r="D1231" s="8">
        <v>45402</v>
      </c>
      <c r="E1231" s="9" t="str">
        <f>+HYPERLINK("http://trademark.i-assist.jp/data/china/image_1884th/76618372.pdf", "76618372")</f>
        <v>76618372</v>
      </c>
      <c r="F1231" s="6" t="s">
        <v>3370</v>
      </c>
      <c r="G1231" s="6" t="s">
        <v>3369</v>
      </c>
      <c r="H1231" s="8" t="s">
        <v>3371</v>
      </c>
      <c r="I1231" s="14">
        <v>45317</v>
      </c>
    </row>
    <row r="1232" spans="1:9" x14ac:dyDescent="0.15">
      <c r="A1232" s="5">
        <v>1231</v>
      </c>
      <c r="B1232" s="6" t="s">
        <v>9</v>
      </c>
      <c r="C1232" s="7">
        <v>1884</v>
      </c>
      <c r="D1232" s="8">
        <v>45402</v>
      </c>
      <c r="E1232" s="9" t="str">
        <f>+HYPERLINK("http://trademark.i-assist.jp/data/china/image_1884th/76618453.pdf", "76618453")</f>
        <v>76618453</v>
      </c>
      <c r="F1232" s="6" t="s">
        <v>3373</v>
      </c>
      <c r="G1232" s="6" t="s">
        <v>3372</v>
      </c>
      <c r="H1232" s="8" t="s">
        <v>3374</v>
      </c>
      <c r="I1232" s="14">
        <v>45317</v>
      </c>
    </row>
    <row r="1233" spans="1:9" x14ac:dyDescent="0.15">
      <c r="A1233" s="5">
        <v>1232</v>
      </c>
      <c r="B1233" s="6" t="s">
        <v>9</v>
      </c>
      <c r="C1233" s="7">
        <v>1884</v>
      </c>
      <c r="D1233" s="8">
        <v>45402</v>
      </c>
      <c r="E1233" s="9" t="str">
        <f>+HYPERLINK("http://trademark.i-assist.jp/data/china/image_1884th/76618476.pdf", "76618476")</f>
        <v>76618476</v>
      </c>
      <c r="F1233" s="6" t="s">
        <v>3376</v>
      </c>
      <c r="G1233" s="6" t="s">
        <v>3375</v>
      </c>
      <c r="H1233" s="8" t="s">
        <v>3377</v>
      </c>
      <c r="I1233" s="14">
        <v>45317</v>
      </c>
    </row>
    <row r="1234" spans="1:9" x14ac:dyDescent="0.15">
      <c r="A1234" s="5">
        <v>1233</v>
      </c>
      <c r="B1234" s="6" t="s">
        <v>9</v>
      </c>
      <c r="C1234" s="7">
        <v>1884</v>
      </c>
      <c r="D1234" s="8">
        <v>45402</v>
      </c>
      <c r="E1234" s="9" t="str">
        <f>+HYPERLINK("http://trademark.i-assist.jp/data/china/image_1884th/76618526.pdf", "76618526")</f>
        <v>76618526</v>
      </c>
      <c r="F1234" s="6" t="s">
        <v>3379</v>
      </c>
      <c r="G1234" s="6" t="s">
        <v>3378</v>
      </c>
      <c r="H1234" s="8" t="s">
        <v>3380</v>
      </c>
      <c r="I1234" s="14">
        <v>45317</v>
      </c>
    </row>
    <row r="1235" spans="1:9" x14ac:dyDescent="0.15">
      <c r="A1235" s="5">
        <v>1234</v>
      </c>
      <c r="B1235" s="6" t="s">
        <v>9</v>
      </c>
      <c r="C1235" s="7">
        <v>1884</v>
      </c>
      <c r="D1235" s="8">
        <v>45402</v>
      </c>
      <c r="E1235" s="9" t="str">
        <f>+HYPERLINK("http://trademark.i-assist.jp/data/china/image_1884th/76618530.pdf", "76618530")</f>
        <v>76618530</v>
      </c>
      <c r="F1235" s="6" t="s">
        <v>3382</v>
      </c>
      <c r="G1235" s="6" t="s">
        <v>3381</v>
      </c>
      <c r="H1235" s="8" t="s">
        <v>1876</v>
      </c>
      <c r="I1235" s="14">
        <v>45317</v>
      </c>
    </row>
    <row r="1236" spans="1:9" x14ac:dyDescent="0.15">
      <c r="A1236" s="5">
        <v>1235</v>
      </c>
      <c r="B1236" s="6" t="s">
        <v>9</v>
      </c>
      <c r="C1236" s="7">
        <v>1884</v>
      </c>
      <c r="D1236" s="8">
        <v>45402</v>
      </c>
      <c r="E1236" s="9" t="str">
        <f>+HYPERLINK("http://trademark.i-assist.jp/data/china/image_1884th/76618569.pdf", "76618569")</f>
        <v>76618569</v>
      </c>
      <c r="F1236" s="6" t="s">
        <v>3384</v>
      </c>
      <c r="G1236" s="6" t="s">
        <v>3383</v>
      </c>
      <c r="H1236" s="8" t="s">
        <v>2384</v>
      </c>
      <c r="I1236" s="14">
        <v>45317</v>
      </c>
    </row>
    <row r="1237" spans="1:9" x14ac:dyDescent="0.15">
      <c r="A1237" s="5">
        <v>1236</v>
      </c>
      <c r="B1237" s="6" t="s">
        <v>9</v>
      </c>
      <c r="C1237" s="7">
        <v>1884</v>
      </c>
      <c r="D1237" s="8">
        <v>45402</v>
      </c>
      <c r="E1237" s="9" t="str">
        <f>+HYPERLINK("http://trademark.i-assist.jp/data/china/image_1884th/76618633.pdf", "76618633")</f>
        <v>76618633</v>
      </c>
      <c r="F1237" s="6" t="s">
        <v>3386</v>
      </c>
      <c r="G1237" s="6" t="s">
        <v>3385</v>
      </c>
      <c r="H1237" s="8" t="s">
        <v>3387</v>
      </c>
      <c r="I1237" s="14">
        <v>45317</v>
      </c>
    </row>
    <row r="1238" spans="1:9" x14ac:dyDescent="0.15">
      <c r="A1238" s="5">
        <v>1237</v>
      </c>
      <c r="B1238" s="6" t="s">
        <v>9</v>
      </c>
      <c r="C1238" s="7">
        <v>1884</v>
      </c>
      <c r="D1238" s="8">
        <v>45402</v>
      </c>
      <c r="E1238" s="9" t="str">
        <f>+HYPERLINK("http://trademark.i-assist.jp/data/china/image_1884th/76618670.pdf", "76618670")</f>
        <v>76618670</v>
      </c>
      <c r="F1238" s="6" t="s">
        <v>3389</v>
      </c>
      <c r="G1238" s="6" t="s">
        <v>3388</v>
      </c>
      <c r="H1238" s="8" t="s">
        <v>3390</v>
      </c>
      <c r="I1238" s="14">
        <v>45317</v>
      </c>
    </row>
    <row r="1239" spans="1:9" x14ac:dyDescent="0.15">
      <c r="A1239" s="5">
        <v>1238</v>
      </c>
      <c r="B1239" s="6" t="s">
        <v>9</v>
      </c>
      <c r="C1239" s="7">
        <v>1884</v>
      </c>
      <c r="D1239" s="8">
        <v>45402</v>
      </c>
      <c r="E1239" s="9" t="str">
        <f>+HYPERLINK("http://trademark.i-assist.jp/data/china/image_1884th/76618892.pdf", "76618892")</f>
        <v>76618892</v>
      </c>
      <c r="F1239" s="6" t="s">
        <v>3392</v>
      </c>
      <c r="G1239" s="6" t="s">
        <v>3391</v>
      </c>
      <c r="H1239" s="8" t="s">
        <v>3393</v>
      </c>
      <c r="I1239" s="14">
        <v>45317</v>
      </c>
    </row>
    <row r="1240" spans="1:9" x14ac:dyDescent="0.15">
      <c r="A1240" s="5">
        <v>1239</v>
      </c>
      <c r="B1240" s="6" t="s">
        <v>9</v>
      </c>
      <c r="C1240" s="7">
        <v>1884</v>
      </c>
      <c r="D1240" s="8">
        <v>45402</v>
      </c>
      <c r="E1240" s="9" t="str">
        <f>+HYPERLINK("http://trademark.i-assist.jp/data/china/image_1884th/76618895.pdf", "76618895")</f>
        <v>76618895</v>
      </c>
      <c r="F1240" s="6" t="s">
        <v>3395</v>
      </c>
      <c r="G1240" s="6" t="s">
        <v>3394</v>
      </c>
      <c r="H1240" s="8" t="s">
        <v>3396</v>
      </c>
      <c r="I1240" s="14">
        <v>45317</v>
      </c>
    </row>
    <row r="1241" spans="1:9" x14ac:dyDescent="0.15">
      <c r="A1241" s="5">
        <v>1240</v>
      </c>
      <c r="B1241" s="6" t="s">
        <v>9</v>
      </c>
      <c r="C1241" s="7">
        <v>1884</v>
      </c>
      <c r="D1241" s="8">
        <v>45402</v>
      </c>
      <c r="E1241" s="9" t="str">
        <f>+HYPERLINK("http://trademark.i-assist.jp/data/china/image_1884th/76619296.pdf", "76619296")</f>
        <v>76619296</v>
      </c>
      <c r="F1241" s="6" t="s">
        <v>3398</v>
      </c>
      <c r="G1241" s="6" t="s">
        <v>3397</v>
      </c>
      <c r="H1241" s="8" t="s">
        <v>3399</v>
      </c>
      <c r="I1241" s="14">
        <v>45317</v>
      </c>
    </row>
    <row r="1242" spans="1:9" x14ac:dyDescent="0.15">
      <c r="A1242" s="5">
        <v>1241</v>
      </c>
      <c r="B1242" s="6" t="s">
        <v>9</v>
      </c>
      <c r="C1242" s="7">
        <v>1884</v>
      </c>
      <c r="D1242" s="8">
        <v>45402</v>
      </c>
      <c r="E1242" s="9" t="str">
        <f>+HYPERLINK("http://trademark.i-assist.jp/data/china/image_1884th/76619445.pdf", "76619445")</f>
        <v>76619445</v>
      </c>
      <c r="F1242" s="6" t="s">
        <v>3401</v>
      </c>
      <c r="G1242" s="6" t="s">
        <v>3400</v>
      </c>
      <c r="H1242" s="8" t="s">
        <v>3402</v>
      </c>
      <c r="I1242" s="14">
        <v>45317</v>
      </c>
    </row>
    <row r="1243" spans="1:9" x14ac:dyDescent="0.15">
      <c r="A1243" s="5">
        <v>1242</v>
      </c>
      <c r="B1243" s="6" t="s">
        <v>9</v>
      </c>
      <c r="C1243" s="7">
        <v>1884</v>
      </c>
      <c r="D1243" s="8">
        <v>45402</v>
      </c>
      <c r="E1243" s="9" t="str">
        <f>+HYPERLINK("http://trademark.i-assist.jp/data/china/image_1884th/76619459.pdf", "76619459")</f>
        <v>76619459</v>
      </c>
      <c r="F1243" s="6" t="s">
        <v>3404</v>
      </c>
      <c r="G1243" s="6" t="s">
        <v>3403</v>
      </c>
      <c r="H1243" s="8" t="s">
        <v>3405</v>
      </c>
      <c r="I1243" s="14">
        <v>45317</v>
      </c>
    </row>
    <row r="1244" spans="1:9" x14ac:dyDescent="0.15">
      <c r="A1244" s="5">
        <v>1243</v>
      </c>
      <c r="B1244" s="6" t="s">
        <v>9</v>
      </c>
      <c r="C1244" s="7">
        <v>1884</v>
      </c>
      <c r="D1244" s="8">
        <v>45402</v>
      </c>
      <c r="E1244" s="9" t="str">
        <f>+HYPERLINK("http://trademark.i-assist.jp/data/china/image_1884th/76619590.pdf", "76619590")</f>
        <v>76619590</v>
      </c>
      <c r="F1244" s="6" t="s">
        <v>3407</v>
      </c>
      <c r="G1244" s="6" t="s">
        <v>3406</v>
      </c>
      <c r="H1244" s="8" t="s">
        <v>3408</v>
      </c>
      <c r="I1244" s="14">
        <v>45317</v>
      </c>
    </row>
    <row r="1245" spans="1:9" x14ac:dyDescent="0.15">
      <c r="A1245" s="5">
        <v>1244</v>
      </c>
      <c r="B1245" s="6" t="s">
        <v>9</v>
      </c>
      <c r="C1245" s="7">
        <v>1884</v>
      </c>
      <c r="D1245" s="8">
        <v>45402</v>
      </c>
      <c r="E1245" s="9" t="str">
        <f>+HYPERLINK("http://trademark.i-assist.jp/data/china/image_1884th/76619746.pdf", "76619746")</f>
        <v>76619746</v>
      </c>
      <c r="F1245" s="6" t="s">
        <v>3410</v>
      </c>
      <c r="G1245" s="6" t="s">
        <v>3409</v>
      </c>
      <c r="H1245" s="8" t="s">
        <v>3411</v>
      </c>
      <c r="I1245" s="14">
        <v>45317</v>
      </c>
    </row>
    <row r="1246" spans="1:9" x14ac:dyDescent="0.15">
      <c r="A1246" s="5">
        <v>1245</v>
      </c>
      <c r="B1246" s="6" t="s">
        <v>9</v>
      </c>
      <c r="C1246" s="7">
        <v>1884</v>
      </c>
      <c r="D1246" s="8">
        <v>45402</v>
      </c>
      <c r="E1246" s="9" t="str">
        <f>+HYPERLINK("http://trademark.i-assist.jp/data/china/image_1884th/76619802.pdf", "76619802")</f>
        <v>76619802</v>
      </c>
      <c r="F1246" s="6" t="s">
        <v>3413</v>
      </c>
      <c r="G1246" s="6" t="s">
        <v>3412</v>
      </c>
      <c r="H1246" s="8" t="s">
        <v>3414</v>
      </c>
      <c r="I1246" s="14">
        <v>45317</v>
      </c>
    </row>
    <row r="1247" spans="1:9" x14ac:dyDescent="0.15">
      <c r="A1247" s="5">
        <v>1246</v>
      </c>
      <c r="B1247" s="6" t="s">
        <v>9</v>
      </c>
      <c r="C1247" s="7">
        <v>1884</v>
      </c>
      <c r="D1247" s="8">
        <v>45402</v>
      </c>
      <c r="E1247" s="9" t="str">
        <f>+HYPERLINK("http://trademark.i-assist.jp/data/china/image_1884th/76619923.pdf", "76619923")</f>
        <v>76619923</v>
      </c>
      <c r="F1247" s="6" t="s">
        <v>3416</v>
      </c>
      <c r="G1247" s="6" t="s">
        <v>3415</v>
      </c>
      <c r="H1247" s="8" t="s">
        <v>3417</v>
      </c>
      <c r="I1247" s="14">
        <v>45317</v>
      </c>
    </row>
    <row r="1248" spans="1:9" x14ac:dyDescent="0.15">
      <c r="A1248" s="5">
        <v>1247</v>
      </c>
      <c r="B1248" s="6" t="s">
        <v>9</v>
      </c>
      <c r="C1248" s="7">
        <v>1884</v>
      </c>
      <c r="D1248" s="8">
        <v>45402</v>
      </c>
      <c r="E1248" s="9" t="str">
        <f>+HYPERLINK("http://trademark.i-assist.jp/data/china/image_1884th/76620074.pdf", "76620074")</f>
        <v>76620074</v>
      </c>
      <c r="F1248" s="6" t="s">
        <v>3419</v>
      </c>
      <c r="G1248" s="6" t="s">
        <v>3418</v>
      </c>
      <c r="H1248" s="8" t="s">
        <v>3420</v>
      </c>
      <c r="I1248" s="14">
        <v>45317</v>
      </c>
    </row>
    <row r="1249" spans="1:9" x14ac:dyDescent="0.15">
      <c r="A1249" s="5">
        <v>1248</v>
      </c>
      <c r="B1249" s="6" t="s">
        <v>9</v>
      </c>
      <c r="C1249" s="7">
        <v>1884</v>
      </c>
      <c r="D1249" s="8">
        <v>45402</v>
      </c>
      <c r="E1249" s="9" t="str">
        <f>+HYPERLINK("http://trademark.i-assist.jp/data/china/image_1884th/76620422.pdf", "76620422")</f>
        <v>76620422</v>
      </c>
      <c r="F1249" s="6" t="s">
        <v>3422</v>
      </c>
      <c r="G1249" s="6" t="s">
        <v>3421</v>
      </c>
      <c r="H1249" s="8" t="s">
        <v>3423</v>
      </c>
      <c r="I1249" s="14">
        <v>45317</v>
      </c>
    </row>
    <row r="1250" spans="1:9" x14ac:dyDescent="0.15">
      <c r="A1250" s="5">
        <v>1249</v>
      </c>
      <c r="B1250" s="6" t="s">
        <v>9</v>
      </c>
      <c r="C1250" s="7">
        <v>1884</v>
      </c>
      <c r="D1250" s="8">
        <v>45402</v>
      </c>
      <c r="E1250" s="9" t="str">
        <f>+HYPERLINK("http://trademark.i-assist.jp/data/china/image_1884th/76620461.pdf", "76620461")</f>
        <v>76620461</v>
      </c>
      <c r="F1250" s="6" t="s">
        <v>3424</v>
      </c>
      <c r="G1250" s="6" t="s">
        <v>3400</v>
      </c>
      <c r="H1250" s="8" t="s">
        <v>2249</v>
      </c>
      <c r="I1250" s="14">
        <v>45317</v>
      </c>
    </row>
    <row r="1251" spans="1:9" x14ac:dyDescent="0.15">
      <c r="A1251" s="5">
        <v>1250</v>
      </c>
      <c r="B1251" s="6" t="s">
        <v>9</v>
      </c>
      <c r="C1251" s="7">
        <v>1884</v>
      </c>
      <c r="D1251" s="8">
        <v>45402</v>
      </c>
      <c r="E1251" s="9" t="str">
        <f>+HYPERLINK("http://trademark.i-assist.jp/data/china/image_1884th/76620755.pdf", "76620755")</f>
        <v>76620755</v>
      </c>
      <c r="F1251" s="6" t="s">
        <v>3426</v>
      </c>
      <c r="G1251" s="6" t="s">
        <v>3425</v>
      </c>
      <c r="H1251" s="8" t="s">
        <v>3427</v>
      </c>
      <c r="I1251" s="14">
        <v>45317</v>
      </c>
    </row>
    <row r="1252" spans="1:9" x14ac:dyDescent="0.15">
      <c r="A1252" s="5">
        <v>1251</v>
      </c>
      <c r="B1252" s="6" t="s">
        <v>9</v>
      </c>
      <c r="C1252" s="7">
        <v>1884</v>
      </c>
      <c r="D1252" s="8">
        <v>45402</v>
      </c>
      <c r="E1252" s="9" t="str">
        <f>+HYPERLINK("http://trademark.i-assist.jp/data/china/image_1884th/76620790.pdf", "76620790")</f>
        <v>76620790</v>
      </c>
      <c r="F1252" s="6" t="s">
        <v>3429</v>
      </c>
      <c r="G1252" s="6" t="s">
        <v>3428</v>
      </c>
      <c r="H1252" s="8" t="s">
        <v>3430</v>
      </c>
      <c r="I1252" s="14">
        <v>45317</v>
      </c>
    </row>
    <row r="1253" spans="1:9" x14ac:dyDescent="0.15">
      <c r="A1253" s="5">
        <v>1252</v>
      </c>
      <c r="B1253" s="6" t="s">
        <v>9</v>
      </c>
      <c r="C1253" s="7">
        <v>1884</v>
      </c>
      <c r="D1253" s="8">
        <v>45402</v>
      </c>
      <c r="E1253" s="9" t="str">
        <f>+HYPERLINK("http://trademark.i-assist.jp/data/china/image_1884th/76620890.pdf", "76620890")</f>
        <v>76620890</v>
      </c>
      <c r="F1253" s="6" t="s">
        <v>3432</v>
      </c>
      <c r="G1253" s="6" t="s">
        <v>3431</v>
      </c>
      <c r="H1253" s="8" t="s">
        <v>3433</v>
      </c>
      <c r="I1253" s="14">
        <v>45317</v>
      </c>
    </row>
    <row r="1254" spans="1:9" x14ac:dyDescent="0.15">
      <c r="A1254" s="5">
        <v>1253</v>
      </c>
      <c r="B1254" s="6" t="s">
        <v>9</v>
      </c>
      <c r="C1254" s="7">
        <v>1884</v>
      </c>
      <c r="D1254" s="8">
        <v>45402</v>
      </c>
      <c r="E1254" s="9" t="str">
        <f>+HYPERLINK("http://trademark.i-assist.jp/data/china/image_1884th/76620907.pdf", "76620907")</f>
        <v>76620907</v>
      </c>
      <c r="F1254" s="6" t="s">
        <v>3435</v>
      </c>
      <c r="G1254" s="6" t="s">
        <v>3434</v>
      </c>
      <c r="H1254" s="8" t="s">
        <v>3436</v>
      </c>
      <c r="I1254" s="14">
        <v>45317</v>
      </c>
    </row>
    <row r="1255" spans="1:9" x14ac:dyDescent="0.15">
      <c r="A1255" s="5">
        <v>1254</v>
      </c>
      <c r="B1255" s="6" t="s">
        <v>9</v>
      </c>
      <c r="C1255" s="7">
        <v>1884</v>
      </c>
      <c r="D1255" s="8">
        <v>45402</v>
      </c>
      <c r="E1255" s="9" t="str">
        <f>+HYPERLINK("http://trademark.i-assist.jp/data/china/image_1884th/76620995.pdf", "76620995")</f>
        <v>76620995</v>
      </c>
      <c r="F1255" s="6" t="s">
        <v>3438</v>
      </c>
      <c r="G1255" s="6" t="s">
        <v>3437</v>
      </c>
      <c r="H1255" s="8" t="s">
        <v>3439</v>
      </c>
      <c r="I1255" s="14">
        <v>45317</v>
      </c>
    </row>
    <row r="1256" spans="1:9" x14ac:dyDescent="0.15">
      <c r="A1256" s="5">
        <v>1255</v>
      </c>
      <c r="B1256" s="6" t="s">
        <v>9</v>
      </c>
      <c r="C1256" s="7">
        <v>1884</v>
      </c>
      <c r="D1256" s="8">
        <v>45402</v>
      </c>
      <c r="E1256" s="9" t="str">
        <f>+HYPERLINK("http://trademark.i-assist.jp/data/china/image_1884th/76621055.pdf", "76621055")</f>
        <v>76621055</v>
      </c>
      <c r="F1256" s="6" t="s">
        <v>3440</v>
      </c>
      <c r="G1256" s="6" t="s">
        <v>3361</v>
      </c>
      <c r="H1256" s="8" t="s">
        <v>3441</v>
      </c>
      <c r="I1256" s="14">
        <v>45317</v>
      </c>
    </row>
    <row r="1257" spans="1:9" x14ac:dyDescent="0.15">
      <c r="A1257" s="5">
        <v>1256</v>
      </c>
      <c r="B1257" s="6" t="s">
        <v>9</v>
      </c>
      <c r="C1257" s="7">
        <v>1884</v>
      </c>
      <c r="D1257" s="8">
        <v>45402</v>
      </c>
      <c r="E1257" s="9" t="str">
        <f>+HYPERLINK("http://trademark.i-assist.jp/data/china/image_1884th/76621276.pdf", "76621276")</f>
        <v>76621276</v>
      </c>
      <c r="F1257" s="6" t="s">
        <v>3443</v>
      </c>
      <c r="G1257" s="6" t="s">
        <v>3442</v>
      </c>
      <c r="H1257" s="8" t="s">
        <v>3444</v>
      </c>
      <c r="I1257" s="14">
        <v>45317</v>
      </c>
    </row>
    <row r="1258" spans="1:9" x14ac:dyDescent="0.15">
      <c r="A1258" s="5">
        <v>1257</v>
      </c>
      <c r="B1258" s="6" t="s">
        <v>9</v>
      </c>
      <c r="C1258" s="7">
        <v>1884</v>
      </c>
      <c r="D1258" s="8">
        <v>45402</v>
      </c>
      <c r="E1258" s="9" t="str">
        <f>+HYPERLINK("http://trademark.i-assist.jp/data/china/image_1884th/76621278.pdf", "76621278")</f>
        <v>76621278</v>
      </c>
      <c r="F1258" s="6" t="s">
        <v>3445</v>
      </c>
      <c r="G1258" s="6" t="s">
        <v>3442</v>
      </c>
      <c r="H1258" s="8" t="s">
        <v>3446</v>
      </c>
      <c r="I1258" s="14">
        <v>45317</v>
      </c>
    </row>
    <row r="1259" spans="1:9" x14ac:dyDescent="0.15">
      <c r="A1259" s="5">
        <v>1258</v>
      </c>
      <c r="B1259" s="6" t="s">
        <v>9</v>
      </c>
      <c r="C1259" s="7">
        <v>1884</v>
      </c>
      <c r="D1259" s="8">
        <v>45402</v>
      </c>
      <c r="E1259" s="9" t="str">
        <f>+HYPERLINK("http://trademark.i-assist.jp/data/china/image_1884th/76621334.pdf", "76621334")</f>
        <v>76621334</v>
      </c>
      <c r="F1259" s="6" t="s">
        <v>3448</v>
      </c>
      <c r="G1259" s="6" t="s">
        <v>3447</v>
      </c>
      <c r="H1259" s="8" t="s">
        <v>3449</v>
      </c>
      <c r="I1259" s="14">
        <v>45317</v>
      </c>
    </row>
    <row r="1260" spans="1:9" x14ac:dyDescent="0.15">
      <c r="A1260" s="5">
        <v>1259</v>
      </c>
      <c r="B1260" s="6" t="s">
        <v>9</v>
      </c>
      <c r="C1260" s="7">
        <v>1884</v>
      </c>
      <c r="D1260" s="8">
        <v>45402</v>
      </c>
      <c r="E1260" s="9" t="str">
        <f>+HYPERLINK("http://trademark.i-assist.jp/data/china/image_1884th/76621348.pdf", "76621348")</f>
        <v>76621348</v>
      </c>
      <c r="F1260" s="6" t="s">
        <v>3450</v>
      </c>
      <c r="G1260" s="6" t="s">
        <v>2727</v>
      </c>
      <c r="H1260" s="8" t="s">
        <v>3451</v>
      </c>
      <c r="I1260" s="14">
        <v>45317</v>
      </c>
    </row>
    <row r="1261" spans="1:9" x14ac:dyDescent="0.15">
      <c r="A1261" s="5">
        <v>1260</v>
      </c>
      <c r="B1261" s="6" t="s">
        <v>9</v>
      </c>
      <c r="C1261" s="7">
        <v>1884</v>
      </c>
      <c r="D1261" s="8">
        <v>45402</v>
      </c>
      <c r="E1261" s="9" t="str">
        <f>+HYPERLINK("http://trademark.i-assist.jp/data/china/image_1884th/76621501.pdf", "76621501")</f>
        <v>76621501</v>
      </c>
      <c r="F1261" s="6" t="s">
        <v>3453</v>
      </c>
      <c r="G1261" s="6" t="s">
        <v>3452</v>
      </c>
      <c r="H1261" s="8" t="s">
        <v>3454</v>
      </c>
      <c r="I1261" s="14">
        <v>45317</v>
      </c>
    </row>
    <row r="1262" spans="1:9" x14ac:dyDescent="0.15">
      <c r="A1262" s="5">
        <v>1261</v>
      </c>
      <c r="B1262" s="6" t="s">
        <v>9</v>
      </c>
      <c r="C1262" s="7">
        <v>1884</v>
      </c>
      <c r="D1262" s="8">
        <v>45402</v>
      </c>
      <c r="E1262" s="9" t="str">
        <f>+HYPERLINK("http://trademark.i-assist.jp/data/china/image_1884th/76621561.pdf", "76621561")</f>
        <v>76621561</v>
      </c>
      <c r="F1262" s="6" t="s">
        <v>3456</v>
      </c>
      <c r="G1262" s="6" t="s">
        <v>3455</v>
      </c>
      <c r="H1262" s="8" t="s">
        <v>3457</v>
      </c>
      <c r="I1262" s="14">
        <v>45317</v>
      </c>
    </row>
    <row r="1263" spans="1:9" x14ac:dyDescent="0.15">
      <c r="A1263" s="5">
        <v>1262</v>
      </c>
      <c r="B1263" s="6" t="s">
        <v>9</v>
      </c>
      <c r="C1263" s="7">
        <v>1884</v>
      </c>
      <c r="D1263" s="8">
        <v>45402</v>
      </c>
      <c r="E1263" s="9" t="str">
        <f>+HYPERLINK("http://trademark.i-assist.jp/data/china/image_1884th/76621704.pdf", "76621704")</f>
        <v>76621704</v>
      </c>
      <c r="F1263" s="6" t="s">
        <v>3459</v>
      </c>
      <c r="G1263" s="6" t="s">
        <v>3458</v>
      </c>
      <c r="H1263" s="8" t="s">
        <v>3460</v>
      </c>
      <c r="I1263" s="14">
        <v>45317</v>
      </c>
    </row>
    <row r="1264" spans="1:9" x14ac:dyDescent="0.15">
      <c r="A1264" s="5">
        <v>1263</v>
      </c>
      <c r="B1264" s="6" t="s">
        <v>9</v>
      </c>
      <c r="C1264" s="7">
        <v>1884</v>
      </c>
      <c r="D1264" s="8">
        <v>45402</v>
      </c>
      <c r="E1264" s="9" t="str">
        <f>+HYPERLINK("http://trademark.i-assist.jp/data/china/image_1884th/76622262.pdf", "76622262")</f>
        <v>76622262</v>
      </c>
      <c r="F1264" s="6" t="s">
        <v>3462</v>
      </c>
      <c r="G1264" s="6" t="s">
        <v>3461</v>
      </c>
      <c r="H1264" s="8" t="s">
        <v>3463</v>
      </c>
      <c r="I1264" s="14">
        <v>45317</v>
      </c>
    </row>
    <row r="1265" spans="1:9" x14ac:dyDescent="0.15">
      <c r="A1265" s="5">
        <v>1264</v>
      </c>
      <c r="B1265" s="6" t="s">
        <v>9</v>
      </c>
      <c r="C1265" s="7">
        <v>1884</v>
      </c>
      <c r="D1265" s="8">
        <v>45402</v>
      </c>
      <c r="E1265" s="9" t="str">
        <f>+HYPERLINK("http://trademark.i-assist.jp/data/china/image_1884th/76622266.pdf", "76622266")</f>
        <v>76622266</v>
      </c>
      <c r="F1265" s="6" t="s">
        <v>3465</v>
      </c>
      <c r="G1265" s="6" t="s">
        <v>3464</v>
      </c>
      <c r="H1265" s="8" t="s">
        <v>3466</v>
      </c>
      <c r="I1265" s="14">
        <v>45317</v>
      </c>
    </row>
    <row r="1266" spans="1:9" x14ac:dyDescent="0.15">
      <c r="A1266" s="5">
        <v>1265</v>
      </c>
      <c r="B1266" s="6" t="s">
        <v>9</v>
      </c>
      <c r="C1266" s="7">
        <v>1884</v>
      </c>
      <c r="D1266" s="8">
        <v>45402</v>
      </c>
      <c r="E1266" s="9" t="str">
        <f>+HYPERLINK("http://trademark.i-assist.jp/data/china/image_1884th/76622642.pdf", "76622642")</f>
        <v>76622642</v>
      </c>
      <c r="F1266" s="6" t="s">
        <v>3468</v>
      </c>
      <c r="G1266" s="6" t="s">
        <v>3467</v>
      </c>
      <c r="H1266" s="8" t="s">
        <v>3469</v>
      </c>
      <c r="I1266" s="14">
        <v>45317</v>
      </c>
    </row>
    <row r="1267" spans="1:9" x14ac:dyDescent="0.15">
      <c r="A1267" s="5">
        <v>1266</v>
      </c>
      <c r="B1267" s="6" t="s">
        <v>9</v>
      </c>
      <c r="C1267" s="7">
        <v>1884</v>
      </c>
      <c r="D1267" s="8">
        <v>45402</v>
      </c>
      <c r="E1267" s="9" t="str">
        <f>+HYPERLINK("http://trademark.i-assist.jp/data/china/image_1884th/76622826.pdf", "76622826")</f>
        <v>76622826</v>
      </c>
      <c r="F1267" s="6" t="s">
        <v>3470</v>
      </c>
      <c r="G1267" s="6" t="s">
        <v>3442</v>
      </c>
      <c r="H1267" s="8" t="s">
        <v>3471</v>
      </c>
      <c r="I1267" s="14">
        <v>45317</v>
      </c>
    </row>
    <row r="1268" spans="1:9" x14ac:dyDescent="0.15">
      <c r="A1268" s="5">
        <v>1267</v>
      </c>
      <c r="B1268" s="6" t="s">
        <v>9</v>
      </c>
      <c r="C1268" s="7">
        <v>1884</v>
      </c>
      <c r="D1268" s="8">
        <v>45402</v>
      </c>
      <c r="E1268" s="9" t="str">
        <f>+HYPERLINK("http://trademark.i-assist.jp/data/china/image_1884th/76623174.pdf", "76623174")</f>
        <v>76623174</v>
      </c>
      <c r="F1268" s="6" t="s">
        <v>3473</v>
      </c>
      <c r="G1268" s="6" t="s">
        <v>3472</v>
      </c>
      <c r="H1268" s="8" t="s">
        <v>3474</v>
      </c>
      <c r="I1268" s="14">
        <v>45317</v>
      </c>
    </row>
    <row r="1269" spans="1:9" x14ac:dyDescent="0.15">
      <c r="A1269" s="5">
        <v>1268</v>
      </c>
      <c r="B1269" s="6" t="s">
        <v>9</v>
      </c>
      <c r="C1269" s="7">
        <v>1884</v>
      </c>
      <c r="D1269" s="8">
        <v>45402</v>
      </c>
      <c r="E1269" s="9" t="str">
        <f>+HYPERLINK("http://trademark.i-assist.jp/data/china/image_1884th/76623333.pdf", "76623333")</f>
        <v>76623333</v>
      </c>
      <c r="F1269" s="6" t="s">
        <v>3476</v>
      </c>
      <c r="G1269" s="6" t="s">
        <v>3475</v>
      </c>
      <c r="H1269" s="8" t="s">
        <v>3477</v>
      </c>
      <c r="I1269" s="14">
        <v>45317</v>
      </c>
    </row>
    <row r="1270" spans="1:9" x14ac:dyDescent="0.15">
      <c r="A1270" s="5">
        <v>1269</v>
      </c>
      <c r="B1270" s="6" t="s">
        <v>9</v>
      </c>
      <c r="C1270" s="7">
        <v>1884</v>
      </c>
      <c r="D1270" s="8">
        <v>45402</v>
      </c>
      <c r="E1270" s="9" t="str">
        <f>+HYPERLINK("http://trademark.i-assist.jp/data/china/image_1884th/76623381.pdf", "76623381")</f>
        <v>76623381</v>
      </c>
      <c r="F1270" s="6" t="s">
        <v>3479</v>
      </c>
      <c r="G1270" s="6" t="s">
        <v>3478</v>
      </c>
      <c r="H1270" s="8" t="s">
        <v>3480</v>
      </c>
      <c r="I1270" s="14">
        <v>45317</v>
      </c>
    </row>
    <row r="1271" spans="1:9" x14ac:dyDescent="0.15">
      <c r="A1271" s="5">
        <v>1270</v>
      </c>
      <c r="B1271" s="6" t="s">
        <v>9</v>
      </c>
      <c r="C1271" s="7">
        <v>1884</v>
      </c>
      <c r="D1271" s="8">
        <v>45402</v>
      </c>
      <c r="E1271" s="9" t="str">
        <f>+HYPERLINK("http://trademark.i-assist.jp/data/china/image_1884th/76623402.pdf", "76623402")</f>
        <v>76623402</v>
      </c>
      <c r="F1271" s="6" t="s">
        <v>3482</v>
      </c>
      <c r="G1271" s="6" t="s">
        <v>3481</v>
      </c>
      <c r="H1271" s="8" t="s">
        <v>3483</v>
      </c>
      <c r="I1271" s="14">
        <v>45317</v>
      </c>
    </row>
    <row r="1272" spans="1:9" x14ac:dyDescent="0.15">
      <c r="A1272" s="5">
        <v>1271</v>
      </c>
      <c r="B1272" s="6" t="s">
        <v>9</v>
      </c>
      <c r="C1272" s="7">
        <v>1884</v>
      </c>
      <c r="D1272" s="8">
        <v>45402</v>
      </c>
      <c r="E1272" s="9" t="str">
        <f>+HYPERLINK("http://trademark.i-assist.jp/data/china/image_1884th/76623953.pdf", "76623953")</f>
        <v>76623953</v>
      </c>
      <c r="F1272" s="6" t="s">
        <v>3485</v>
      </c>
      <c r="G1272" s="6" t="s">
        <v>3484</v>
      </c>
      <c r="H1272" s="8" t="s">
        <v>3486</v>
      </c>
      <c r="I1272" s="14">
        <v>45317</v>
      </c>
    </row>
    <row r="1273" spans="1:9" x14ac:dyDescent="0.15">
      <c r="A1273" s="5">
        <v>1272</v>
      </c>
      <c r="B1273" s="6" t="s">
        <v>9</v>
      </c>
      <c r="C1273" s="7">
        <v>1884</v>
      </c>
      <c r="D1273" s="8">
        <v>45402</v>
      </c>
      <c r="E1273" s="9" t="str">
        <f>+HYPERLINK("http://trademark.i-assist.jp/data/china/image_1884th/76624372.pdf", "76624372")</f>
        <v>76624372</v>
      </c>
      <c r="F1273" s="6" t="s">
        <v>3488</v>
      </c>
      <c r="G1273" s="6" t="s">
        <v>3487</v>
      </c>
      <c r="H1273" s="8" t="s">
        <v>3489</v>
      </c>
      <c r="I1273" s="14">
        <v>45317</v>
      </c>
    </row>
    <row r="1274" spans="1:9" x14ac:dyDescent="0.15">
      <c r="A1274" s="5">
        <v>1273</v>
      </c>
      <c r="B1274" s="6" t="s">
        <v>9</v>
      </c>
      <c r="C1274" s="7">
        <v>1884</v>
      </c>
      <c r="D1274" s="8">
        <v>45402</v>
      </c>
      <c r="E1274" s="9" t="str">
        <f>+HYPERLINK("http://trademark.i-assist.jp/data/china/image_1884th/76624532.pdf", "76624532")</f>
        <v>76624532</v>
      </c>
      <c r="F1274" s="6" t="s">
        <v>3491</v>
      </c>
      <c r="G1274" s="6" t="s">
        <v>3490</v>
      </c>
      <c r="H1274" s="8" t="s">
        <v>3492</v>
      </c>
      <c r="I1274" s="14">
        <v>45317</v>
      </c>
    </row>
    <row r="1275" spans="1:9" x14ac:dyDescent="0.15">
      <c r="A1275" s="5">
        <v>1274</v>
      </c>
      <c r="B1275" s="6" t="s">
        <v>9</v>
      </c>
      <c r="C1275" s="7">
        <v>1884</v>
      </c>
      <c r="D1275" s="8">
        <v>45402</v>
      </c>
      <c r="E1275" s="9" t="str">
        <f>+HYPERLINK("http://trademark.i-assist.jp/data/china/image_1884th/76624817.pdf", "76624817")</f>
        <v>76624817</v>
      </c>
      <c r="F1275" s="6" t="s">
        <v>3494</v>
      </c>
      <c r="G1275" s="6" t="s">
        <v>3493</v>
      </c>
      <c r="H1275" s="8" t="s">
        <v>3495</v>
      </c>
      <c r="I1275" s="14">
        <v>45317</v>
      </c>
    </row>
    <row r="1276" spans="1:9" x14ac:dyDescent="0.15">
      <c r="A1276" s="5">
        <v>1275</v>
      </c>
      <c r="B1276" s="6" t="s">
        <v>9</v>
      </c>
      <c r="C1276" s="7">
        <v>1884</v>
      </c>
      <c r="D1276" s="8">
        <v>45402</v>
      </c>
      <c r="E1276" s="9" t="str">
        <f>+HYPERLINK("http://trademark.i-assist.jp/data/china/image_1884th/76624825.pdf", "76624825")</f>
        <v>76624825</v>
      </c>
      <c r="F1276" s="6" t="s">
        <v>3497</v>
      </c>
      <c r="G1276" s="6" t="s">
        <v>3496</v>
      </c>
      <c r="H1276" s="8" t="s">
        <v>3498</v>
      </c>
      <c r="I1276" s="14">
        <v>45317</v>
      </c>
    </row>
    <row r="1277" spans="1:9" x14ac:dyDescent="0.15">
      <c r="A1277" s="5">
        <v>1276</v>
      </c>
      <c r="B1277" s="6" t="s">
        <v>9</v>
      </c>
      <c r="C1277" s="7">
        <v>1884</v>
      </c>
      <c r="D1277" s="8">
        <v>45402</v>
      </c>
      <c r="E1277" s="9" t="str">
        <f>+HYPERLINK("http://trademark.i-assist.jp/data/china/image_1884th/76625219.pdf", "76625219")</f>
        <v>76625219</v>
      </c>
      <c r="F1277" s="6" t="s">
        <v>3500</v>
      </c>
      <c r="G1277" s="6" t="s">
        <v>3499</v>
      </c>
      <c r="H1277" s="8" t="s">
        <v>3501</v>
      </c>
      <c r="I1277" s="14">
        <v>45317</v>
      </c>
    </row>
    <row r="1278" spans="1:9" x14ac:dyDescent="0.15">
      <c r="A1278" s="5">
        <v>1277</v>
      </c>
      <c r="B1278" s="6" t="s">
        <v>9</v>
      </c>
      <c r="C1278" s="7">
        <v>1884</v>
      </c>
      <c r="D1278" s="8">
        <v>45402</v>
      </c>
      <c r="E1278" s="9" t="str">
        <f>+HYPERLINK("http://trademark.i-assist.jp/data/china/image_1884th/76625442.pdf", "76625442")</f>
        <v>76625442</v>
      </c>
      <c r="F1278" s="6" t="s">
        <v>3503</v>
      </c>
      <c r="G1278" s="6" t="s">
        <v>3502</v>
      </c>
      <c r="H1278" s="8" t="s">
        <v>3504</v>
      </c>
      <c r="I1278" s="14">
        <v>45317</v>
      </c>
    </row>
    <row r="1279" spans="1:9" x14ac:dyDescent="0.15">
      <c r="A1279" s="5">
        <v>1278</v>
      </c>
      <c r="B1279" s="6" t="s">
        <v>9</v>
      </c>
      <c r="C1279" s="7">
        <v>1884</v>
      </c>
      <c r="D1279" s="8">
        <v>45402</v>
      </c>
      <c r="E1279" s="9" t="str">
        <f>+HYPERLINK("http://trademark.i-assist.jp/data/china/image_1884th/76625841.pdf", "76625841")</f>
        <v>76625841</v>
      </c>
      <c r="F1279" s="6" t="s">
        <v>3506</v>
      </c>
      <c r="G1279" s="6" t="s">
        <v>3505</v>
      </c>
      <c r="H1279" s="8" t="s">
        <v>3507</v>
      </c>
      <c r="I1279" s="14">
        <v>45317</v>
      </c>
    </row>
    <row r="1280" spans="1:9" x14ac:dyDescent="0.15">
      <c r="A1280" s="5">
        <v>1279</v>
      </c>
      <c r="B1280" s="6" t="s">
        <v>9</v>
      </c>
      <c r="C1280" s="7">
        <v>1884</v>
      </c>
      <c r="D1280" s="8">
        <v>45402</v>
      </c>
      <c r="E1280" s="9" t="str">
        <f>+HYPERLINK("http://trademark.i-assist.jp/data/china/image_1884th/76625851.pdf", "76625851")</f>
        <v>76625851</v>
      </c>
      <c r="F1280" s="6" t="s">
        <v>3508</v>
      </c>
      <c r="G1280" s="6" t="s">
        <v>2727</v>
      </c>
      <c r="H1280" s="8" t="s">
        <v>3451</v>
      </c>
      <c r="I1280" s="14">
        <v>45317</v>
      </c>
    </row>
    <row r="1281" spans="1:9" x14ac:dyDescent="0.15">
      <c r="A1281" s="5">
        <v>1280</v>
      </c>
      <c r="B1281" s="6" t="s">
        <v>9</v>
      </c>
      <c r="C1281" s="7">
        <v>1884</v>
      </c>
      <c r="D1281" s="8">
        <v>45402</v>
      </c>
      <c r="E1281" s="9" t="str">
        <f>+HYPERLINK("http://trademark.i-assist.jp/data/china/image_1884th/76625936.pdf", "76625936")</f>
        <v>76625936</v>
      </c>
      <c r="F1281" s="6" t="s">
        <v>3510</v>
      </c>
      <c r="G1281" s="6" t="s">
        <v>3509</v>
      </c>
      <c r="H1281" s="8" t="s">
        <v>3511</v>
      </c>
      <c r="I1281" s="14">
        <v>45317</v>
      </c>
    </row>
    <row r="1282" spans="1:9" x14ac:dyDescent="0.15">
      <c r="A1282" s="5">
        <v>1281</v>
      </c>
      <c r="B1282" s="6" t="s">
        <v>9</v>
      </c>
      <c r="C1282" s="7">
        <v>1884</v>
      </c>
      <c r="D1282" s="8">
        <v>45402</v>
      </c>
      <c r="E1282" s="9" t="str">
        <f>+HYPERLINK("http://trademark.i-assist.jp/data/china/image_1884th/76626058.pdf", "76626058")</f>
        <v>76626058</v>
      </c>
      <c r="F1282" s="6" t="s">
        <v>3513</v>
      </c>
      <c r="G1282" s="6" t="s">
        <v>3512</v>
      </c>
      <c r="H1282" s="8" t="s">
        <v>3514</v>
      </c>
      <c r="I1282" s="14">
        <v>45317</v>
      </c>
    </row>
    <row r="1283" spans="1:9" x14ac:dyDescent="0.15">
      <c r="A1283" s="5">
        <v>1282</v>
      </c>
      <c r="B1283" s="6" t="s">
        <v>9</v>
      </c>
      <c r="C1283" s="7">
        <v>1884</v>
      </c>
      <c r="D1283" s="8">
        <v>45402</v>
      </c>
      <c r="E1283" s="9" t="str">
        <f>+HYPERLINK("http://trademark.i-assist.jp/data/china/image_1884th/76626231.pdf", "76626231")</f>
        <v>76626231</v>
      </c>
      <c r="F1283" s="6" t="s">
        <v>3516</v>
      </c>
      <c r="G1283" s="6" t="s">
        <v>3515</v>
      </c>
      <c r="H1283" s="8" t="s">
        <v>3517</v>
      </c>
      <c r="I1283" s="14">
        <v>45317</v>
      </c>
    </row>
    <row r="1284" spans="1:9" x14ac:dyDescent="0.15">
      <c r="A1284" s="5">
        <v>1283</v>
      </c>
      <c r="B1284" s="6" t="s">
        <v>9</v>
      </c>
      <c r="C1284" s="7">
        <v>1884</v>
      </c>
      <c r="D1284" s="8">
        <v>45402</v>
      </c>
      <c r="E1284" s="9" t="str">
        <f>+HYPERLINK("http://trademark.i-assist.jp/data/china/image_1884th/76626246.pdf", "76626246")</f>
        <v>76626246</v>
      </c>
      <c r="F1284" s="6" t="s">
        <v>3519</v>
      </c>
      <c r="G1284" s="6" t="s">
        <v>3518</v>
      </c>
      <c r="H1284" s="8" t="s">
        <v>3520</v>
      </c>
      <c r="I1284" s="14">
        <v>45317</v>
      </c>
    </row>
    <row r="1285" spans="1:9" x14ac:dyDescent="0.15">
      <c r="A1285" s="5">
        <v>1284</v>
      </c>
      <c r="B1285" s="6" t="s">
        <v>9</v>
      </c>
      <c r="C1285" s="7">
        <v>1884</v>
      </c>
      <c r="D1285" s="8">
        <v>45402</v>
      </c>
      <c r="E1285" s="9" t="str">
        <f>+HYPERLINK("http://trademark.i-assist.jp/data/china/image_1884th/76626263.pdf", "76626263")</f>
        <v>76626263</v>
      </c>
      <c r="F1285" s="6" t="s">
        <v>3522</v>
      </c>
      <c r="G1285" s="6" t="s">
        <v>3521</v>
      </c>
      <c r="H1285" s="8" t="s">
        <v>3523</v>
      </c>
      <c r="I1285" s="14">
        <v>45317</v>
      </c>
    </row>
    <row r="1286" spans="1:9" x14ac:dyDescent="0.15">
      <c r="A1286" s="5">
        <v>1285</v>
      </c>
      <c r="B1286" s="6" t="s">
        <v>9</v>
      </c>
      <c r="C1286" s="7">
        <v>1884</v>
      </c>
      <c r="D1286" s="8">
        <v>45402</v>
      </c>
      <c r="E1286" s="9" t="str">
        <f>+HYPERLINK("http://trademark.i-assist.jp/data/china/image_1884th/76626298.pdf", "76626298")</f>
        <v>76626298</v>
      </c>
      <c r="F1286" s="6" t="s">
        <v>167</v>
      </c>
      <c r="G1286" s="6" t="s">
        <v>3524</v>
      </c>
      <c r="H1286" s="8" t="s">
        <v>3525</v>
      </c>
      <c r="I1286" s="14">
        <v>45317</v>
      </c>
    </row>
    <row r="1287" spans="1:9" x14ac:dyDescent="0.15">
      <c r="A1287" s="5">
        <v>1286</v>
      </c>
      <c r="B1287" s="6" t="s">
        <v>9</v>
      </c>
      <c r="C1287" s="7">
        <v>1884</v>
      </c>
      <c r="D1287" s="8">
        <v>45402</v>
      </c>
      <c r="E1287" s="9" t="str">
        <f>+HYPERLINK("http://trademark.i-assist.jp/data/china/image_1884th/76626626.pdf", "76626626")</f>
        <v>76626626</v>
      </c>
      <c r="F1287" s="6" t="s">
        <v>3527</v>
      </c>
      <c r="G1287" s="6" t="s">
        <v>3526</v>
      </c>
      <c r="H1287" s="8" t="s">
        <v>3528</v>
      </c>
      <c r="I1287" s="14">
        <v>45317</v>
      </c>
    </row>
    <row r="1288" spans="1:9" x14ac:dyDescent="0.15">
      <c r="A1288" s="5">
        <v>1287</v>
      </c>
      <c r="B1288" s="6" t="s">
        <v>9</v>
      </c>
      <c r="C1288" s="7">
        <v>1884</v>
      </c>
      <c r="D1288" s="8">
        <v>45402</v>
      </c>
      <c r="E1288" s="9" t="str">
        <f>+HYPERLINK("http://trademark.i-assist.jp/data/china/image_1884th/76626757.pdf", "76626757")</f>
        <v>76626757</v>
      </c>
      <c r="F1288" s="6" t="s">
        <v>3529</v>
      </c>
      <c r="G1288" s="6" t="s">
        <v>3461</v>
      </c>
      <c r="H1288" s="8" t="s">
        <v>3530</v>
      </c>
      <c r="I1288" s="14">
        <v>45317</v>
      </c>
    </row>
    <row r="1289" spans="1:9" x14ac:dyDescent="0.15">
      <c r="A1289" s="5">
        <v>1288</v>
      </c>
      <c r="B1289" s="6" t="s">
        <v>9</v>
      </c>
      <c r="C1289" s="7">
        <v>1884</v>
      </c>
      <c r="D1289" s="8">
        <v>45402</v>
      </c>
      <c r="E1289" s="9" t="str">
        <f>+HYPERLINK("http://trademark.i-assist.jp/data/china/image_1884th/76626814.pdf", "76626814")</f>
        <v>76626814</v>
      </c>
      <c r="F1289" s="6" t="s">
        <v>3532</v>
      </c>
      <c r="G1289" s="6" t="s">
        <v>3531</v>
      </c>
      <c r="H1289" s="8" t="s">
        <v>3533</v>
      </c>
      <c r="I1289" s="14">
        <v>45317</v>
      </c>
    </row>
    <row r="1290" spans="1:9" x14ac:dyDescent="0.15">
      <c r="A1290" s="5">
        <v>1289</v>
      </c>
      <c r="B1290" s="6" t="s">
        <v>9</v>
      </c>
      <c r="C1290" s="7">
        <v>1884</v>
      </c>
      <c r="D1290" s="8">
        <v>45402</v>
      </c>
      <c r="E1290" s="9" t="str">
        <f>+HYPERLINK("http://trademark.i-assist.jp/data/china/image_1884th/76627670.pdf", "76627670")</f>
        <v>76627670</v>
      </c>
      <c r="F1290" s="6" t="s">
        <v>3535</v>
      </c>
      <c r="G1290" s="6" t="s">
        <v>3534</v>
      </c>
      <c r="H1290" s="8" t="s">
        <v>3536</v>
      </c>
      <c r="I1290" s="14">
        <v>45317</v>
      </c>
    </row>
    <row r="1291" spans="1:9" x14ac:dyDescent="0.15">
      <c r="A1291" s="5">
        <v>1290</v>
      </c>
      <c r="B1291" s="6" t="s">
        <v>9</v>
      </c>
      <c r="C1291" s="7">
        <v>1884</v>
      </c>
      <c r="D1291" s="8">
        <v>45402</v>
      </c>
      <c r="E1291" s="9" t="str">
        <f>+HYPERLINK("http://trademark.i-assist.jp/data/china/image_1884th/76628008.pdf", "76628008")</f>
        <v>76628008</v>
      </c>
      <c r="F1291" s="6" t="s">
        <v>3538</v>
      </c>
      <c r="G1291" s="6" t="s">
        <v>3537</v>
      </c>
      <c r="H1291" s="8" t="s">
        <v>3539</v>
      </c>
      <c r="I1291" s="14">
        <v>45317</v>
      </c>
    </row>
    <row r="1292" spans="1:9" x14ac:dyDescent="0.15">
      <c r="A1292" s="5">
        <v>1291</v>
      </c>
      <c r="B1292" s="6" t="s">
        <v>9</v>
      </c>
      <c r="C1292" s="7">
        <v>1884</v>
      </c>
      <c r="D1292" s="8">
        <v>45402</v>
      </c>
      <c r="E1292" s="9" t="str">
        <f>+HYPERLINK("http://trademark.i-assist.jp/data/china/image_1884th/76628099.pdf", "76628099")</f>
        <v>76628099</v>
      </c>
      <c r="F1292" s="6" t="s">
        <v>3540</v>
      </c>
      <c r="G1292" s="6" t="s">
        <v>3431</v>
      </c>
      <c r="H1292" s="8" t="s">
        <v>3541</v>
      </c>
      <c r="I1292" s="14">
        <v>45317</v>
      </c>
    </row>
    <row r="1293" spans="1:9" x14ac:dyDescent="0.15">
      <c r="A1293" s="5">
        <v>1292</v>
      </c>
      <c r="B1293" s="6" t="s">
        <v>9</v>
      </c>
      <c r="C1293" s="7">
        <v>1884</v>
      </c>
      <c r="D1293" s="8">
        <v>45402</v>
      </c>
      <c r="E1293" s="9" t="str">
        <f>+HYPERLINK("http://trademark.i-assist.jp/data/china/image_1884th/76628298.pdf", "76628298")</f>
        <v>76628298</v>
      </c>
      <c r="F1293" s="6" t="s">
        <v>3543</v>
      </c>
      <c r="G1293" s="6" t="s">
        <v>3542</v>
      </c>
      <c r="H1293" s="8" t="s">
        <v>3544</v>
      </c>
      <c r="I1293" s="14">
        <v>45317</v>
      </c>
    </row>
    <row r="1294" spans="1:9" x14ac:dyDescent="0.15">
      <c r="A1294" s="5">
        <v>1293</v>
      </c>
      <c r="B1294" s="6" t="s">
        <v>9</v>
      </c>
      <c r="C1294" s="7">
        <v>1884</v>
      </c>
      <c r="D1294" s="8">
        <v>45402</v>
      </c>
      <c r="E1294" s="9" t="str">
        <f>+HYPERLINK("http://trademark.i-assist.jp/data/china/image_1884th/76628306.pdf", "76628306")</f>
        <v>76628306</v>
      </c>
      <c r="F1294" s="6" t="s">
        <v>3546</v>
      </c>
      <c r="G1294" s="6" t="s">
        <v>3545</v>
      </c>
      <c r="H1294" s="8" t="s">
        <v>3547</v>
      </c>
      <c r="I1294" s="14">
        <v>45317</v>
      </c>
    </row>
    <row r="1295" spans="1:9" x14ac:dyDescent="0.15">
      <c r="A1295" s="5">
        <v>1294</v>
      </c>
      <c r="B1295" s="6" t="s">
        <v>9</v>
      </c>
      <c r="C1295" s="7">
        <v>1884</v>
      </c>
      <c r="D1295" s="8">
        <v>45402</v>
      </c>
      <c r="E1295" s="9" t="str">
        <f>+HYPERLINK("http://trademark.i-assist.jp/data/china/image_1884th/76628472.pdf", "76628472")</f>
        <v>76628472</v>
      </c>
      <c r="F1295" s="6" t="s">
        <v>3549</v>
      </c>
      <c r="G1295" s="6" t="s">
        <v>3548</v>
      </c>
      <c r="H1295" s="8" t="s">
        <v>3550</v>
      </c>
      <c r="I1295" s="14">
        <v>45317</v>
      </c>
    </row>
    <row r="1296" spans="1:9" x14ac:dyDescent="0.15">
      <c r="A1296" s="5">
        <v>1295</v>
      </c>
      <c r="B1296" s="6" t="s">
        <v>9</v>
      </c>
      <c r="C1296" s="7">
        <v>1884</v>
      </c>
      <c r="D1296" s="8">
        <v>45402</v>
      </c>
      <c r="E1296" s="9" t="str">
        <f>+HYPERLINK("http://trademark.i-assist.jp/data/china/image_1884th/76628898.pdf", "76628898")</f>
        <v>76628898</v>
      </c>
      <c r="F1296" s="6" t="s">
        <v>3552</v>
      </c>
      <c r="G1296" s="6" t="s">
        <v>3551</v>
      </c>
      <c r="H1296" s="8" t="s">
        <v>3553</v>
      </c>
      <c r="I1296" s="14">
        <v>45317</v>
      </c>
    </row>
    <row r="1297" spans="1:9" x14ac:dyDescent="0.15">
      <c r="A1297" s="5">
        <v>1296</v>
      </c>
      <c r="B1297" s="6" t="s">
        <v>9</v>
      </c>
      <c r="C1297" s="7">
        <v>1884</v>
      </c>
      <c r="D1297" s="8">
        <v>45402</v>
      </c>
      <c r="E1297" s="9" t="str">
        <f>+HYPERLINK("http://trademark.i-assist.jp/data/china/image_1884th/76629406.pdf", "76629406")</f>
        <v>76629406</v>
      </c>
      <c r="F1297" s="6" t="s">
        <v>3555</v>
      </c>
      <c r="G1297" s="6" t="s">
        <v>3554</v>
      </c>
      <c r="H1297" s="8" t="s">
        <v>3556</v>
      </c>
      <c r="I1297" s="14">
        <v>45317</v>
      </c>
    </row>
    <row r="1298" spans="1:9" x14ac:dyDescent="0.15">
      <c r="A1298" s="5">
        <v>1297</v>
      </c>
      <c r="B1298" s="6" t="s">
        <v>9</v>
      </c>
      <c r="C1298" s="7">
        <v>1884</v>
      </c>
      <c r="D1298" s="8">
        <v>45402</v>
      </c>
      <c r="E1298" s="9" t="str">
        <f>+HYPERLINK("http://trademark.i-assist.jp/data/china/image_1884th/76629916.pdf", "76629916")</f>
        <v>76629916</v>
      </c>
      <c r="F1298" s="6" t="s">
        <v>3557</v>
      </c>
      <c r="G1298" s="6" t="s">
        <v>3361</v>
      </c>
      <c r="H1298" s="8" t="s">
        <v>3558</v>
      </c>
      <c r="I1298" s="14">
        <v>45317</v>
      </c>
    </row>
    <row r="1299" spans="1:9" x14ac:dyDescent="0.15">
      <c r="A1299" s="5">
        <v>1298</v>
      </c>
      <c r="B1299" s="6" t="s">
        <v>9</v>
      </c>
      <c r="C1299" s="7">
        <v>1884</v>
      </c>
      <c r="D1299" s="8">
        <v>45402</v>
      </c>
      <c r="E1299" s="9" t="str">
        <f>+HYPERLINK("http://trademark.i-assist.jp/data/china/image_1884th/76629957.pdf", "76629957")</f>
        <v>76629957</v>
      </c>
      <c r="F1299" s="6" t="s">
        <v>3560</v>
      </c>
      <c r="G1299" s="6" t="s">
        <v>3559</v>
      </c>
      <c r="H1299" s="8" t="s">
        <v>3561</v>
      </c>
      <c r="I1299" s="14">
        <v>45317</v>
      </c>
    </row>
    <row r="1300" spans="1:9" x14ac:dyDescent="0.15">
      <c r="A1300" s="5">
        <v>1299</v>
      </c>
      <c r="B1300" s="6" t="s">
        <v>9</v>
      </c>
      <c r="C1300" s="7">
        <v>1884</v>
      </c>
      <c r="D1300" s="8">
        <v>45402</v>
      </c>
      <c r="E1300" s="9" t="str">
        <f>+HYPERLINK("http://trademark.i-assist.jp/data/china/image_1884th/76629984.pdf", "76629984")</f>
        <v>76629984</v>
      </c>
      <c r="F1300" s="6" t="s">
        <v>3563</v>
      </c>
      <c r="G1300" s="6" t="s">
        <v>3562</v>
      </c>
      <c r="H1300" s="8" t="s">
        <v>3564</v>
      </c>
      <c r="I1300" s="14">
        <v>45317</v>
      </c>
    </row>
    <row r="1301" spans="1:9" x14ac:dyDescent="0.15">
      <c r="A1301" s="5">
        <v>1300</v>
      </c>
      <c r="B1301" s="6" t="s">
        <v>9</v>
      </c>
      <c r="C1301" s="7">
        <v>1884</v>
      </c>
      <c r="D1301" s="8">
        <v>45402</v>
      </c>
      <c r="E1301" s="9" t="str">
        <f>+HYPERLINK("http://trademark.i-assist.jp/data/china/image_1884th/76630161.pdf", "76630161")</f>
        <v>76630161</v>
      </c>
      <c r="F1301" s="6" t="s">
        <v>3566</v>
      </c>
      <c r="G1301" s="6" t="s">
        <v>3565</v>
      </c>
      <c r="H1301" s="8" t="s">
        <v>3149</v>
      </c>
      <c r="I1301" s="14">
        <v>45317</v>
      </c>
    </row>
    <row r="1302" spans="1:9" x14ac:dyDescent="0.15">
      <c r="A1302" s="5">
        <v>1301</v>
      </c>
      <c r="B1302" s="6" t="s">
        <v>9</v>
      </c>
      <c r="C1302" s="7">
        <v>1884</v>
      </c>
      <c r="D1302" s="8">
        <v>45402</v>
      </c>
      <c r="E1302" s="9" t="str">
        <f>+HYPERLINK("http://trademark.i-assist.jp/data/china/image_1884th/76630344.pdf", "76630344")</f>
        <v>76630344</v>
      </c>
      <c r="F1302" s="6" t="s">
        <v>3568</v>
      </c>
      <c r="G1302" s="6" t="s">
        <v>3567</v>
      </c>
      <c r="H1302" s="8" t="s">
        <v>2887</v>
      </c>
      <c r="I1302" s="14">
        <v>45317</v>
      </c>
    </row>
    <row r="1303" spans="1:9" x14ac:dyDescent="0.15">
      <c r="A1303" s="5">
        <v>1302</v>
      </c>
      <c r="B1303" s="6" t="s">
        <v>9</v>
      </c>
      <c r="C1303" s="7">
        <v>1884</v>
      </c>
      <c r="D1303" s="8">
        <v>45402</v>
      </c>
      <c r="E1303" s="9" t="str">
        <f>+HYPERLINK("http://trademark.i-assist.jp/data/china/image_1884th/76630543.pdf", "76630543")</f>
        <v>76630543</v>
      </c>
      <c r="F1303" s="6" t="s">
        <v>3570</v>
      </c>
      <c r="G1303" s="6" t="s">
        <v>3569</v>
      </c>
      <c r="H1303" s="8" t="s">
        <v>3571</v>
      </c>
      <c r="I1303" s="14">
        <v>45317</v>
      </c>
    </row>
    <row r="1304" spans="1:9" x14ac:dyDescent="0.15">
      <c r="A1304" s="5">
        <v>1303</v>
      </c>
      <c r="B1304" s="6" t="s">
        <v>9</v>
      </c>
      <c r="C1304" s="7">
        <v>1884</v>
      </c>
      <c r="D1304" s="8">
        <v>45402</v>
      </c>
      <c r="E1304" s="9" t="str">
        <f>+HYPERLINK("http://trademark.i-assist.jp/data/china/image_1884th/76630630.pdf", "76630630")</f>
        <v>76630630</v>
      </c>
      <c r="F1304" s="6" t="s">
        <v>3573</v>
      </c>
      <c r="G1304" s="6" t="s">
        <v>3572</v>
      </c>
      <c r="H1304" s="8" t="s">
        <v>3574</v>
      </c>
      <c r="I1304" s="14">
        <v>45317</v>
      </c>
    </row>
    <row r="1305" spans="1:9" x14ac:dyDescent="0.15">
      <c r="A1305" s="5">
        <v>1304</v>
      </c>
      <c r="B1305" s="6" t="s">
        <v>9</v>
      </c>
      <c r="C1305" s="7">
        <v>1884</v>
      </c>
      <c r="D1305" s="8">
        <v>45402</v>
      </c>
      <c r="E1305" s="9" t="str">
        <f>+HYPERLINK("http://trademark.i-assist.jp/data/china/image_1884th/76630760.pdf", "76630760")</f>
        <v>76630760</v>
      </c>
      <c r="F1305" s="6" t="s">
        <v>3576</v>
      </c>
      <c r="G1305" s="6" t="s">
        <v>3575</v>
      </c>
      <c r="H1305" s="8" t="s">
        <v>3577</v>
      </c>
      <c r="I1305" s="14">
        <v>45317</v>
      </c>
    </row>
    <row r="1306" spans="1:9" x14ac:dyDescent="0.15">
      <c r="A1306" s="5">
        <v>1305</v>
      </c>
      <c r="B1306" s="6" t="s">
        <v>9</v>
      </c>
      <c r="C1306" s="7">
        <v>1884</v>
      </c>
      <c r="D1306" s="8">
        <v>45402</v>
      </c>
      <c r="E1306" s="9" t="str">
        <f>+HYPERLINK("http://trademark.i-assist.jp/data/china/image_1884th/76631007.pdf", "76631007")</f>
        <v>76631007</v>
      </c>
      <c r="F1306" s="6" t="s">
        <v>3579</v>
      </c>
      <c r="G1306" s="6" t="s">
        <v>3578</v>
      </c>
      <c r="H1306" s="8" t="s">
        <v>2249</v>
      </c>
      <c r="I1306" s="14">
        <v>45317</v>
      </c>
    </row>
    <row r="1307" spans="1:9" x14ac:dyDescent="0.15">
      <c r="A1307" s="5">
        <v>1306</v>
      </c>
      <c r="B1307" s="6" t="s">
        <v>9</v>
      </c>
      <c r="C1307" s="7">
        <v>1884</v>
      </c>
      <c r="D1307" s="8">
        <v>45402</v>
      </c>
      <c r="E1307" s="9" t="str">
        <f>+HYPERLINK("http://trademark.i-assist.jp/data/china/image_1884th/76631127.pdf", "76631127")</f>
        <v>76631127</v>
      </c>
      <c r="F1307" s="6" t="s">
        <v>3580</v>
      </c>
      <c r="G1307" s="6" t="s">
        <v>3458</v>
      </c>
      <c r="H1307" s="8" t="s">
        <v>3460</v>
      </c>
      <c r="I1307" s="14">
        <v>45317</v>
      </c>
    </row>
    <row r="1308" spans="1:9" x14ac:dyDescent="0.15">
      <c r="A1308" s="5">
        <v>1307</v>
      </c>
      <c r="B1308" s="6" t="s">
        <v>9</v>
      </c>
      <c r="C1308" s="7">
        <v>1884</v>
      </c>
      <c r="D1308" s="8">
        <v>45402</v>
      </c>
      <c r="E1308" s="9" t="str">
        <f>+HYPERLINK("http://trademark.i-assist.jp/data/china/image_1884th/76631256.pdf", "76631256")</f>
        <v>76631256</v>
      </c>
      <c r="F1308" s="6" t="s">
        <v>3582</v>
      </c>
      <c r="G1308" s="6" t="s">
        <v>3581</v>
      </c>
      <c r="H1308" s="8" t="s">
        <v>3583</v>
      </c>
      <c r="I1308" s="14">
        <v>45317</v>
      </c>
    </row>
    <row r="1309" spans="1:9" x14ac:dyDescent="0.15">
      <c r="A1309" s="5">
        <v>1308</v>
      </c>
      <c r="B1309" s="6" t="s">
        <v>9</v>
      </c>
      <c r="C1309" s="7">
        <v>1884</v>
      </c>
      <c r="D1309" s="8">
        <v>45402</v>
      </c>
      <c r="E1309" s="9" t="str">
        <f>+HYPERLINK("http://trademark.i-assist.jp/data/china/image_1884th/76631683.pdf", "76631683")</f>
        <v>76631683</v>
      </c>
      <c r="F1309" s="6" t="s">
        <v>3585</v>
      </c>
      <c r="G1309" s="6" t="s">
        <v>3584</v>
      </c>
      <c r="H1309" s="8" t="s">
        <v>3586</v>
      </c>
      <c r="I1309" s="14">
        <v>45317</v>
      </c>
    </row>
    <row r="1310" spans="1:9" x14ac:dyDescent="0.15">
      <c r="A1310" s="5">
        <v>1309</v>
      </c>
      <c r="B1310" s="6" t="s">
        <v>9</v>
      </c>
      <c r="C1310" s="7">
        <v>1884</v>
      </c>
      <c r="D1310" s="8">
        <v>45402</v>
      </c>
      <c r="E1310" s="9" t="str">
        <f>+HYPERLINK("http://trademark.i-assist.jp/data/china/image_1884th/76632145.pdf", "76632145")</f>
        <v>76632145</v>
      </c>
      <c r="F1310" s="6" t="s">
        <v>167</v>
      </c>
      <c r="G1310" s="6" t="s">
        <v>3587</v>
      </c>
      <c r="H1310" s="8" t="s">
        <v>3588</v>
      </c>
      <c r="I1310" s="14">
        <v>45317</v>
      </c>
    </row>
    <row r="1311" spans="1:9" x14ac:dyDescent="0.15">
      <c r="A1311" s="5">
        <v>1310</v>
      </c>
      <c r="B1311" s="6" t="s">
        <v>9</v>
      </c>
      <c r="C1311" s="7">
        <v>1884</v>
      </c>
      <c r="D1311" s="8">
        <v>45402</v>
      </c>
      <c r="E1311" s="9" t="str">
        <f>+HYPERLINK("http://trademark.i-assist.jp/data/china/image_1884th/76632803.pdf", "76632803")</f>
        <v>76632803</v>
      </c>
      <c r="F1311" s="6" t="s">
        <v>167</v>
      </c>
      <c r="G1311" s="6" t="s">
        <v>3385</v>
      </c>
      <c r="H1311" s="8" t="s">
        <v>3589</v>
      </c>
      <c r="I1311" s="14">
        <v>45317</v>
      </c>
    </row>
    <row r="1312" spans="1:9" x14ac:dyDescent="0.15">
      <c r="A1312" s="5">
        <v>1311</v>
      </c>
      <c r="B1312" s="6" t="s">
        <v>9</v>
      </c>
      <c r="C1312" s="7">
        <v>1884</v>
      </c>
      <c r="D1312" s="8">
        <v>45402</v>
      </c>
      <c r="E1312" s="9" t="str">
        <f>+HYPERLINK("http://trademark.i-assist.jp/data/china/image_1884th/76632930.pdf", "76632930")</f>
        <v>76632930</v>
      </c>
      <c r="F1312" s="6" t="s">
        <v>3590</v>
      </c>
      <c r="G1312" s="6" t="s">
        <v>3562</v>
      </c>
      <c r="H1312" s="8" t="s">
        <v>3591</v>
      </c>
      <c r="I1312" s="14">
        <v>45317</v>
      </c>
    </row>
    <row r="1313" spans="1:9" x14ac:dyDescent="0.15">
      <c r="A1313" s="5">
        <v>1312</v>
      </c>
      <c r="B1313" s="6" t="s">
        <v>9</v>
      </c>
      <c r="C1313" s="7">
        <v>1884</v>
      </c>
      <c r="D1313" s="8">
        <v>45402</v>
      </c>
      <c r="E1313" s="9" t="str">
        <f>+HYPERLINK("http://trademark.i-assist.jp/data/china/image_1884th/76633511.pdf", "76633511")</f>
        <v>76633511</v>
      </c>
      <c r="F1313" s="6" t="s">
        <v>3593</v>
      </c>
      <c r="G1313" s="6" t="s">
        <v>3592</v>
      </c>
      <c r="H1313" s="8" t="s">
        <v>3594</v>
      </c>
      <c r="I1313" s="14">
        <v>45317</v>
      </c>
    </row>
    <row r="1314" spans="1:9" x14ac:dyDescent="0.15">
      <c r="A1314" s="5">
        <v>1313</v>
      </c>
      <c r="B1314" s="6" t="s">
        <v>9</v>
      </c>
      <c r="C1314" s="7">
        <v>1884</v>
      </c>
      <c r="D1314" s="8">
        <v>45402</v>
      </c>
      <c r="E1314" s="9" t="str">
        <f>+HYPERLINK("http://trademark.i-assist.jp/data/china/image_1884th/76633693.pdf", "76633693")</f>
        <v>76633693</v>
      </c>
      <c r="F1314" s="6" t="s">
        <v>3596</v>
      </c>
      <c r="G1314" s="6" t="s">
        <v>3595</v>
      </c>
      <c r="H1314" s="8" t="s">
        <v>3597</v>
      </c>
      <c r="I1314" s="14">
        <v>45317</v>
      </c>
    </row>
    <row r="1315" spans="1:9" x14ac:dyDescent="0.15">
      <c r="A1315" s="5">
        <v>1314</v>
      </c>
      <c r="B1315" s="6" t="s">
        <v>9</v>
      </c>
      <c r="C1315" s="7">
        <v>1884</v>
      </c>
      <c r="D1315" s="8">
        <v>45402</v>
      </c>
      <c r="E1315" s="9" t="str">
        <f>+HYPERLINK("http://trademark.i-assist.jp/data/china/image_1884th/76634242.pdf", "76634242")</f>
        <v>76634242</v>
      </c>
      <c r="F1315" s="6" t="s">
        <v>3599</v>
      </c>
      <c r="G1315" s="6" t="s">
        <v>3598</v>
      </c>
      <c r="H1315" s="8" t="s">
        <v>3600</v>
      </c>
      <c r="I1315" s="14">
        <v>45317</v>
      </c>
    </row>
    <row r="1316" spans="1:9" x14ac:dyDescent="0.15">
      <c r="A1316" s="5">
        <v>1315</v>
      </c>
      <c r="B1316" s="6" t="s">
        <v>9</v>
      </c>
      <c r="C1316" s="7">
        <v>1884</v>
      </c>
      <c r="D1316" s="8">
        <v>45402</v>
      </c>
      <c r="E1316" s="9" t="str">
        <f>+HYPERLINK("http://trademark.i-assist.jp/data/china/image_1884th/76634852.pdf", "76634852")</f>
        <v>76634852</v>
      </c>
      <c r="F1316" s="6" t="s">
        <v>3601</v>
      </c>
      <c r="G1316" s="6" t="s">
        <v>3458</v>
      </c>
      <c r="H1316" s="8" t="s">
        <v>3460</v>
      </c>
      <c r="I1316" s="14">
        <v>45317</v>
      </c>
    </row>
    <row r="1317" spans="1:9" x14ac:dyDescent="0.15">
      <c r="A1317" s="5">
        <v>1316</v>
      </c>
      <c r="B1317" s="6" t="s">
        <v>9</v>
      </c>
      <c r="C1317" s="7">
        <v>1884</v>
      </c>
      <c r="D1317" s="8">
        <v>45402</v>
      </c>
      <c r="E1317" s="9" t="str">
        <f>+HYPERLINK("http://trademark.i-assist.jp/data/china/image_1884th/76635046.pdf", "76635046")</f>
        <v>76635046</v>
      </c>
      <c r="F1317" s="6" t="s">
        <v>3602</v>
      </c>
      <c r="G1317" s="6" t="s">
        <v>3562</v>
      </c>
      <c r="H1317" s="8" t="s">
        <v>3603</v>
      </c>
      <c r="I1317" s="14">
        <v>45317</v>
      </c>
    </row>
    <row r="1318" spans="1:9" x14ac:dyDescent="0.15">
      <c r="A1318" s="5">
        <v>1317</v>
      </c>
      <c r="B1318" s="6" t="s">
        <v>9</v>
      </c>
      <c r="C1318" s="7">
        <v>1884</v>
      </c>
      <c r="D1318" s="8">
        <v>45402</v>
      </c>
      <c r="E1318" s="9" t="str">
        <f>+HYPERLINK("http://trademark.i-assist.jp/data/china/image_1884th/76635063.pdf", "76635063")</f>
        <v>76635063</v>
      </c>
      <c r="F1318" s="6" t="s">
        <v>3605</v>
      </c>
      <c r="G1318" s="6" t="s">
        <v>3604</v>
      </c>
      <c r="H1318" s="8" t="s">
        <v>3606</v>
      </c>
      <c r="I1318" s="14">
        <v>45317</v>
      </c>
    </row>
    <row r="1319" spans="1:9" x14ac:dyDescent="0.15">
      <c r="A1319" s="5">
        <v>1318</v>
      </c>
      <c r="B1319" s="6" t="s">
        <v>9</v>
      </c>
      <c r="C1319" s="7">
        <v>1884</v>
      </c>
      <c r="D1319" s="8">
        <v>45402</v>
      </c>
      <c r="E1319" s="9" t="str">
        <f>+HYPERLINK("http://trademark.i-assist.jp/data/china/image_1884th/76635097.pdf", "76635097")</f>
        <v>76635097</v>
      </c>
      <c r="F1319" s="6" t="s">
        <v>3608</v>
      </c>
      <c r="G1319" s="6" t="s">
        <v>3607</v>
      </c>
      <c r="H1319" s="8" t="s">
        <v>3609</v>
      </c>
      <c r="I1319" s="14">
        <v>45317</v>
      </c>
    </row>
    <row r="1320" spans="1:9" x14ac:dyDescent="0.15">
      <c r="A1320" s="5">
        <v>1319</v>
      </c>
      <c r="B1320" s="6" t="s">
        <v>9</v>
      </c>
      <c r="C1320" s="7">
        <v>1884</v>
      </c>
      <c r="D1320" s="8">
        <v>45402</v>
      </c>
      <c r="E1320" s="9" t="str">
        <f>+HYPERLINK("http://trademark.i-assist.jp/data/china/image_1884th/76635099.pdf", "76635099")</f>
        <v>76635099</v>
      </c>
      <c r="F1320" s="6" t="s">
        <v>3611</v>
      </c>
      <c r="G1320" s="6" t="s">
        <v>3610</v>
      </c>
      <c r="H1320" s="8" t="s">
        <v>3612</v>
      </c>
      <c r="I1320" s="14">
        <v>45317</v>
      </c>
    </row>
    <row r="1321" spans="1:9" x14ac:dyDescent="0.15">
      <c r="A1321" s="5">
        <v>1320</v>
      </c>
      <c r="B1321" s="6" t="s">
        <v>9</v>
      </c>
      <c r="C1321" s="7">
        <v>1884</v>
      </c>
      <c r="D1321" s="8">
        <v>45402</v>
      </c>
      <c r="E1321" s="9" t="str">
        <f>+HYPERLINK("http://trademark.i-assist.jp/data/china/image_1884th/76635339.pdf", "76635339")</f>
        <v>76635339</v>
      </c>
      <c r="F1321" s="6" t="s">
        <v>3614</v>
      </c>
      <c r="G1321" s="6" t="s">
        <v>3613</v>
      </c>
      <c r="H1321" s="8" t="s">
        <v>3615</v>
      </c>
      <c r="I1321" s="14">
        <v>45317</v>
      </c>
    </row>
    <row r="1322" spans="1:9" x14ac:dyDescent="0.15">
      <c r="A1322" s="5">
        <v>1321</v>
      </c>
      <c r="B1322" s="6" t="s">
        <v>9</v>
      </c>
      <c r="C1322" s="7">
        <v>1884</v>
      </c>
      <c r="D1322" s="8">
        <v>45402</v>
      </c>
      <c r="E1322" s="9" t="str">
        <f>+HYPERLINK("http://trademark.i-assist.jp/data/china/image_1884th/76635749.pdf", "76635749")</f>
        <v>76635749</v>
      </c>
      <c r="F1322" s="6" t="s">
        <v>3616</v>
      </c>
      <c r="G1322" s="6" t="s">
        <v>3343</v>
      </c>
      <c r="H1322" s="8" t="s">
        <v>3617</v>
      </c>
      <c r="I1322" s="14">
        <v>45317</v>
      </c>
    </row>
    <row r="1323" spans="1:9" x14ac:dyDescent="0.15">
      <c r="A1323" s="5">
        <v>1322</v>
      </c>
      <c r="B1323" s="6" t="s">
        <v>9</v>
      </c>
      <c r="C1323" s="7">
        <v>1884</v>
      </c>
      <c r="D1323" s="8">
        <v>45402</v>
      </c>
      <c r="E1323" s="9" t="str">
        <f>+HYPERLINK("http://trademark.i-assist.jp/data/china/image_1884th/76636041.pdf", "76636041")</f>
        <v>76636041</v>
      </c>
      <c r="F1323" s="6" t="s">
        <v>3619</v>
      </c>
      <c r="G1323" s="6" t="s">
        <v>3618</v>
      </c>
      <c r="H1323" s="8" t="s">
        <v>3620</v>
      </c>
      <c r="I1323" s="14">
        <v>45317</v>
      </c>
    </row>
    <row r="1324" spans="1:9" x14ac:dyDescent="0.15">
      <c r="A1324" s="5">
        <v>1323</v>
      </c>
      <c r="B1324" s="6" t="s">
        <v>9</v>
      </c>
      <c r="C1324" s="7">
        <v>1884</v>
      </c>
      <c r="D1324" s="8">
        <v>45402</v>
      </c>
      <c r="E1324" s="9" t="str">
        <f>+HYPERLINK("http://trademark.i-assist.jp/data/china/image_1884th/76636556.pdf", "76636556")</f>
        <v>76636556</v>
      </c>
      <c r="F1324" s="6" t="s">
        <v>3621</v>
      </c>
      <c r="G1324" s="6" t="s">
        <v>3340</v>
      </c>
      <c r="H1324" s="8" t="s">
        <v>3622</v>
      </c>
      <c r="I1324" s="14">
        <v>45317</v>
      </c>
    </row>
    <row r="1325" spans="1:9" x14ac:dyDescent="0.15">
      <c r="A1325" s="5">
        <v>1324</v>
      </c>
      <c r="B1325" s="6" t="s">
        <v>9</v>
      </c>
      <c r="C1325" s="7">
        <v>1884</v>
      </c>
      <c r="D1325" s="8">
        <v>45402</v>
      </c>
      <c r="E1325" s="9" t="str">
        <f>+HYPERLINK("http://trademark.i-assist.jp/data/china/image_1884th/76636587.pdf", "76636587")</f>
        <v>76636587</v>
      </c>
      <c r="F1325" s="6" t="s">
        <v>3624</v>
      </c>
      <c r="G1325" s="6" t="s">
        <v>3623</v>
      </c>
      <c r="H1325" s="8" t="s">
        <v>3625</v>
      </c>
      <c r="I1325" s="14">
        <v>45317</v>
      </c>
    </row>
    <row r="1326" spans="1:9" x14ac:dyDescent="0.15">
      <c r="A1326" s="5">
        <v>1325</v>
      </c>
      <c r="B1326" s="6" t="s">
        <v>9</v>
      </c>
      <c r="C1326" s="7">
        <v>1884</v>
      </c>
      <c r="D1326" s="8">
        <v>45402</v>
      </c>
      <c r="E1326" s="9" t="str">
        <f>+HYPERLINK("http://trademark.i-assist.jp/data/china/image_1884th/76636711.pdf", "76636711")</f>
        <v>76636711</v>
      </c>
      <c r="F1326" s="6" t="s">
        <v>3627</v>
      </c>
      <c r="G1326" s="6" t="s">
        <v>3626</v>
      </c>
      <c r="H1326" s="8" t="s">
        <v>3628</v>
      </c>
      <c r="I1326" s="14">
        <v>45317</v>
      </c>
    </row>
    <row r="1327" spans="1:9" x14ac:dyDescent="0.15">
      <c r="A1327" s="5">
        <v>1326</v>
      </c>
      <c r="B1327" s="6" t="s">
        <v>9</v>
      </c>
      <c r="C1327" s="7">
        <v>1884</v>
      </c>
      <c r="D1327" s="8">
        <v>45402</v>
      </c>
      <c r="E1327" s="9" t="str">
        <f>+HYPERLINK("http://trademark.i-assist.jp/data/china/image_1884th/76636814.pdf", "76636814")</f>
        <v>76636814</v>
      </c>
      <c r="F1327" s="6" t="s">
        <v>3629</v>
      </c>
      <c r="G1327" s="6" t="s">
        <v>3595</v>
      </c>
      <c r="H1327" s="8" t="s">
        <v>3630</v>
      </c>
      <c r="I1327" s="14">
        <v>45317</v>
      </c>
    </row>
    <row r="1328" spans="1:9" x14ac:dyDescent="0.15">
      <c r="A1328" s="5">
        <v>1327</v>
      </c>
      <c r="B1328" s="6" t="s">
        <v>9</v>
      </c>
      <c r="C1328" s="7">
        <v>1884</v>
      </c>
      <c r="D1328" s="8">
        <v>45402</v>
      </c>
      <c r="E1328" s="9" t="str">
        <f>+HYPERLINK("http://trademark.i-assist.jp/data/china/image_1884th/76636918.pdf", "76636918")</f>
        <v>76636918</v>
      </c>
      <c r="F1328" s="6" t="s">
        <v>3632</v>
      </c>
      <c r="G1328" s="6" t="s">
        <v>3631</v>
      </c>
      <c r="H1328" s="8" t="s">
        <v>3633</v>
      </c>
      <c r="I1328" s="14">
        <v>45317</v>
      </c>
    </row>
    <row r="1329" spans="1:9" x14ac:dyDescent="0.15">
      <c r="A1329" s="5">
        <v>1328</v>
      </c>
      <c r="B1329" s="6" t="s">
        <v>9</v>
      </c>
      <c r="C1329" s="7">
        <v>1884</v>
      </c>
      <c r="D1329" s="8">
        <v>45402</v>
      </c>
      <c r="E1329" s="9" t="str">
        <f>+HYPERLINK("http://trademark.i-assist.jp/data/china/image_1884th/76637357.pdf", "76637357")</f>
        <v>76637357</v>
      </c>
      <c r="F1329" s="6" t="s">
        <v>3635</v>
      </c>
      <c r="G1329" s="6" t="s">
        <v>3634</v>
      </c>
      <c r="H1329" s="8" t="s">
        <v>467</v>
      </c>
      <c r="I1329" s="14">
        <v>45317</v>
      </c>
    </row>
    <row r="1330" spans="1:9" x14ac:dyDescent="0.15">
      <c r="A1330" s="5">
        <v>1329</v>
      </c>
      <c r="B1330" s="6" t="s">
        <v>9</v>
      </c>
      <c r="C1330" s="7">
        <v>1884</v>
      </c>
      <c r="D1330" s="8">
        <v>45402</v>
      </c>
      <c r="E1330" s="9" t="str">
        <f>+HYPERLINK("http://trademark.i-assist.jp/data/china/image_1884th/76637385.pdf", "76637385")</f>
        <v>76637385</v>
      </c>
      <c r="F1330" s="6" t="s">
        <v>3637</v>
      </c>
      <c r="G1330" s="6" t="s">
        <v>3636</v>
      </c>
      <c r="H1330" s="8" t="s">
        <v>3638</v>
      </c>
      <c r="I1330" s="14">
        <v>45317</v>
      </c>
    </row>
    <row r="1331" spans="1:9" x14ac:dyDescent="0.15">
      <c r="A1331" s="5">
        <v>1330</v>
      </c>
      <c r="B1331" s="6" t="s">
        <v>9</v>
      </c>
      <c r="C1331" s="7">
        <v>1884</v>
      </c>
      <c r="D1331" s="8">
        <v>45402</v>
      </c>
      <c r="E1331" s="9" t="str">
        <f>+HYPERLINK("http://trademark.i-assist.jp/data/china/image_1884th/76637556.pdf", "76637556")</f>
        <v>76637556</v>
      </c>
      <c r="F1331" s="6" t="s">
        <v>3640</v>
      </c>
      <c r="G1331" s="6" t="s">
        <v>3639</v>
      </c>
      <c r="H1331" s="8" t="s">
        <v>3641</v>
      </c>
      <c r="I1331" s="14">
        <v>45317</v>
      </c>
    </row>
    <row r="1332" spans="1:9" x14ac:dyDescent="0.15">
      <c r="A1332" s="5">
        <v>1331</v>
      </c>
      <c r="B1332" s="6" t="s">
        <v>9</v>
      </c>
      <c r="C1332" s="7">
        <v>1884</v>
      </c>
      <c r="D1332" s="8">
        <v>45402</v>
      </c>
      <c r="E1332" s="9" t="str">
        <f>+HYPERLINK("http://trademark.i-assist.jp/data/china/image_1884th/76637703.pdf", "76637703")</f>
        <v>76637703</v>
      </c>
      <c r="F1332" s="6" t="s">
        <v>3642</v>
      </c>
      <c r="G1332" s="6" t="s">
        <v>2727</v>
      </c>
      <c r="H1332" s="8" t="s">
        <v>3451</v>
      </c>
      <c r="I1332" s="14">
        <v>45317</v>
      </c>
    </row>
    <row r="1333" spans="1:9" x14ac:dyDescent="0.15">
      <c r="A1333" s="5">
        <v>1332</v>
      </c>
      <c r="B1333" s="6" t="s">
        <v>9</v>
      </c>
      <c r="C1333" s="7">
        <v>1884</v>
      </c>
      <c r="D1333" s="8">
        <v>45402</v>
      </c>
      <c r="E1333" s="9" t="str">
        <f>+HYPERLINK("http://trademark.i-assist.jp/data/china/image_1884th/76637871.pdf", "76637871")</f>
        <v>76637871</v>
      </c>
      <c r="F1333" s="6" t="s">
        <v>3644</v>
      </c>
      <c r="G1333" s="6" t="s">
        <v>3643</v>
      </c>
      <c r="H1333" s="8" t="s">
        <v>3645</v>
      </c>
      <c r="I1333" s="14">
        <v>45317</v>
      </c>
    </row>
    <row r="1334" spans="1:9" x14ac:dyDescent="0.15">
      <c r="A1334" s="5">
        <v>1333</v>
      </c>
      <c r="B1334" s="6" t="s">
        <v>9</v>
      </c>
      <c r="C1334" s="7">
        <v>1884</v>
      </c>
      <c r="D1334" s="8">
        <v>45402</v>
      </c>
      <c r="E1334" s="9" t="str">
        <f>+HYPERLINK("http://trademark.i-assist.jp/data/china/image_1884th/76638283.pdf", "76638283")</f>
        <v>76638283</v>
      </c>
      <c r="F1334" s="6" t="s">
        <v>3647</v>
      </c>
      <c r="G1334" s="6" t="s">
        <v>3646</v>
      </c>
      <c r="H1334" s="8" t="s">
        <v>3648</v>
      </c>
      <c r="I1334" s="14">
        <v>45317</v>
      </c>
    </row>
    <row r="1335" spans="1:9" x14ac:dyDescent="0.15">
      <c r="A1335" s="5">
        <v>1334</v>
      </c>
      <c r="B1335" s="6" t="s">
        <v>9</v>
      </c>
      <c r="C1335" s="7">
        <v>1884</v>
      </c>
      <c r="D1335" s="8">
        <v>45402</v>
      </c>
      <c r="E1335" s="9" t="str">
        <f>+HYPERLINK("http://trademark.i-assist.jp/data/china/image_1884th/76638724.pdf", "76638724")</f>
        <v>76638724</v>
      </c>
      <c r="F1335" s="6" t="s">
        <v>3650</v>
      </c>
      <c r="G1335" s="6" t="s">
        <v>3649</v>
      </c>
      <c r="H1335" s="8" t="s">
        <v>3651</v>
      </c>
      <c r="I1335" s="14">
        <v>45317</v>
      </c>
    </row>
    <row r="1336" spans="1:9" x14ac:dyDescent="0.15">
      <c r="A1336" s="5">
        <v>1335</v>
      </c>
      <c r="B1336" s="6" t="s">
        <v>9</v>
      </c>
      <c r="C1336" s="7">
        <v>1884</v>
      </c>
      <c r="D1336" s="8">
        <v>45402</v>
      </c>
      <c r="E1336" s="9" t="str">
        <f>+HYPERLINK("http://trademark.i-assist.jp/data/china/image_1884th/76638763.pdf", "76638763")</f>
        <v>76638763</v>
      </c>
      <c r="F1336" s="6" t="s">
        <v>3653</v>
      </c>
      <c r="G1336" s="6" t="s">
        <v>3652</v>
      </c>
      <c r="H1336" s="8" t="s">
        <v>3654</v>
      </c>
      <c r="I1336" s="14">
        <v>45317</v>
      </c>
    </row>
    <row r="1337" spans="1:9" x14ac:dyDescent="0.15">
      <c r="A1337" s="5">
        <v>1336</v>
      </c>
      <c r="B1337" s="6" t="s">
        <v>9</v>
      </c>
      <c r="C1337" s="7">
        <v>1884</v>
      </c>
      <c r="D1337" s="8">
        <v>45402</v>
      </c>
      <c r="E1337" s="9" t="str">
        <f>+HYPERLINK("http://trademark.i-assist.jp/data/china/image_1884th/76639083.pdf", "76639083")</f>
        <v>76639083</v>
      </c>
      <c r="F1337" s="6" t="s">
        <v>3656</v>
      </c>
      <c r="G1337" s="6" t="s">
        <v>3655</v>
      </c>
      <c r="H1337" s="8" t="s">
        <v>3577</v>
      </c>
      <c r="I1337" s="14">
        <v>45317</v>
      </c>
    </row>
    <row r="1338" spans="1:9" x14ac:dyDescent="0.15">
      <c r="A1338" s="5">
        <v>1337</v>
      </c>
      <c r="B1338" s="6" t="s">
        <v>9</v>
      </c>
      <c r="C1338" s="7">
        <v>1884</v>
      </c>
      <c r="D1338" s="8">
        <v>45402</v>
      </c>
      <c r="E1338" s="9" t="str">
        <f>+HYPERLINK("http://trademark.i-assist.jp/data/china/image_1884th/76639228.pdf", "76639228")</f>
        <v>76639228</v>
      </c>
      <c r="F1338" s="6" t="s">
        <v>3658</v>
      </c>
      <c r="G1338" s="6" t="s">
        <v>3657</v>
      </c>
      <c r="H1338" s="8" t="s">
        <v>3659</v>
      </c>
      <c r="I1338" s="14">
        <v>45317</v>
      </c>
    </row>
    <row r="1339" spans="1:9" x14ac:dyDescent="0.15">
      <c r="A1339" s="5">
        <v>1338</v>
      </c>
      <c r="B1339" s="6" t="s">
        <v>9</v>
      </c>
      <c r="C1339" s="7">
        <v>1884</v>
      </c>
      <c r="D1339" s="8">
        <v>45402</v>
      </c>
      <c r="E1339" s="9" t="str">
        <f>+HYPERLINK("http://trademark.i-assist.jp/data/china/image_1884th/76639383.pdf", "76639383")</f>
        <v>76639383</v>
      </c>
      <c r="F1339" s="6" t="s">
        <v>3661</v>
      </c>
      <c r="G1339" s="6" t="s">
        <v>3660</v>
      </c>
      <c r="H1339" s="8" t="s">
        <v>3662</v>
      </c>
      <c r="I1339" s="14">
        <v>45317</v>
      </c>
    </row>
    <row r="1340" spans="1:9" x14ac:dyDescent="0.15">
      <c r="A1340" s="5">
        <v>1339</v>
      </c>
      <c r="B1340" s="6" t="s">
        <v>9</v>
      </c>
      <c r="C1340" s="7">
        <v>1884</v>
      </c>
      <c r="D1340" s="8">
        <v>45402</v>
      </c>
      <c r="E1340" s="9" t="str">
        <f>+HYPERLINK("http://trademark.i-assist.jp/data/china/image_1884th/76639565.pdf", "76639565")</f>
        <v>76639565</v>
      </c>
      <c r="F1340" s="6" t="s">
        <v>3663</v>
      </c>
      <c r="G1340" s="6" t="s">
        <v>2727</v>
      </c>
      <c r="H1340" s="8" t="s">
        <v>3664</v>
      </c>
      <c r="I1340" s="14">
        <v>45317</v>
      </c>
    </row>
    <row r="1341" spans="1:9" x14ac:dyDescent="0.15">
      <c r="A1341" s="5">
        <v>1340</v>
      </c>
      <c r="B1341" s="6" t="s">
        <v>9</v>
      </c>
      <c r="C1341" s="7">
        <v>1884</v>
      </c>
      <c r="D1341" s="8">
        <v>45402</v>
      </c>
      <c r="E1341" s="9" t="str">
        <f>+HYPERLINK("http://trademark.i-assist.jp/data/china/image_1884th/76639569.pdf", "76639569")</f>
        <v>76639569</v>
      </c>
      <c r="F1341" s="6" t="s">
        <v>3665</v>
      </c>
      <c r="G1341" s="6" t="s">
        <v>2727</v>
      </c>
      <c r="H1341" s="8" t="s">
        <v>3451</v>
      </c>
      <c r="I1341" s="14">
        <v>45317</v>
      </c>
    </row>
    <row r="1342" spans="1:9" x14ac:dyDescent="0.15">
      <c r="A1342" s="5">
        <v>1341</v>
      </c>
      <c r="B1342" s="6" t="s">
        <v>9</v>
      </c>
      <c r="C1342" s="7">
        <v>1884</v>
      </c>
      <c r="D1342" s="8">
        <v>45402</v>
      </c>
      <c r="E1342" s="9" t="str">
        <f>+HYPERLINK("http://trademark.i-assist.jp/data/china/image_1884th/76639589.pdf", "76639589")</f>
        <v>76639589</v>
      </c>
      <c r="F1342" s="6" t="s">
        <v>3666</v>
      </c>
      <c r="G1342" s="6" t="s">
        <v>3562</v>
      </c>
      <c r="H1342" s="8" t="s">
        <v>3667</v>
      </c>
      <c r="I1342" s="14">
        <v>45317</v>
      </c>
    </row>
    <row r="1343" spans="1:9" x14ac:dyDescent="0.15">
      <c r="A1343" s="5">
        <v>1342</v>
      </c>
      <c r="B1343" s="6" t="s">
        <v>9</v>
      </c>
      <c r="C1343" s="7">
        <v>1884</v>
      </c>
      <c r="D1343" s="8">
        <v>45402</v>
      </c>
      <c r="E1343" s="9" t="str">
        <f>+HYPERLINK("http://trademark.i-assist.jp/data/china/image_1884th/76639802.pdf", "76639802")</f>
        <v>76639802</v>
      </c>
      <c r="F1343" s="6" t="s">
        <v>3669</v>
      </c>
      <c r="G1343" s="6" t="s">
        <v>3668</v>
      </c>
      <c r="H1343" s="8" t="s">
        <v>3670</v>
      </c>
      <c r="I1343" s="14">
        <v>45317</v>
      </c>
    </row>
    <row r="1344" spans="1:9" x14ac:dyDescent="0.15">
      <c r="A1344" s="5">
        <v>1343</v>
      </c>
      <c r="B1344" s="6" t="s">
        <v>9</v>
      </c>
      <c r="C1344" s="7">
        <v>1884</v>
      </c>
      <c r="D1344" s="8">
        <v>45402</v>
      </c>
      <c r="E1344" s="9" t="str">
        <f>+HYPERLINK("http://trademark.i-assist.jp/data/china/image_1884th/76639873.pdf", "76639873")</f>
        <v>76639873</v>
      </c>
      <c r="F1344" s="6" t="s">
        <v>3672</v>
      </c>
      <c r="G1344" s="6" t="s">
        <v>3671</v>
      </c>
      <c r="H1344" s="8" t="s">
        <v>3673</v>
      </c>
      <c r="I1344" s="14">
        <v>45317</v>
      </c>
    </row>
    <row r="1345" spans="1:9" x14ac:dyDescent="0.15">
      <c r="A1345" s="5">
        <v>1344</v>
      </c>
      <c r="B1345" s="6" t="s">
        <v>9</v>
      </c>
      <c r="C1345" s="7">
        <v>1884</v>
      </c>
      <c r="D1345" s="8">
        <v>45402</v>
      </c>
      <c r="E1345" s="9" t="str">
        <f>+HYPERLINK("http://trademark.i-assist.jp/data/china/image_1884th/76640139.pdf", "76640139")</f>
        <v>76640139</v>
      </c>
      <c r="F1345" s="6" t="s">
        <v>3675</v>
      </c>
      <c r="G1345" s="6" t="s">
        <v>3674</v>
      </c>
      <c r="H1345" s="8" t="s">
        <v>3676</v>
      </c>
      <c r="I1345" s="14">
        <v>45317</v>
      </c>
    </row>
    <row r="1346" spans="1:9" x14ac:dyDescent="0.15">
      <c r="A1346" s="5">
        <v>1345</v>
      </c>
      <c r="B1346" s="6" t="s">
        <v>9</v>
      </c>
      <c r="C1346" s="7">
        <v>1884</v>
      </c>
      <c r="D1346" s="8">
        <v>45402</v>
      </c>
      <c r="E1346" s="9" t="str">
        <f>+HYPERLINK("http://trademark.i-assist.jp/data/china/image_1884th/76640150.pdf", "76640150")</f>
        <v>76640150</v>
      </c>
      <c r="F1346" s="6" t="s">
        <v>3678</v>
      </c>
      <c r="G1346" s="6" t="s">
        <v>3677</v>
      </c>
      <c r="H1346" s="8" t="s">
        <v>3679</v>
      </c>
      <c r="I1346" s="14">
        <v>45317</v>
      </c>
    </row>
    <row r="1347" spans="1:9" x14ac:dyDescent="0.15">
      <c r="A1347" s="5">
        <v>1346</v>
      </c>
      <c r="B1347" s="6" t="s">
        <v>9</v>
      </c>
      <c r="C1347" s="7">
        <v>1884</v>
      </c>
      <c r="D1347" s="8">
        <v>45402</v>
      </c>
      <c r="E1347" s="9" t="str">
        <f>+HYPERLINK("http://trademark.i-assist.jp/data/china/image_1884th/76640558.pdf", "76640558")</f>
        <v>76640558</v>
      </c>
      <c r="F1347" s="6" t="s">
        <v>3681</v>
      </c>
      <c r="G1347" s="6" t="s">
        <v>3680</v>
      </c>
      <c r="H1347" s="8" t="s">
        <v>3682</v>
      </c>
      <c r="I1347" s="14">
        <v>45318</v>
      </c>
    </row>
    <row r="1348" spans="1:9" x14ac:dyDescent="0.15">
      <c r="A1348" s="5">
        <v>1347</v>
      </c>
      <c r="B1348" s="6" t="s">
        <v>9</v>
      </c>
      <c r="C1348" s="7">
        <v>1884</v>
      </c>
      <c r="D1348" s="8">
        <v>45402</v>
      </c>
      <c r="E1348" s="9" t="str">
        <f>+HYPERLINK("http://trademark.i-assist.jp/data/china/image_1884th/76640708.pdf", "76640708")</f>
        <v>76640708</v>
      </c>
      <c r="F1348" s="6" t="s">
        <v>3684</v>
      </c>
      <c r="G1348" s="6" t="s">
        <v>3683</v>
      </c>
      <c r="H1348" s="8" t="s">
        <v>3685</v>
      </c>
      <c r="I1348" s="14">
        <v>45318</v>
      </c>
    </row>
    <row r="1349" spans="1:9" x14ac:dyDescent="0.15">
      <c r="A1349" s="5">
        <v>1348</v>
      </c>
      <c r="B1349" s="6" t="s">
        <v>9</v>
      </c>
      <c r="C1349" s="7">
        <v>1884</v>
      </c>
      <c r="D1349" s="8">
        <v>45402</v>
      </c>
      <c r="E1349" s="9" t="str">
        <f>+HYPERLINK("http://trademark.i-assist.jp/data/china/image_1884th/76640985.pdf", "76640985")</f>
        <v>76640985</v>
      </c>
      <c r="F1349" s="6" t="s">
        <v>3687</v>
      </c>
      <c r="G1349" s="6" t="s">
        <v>3686</v>
      </c>
      <c r="H1349" s="8" t="s">
        <v>3688</v>
      </c>
      <c r="I1349" s="14">
        <v>45318</v>
      </c>
    </row>
    <row r="1350" spans="1:9" x14ac:dyDescent="0.15">
      <c r="A1350" s="5">
        <v>1349</v>
      </c>
      <c r="B1350" s="6" t="s">
        <v>9</v>
      </c>
      <c r="C1350" s="7">
        <v>1884</v>
      </c>
      <c r="D1350" s="8">
        <v>45402</v>
      </c>
      <c r="E1350" s="9" t="str">
        <f>+HYPERLINK("http://trademark.i-assist.jp/data/china/image_1884th/76641204.pdf", "76641204")</f>
        <v>76641204</v>
      </c>
      <c r="F1350" s="6" t="s">
        <v>3690</v>
      </c>
      <c r="G1350" s="6" t="s">
        <v>3689</v>
      </c>
      <c r="H1350" s="8" t="s">
        <v>3691</v>
      </c>
      <c r="I1350" s="14">
        <v>45318</v>
      </c>
    </row>
    <row r="1351" spans="1:9" x14ac:dyDescent="0.15">
      <c r="A1351" s="5">
        <v>1350</v>
      </c>
      <c r="B1351" s="6" t="s">
        <v>9</v>
      </c>
      <c r="C1351" s="7">
        <v>1884</v>
      </c>
      <c r="D1351" s="8">
        <v>45402</v>
      </c>
      <c r="E1351" s="9" t="str">
        <f>+HYPERLINK("http://trademark.i-assist.jp/data/china/image_1884th/76641273.pdf", "76641273")</f>
        <v>76641273</v>
      </c>
      <c r="F1351" s="6" t="s">
        <v>3692</v>
      </c>
      <c r="G1351" s="6" t="s">
        <v>3692</v>
      </c>
      <c r="H1351" s="8" t="s">
        <v>3693</v>
      </c>
      <c r="I1351" s="14">
        <v>45318</v>
      </c>
    </row>
    <row r="1352" spans="1:9" x14ac:dyDescent="0.15">
      <c r="A1352" s="5">
        <v>1351</v>
      </c>
      <c r="B1352" s="6" t="s">
        <v>9</v>
      </c>
      <c r="C1352" s="7">
        <v>1884</v>
      </c>
      <c r="D1352" s="8">
        <v>45402</v>
      </c>
      <c r="E1352" s="9" t="str">
        <f>+HYPERLINK("http://trademark.i-assist.jp/data/china/image_1884th/76641404.pdf", "76641404")</f>
        <v>76641404</v>
      </c>
      <c r="F1352" s="6" t="s">
        <v>3695</v>
      </c>
      <c r="G1352" s="6" t="s">
        <v>3694</v>
      </c>
      <c r="H1352" s="8" t="s">
        <v>3696</v>
      </c>
      <c r="I1352" s="14">
        <v>45318</v>
      </c>
    </row>
    <row r="1353" spans="1:9" x14ac:dyDescent="0.15">
      <c r="A1353" s="5">
        <v>1352</v>
      </c>
      <c r="B1353" s="6" t="s">
        <v>9</v>
      </c>
      <c r="C1353" s="7">
        <v>1884</v>
      </c>
      <c r="D1353" s="8">
        <v>45402</v>
      </c>
      <c r="E1353" s="9" t="str">
        <f>+HYPERLINK("http://trademark.i-assist.jp/data/china/image_1884th/76642762.pdf", "76642762")</f>
        <v>76642762</v>
      </c>
      <c r="F1353" s="6" t="s">
        <v>3698</v>
      </c>
      <c r="G1353" s="6" t="s">
        <v>3697</v>
      </c>
      <c r="H1353" s="8" t="s">
        <v>3699</v>
      </c>
      <c r="I1353" s="14">
        <v>45318</v>
      </c>
    </row>
    <row r="1354" spans="1:9" x14ac:dyDescent="0.15">
      <c r="A1354" s="5">
        <v>1353</v>
      </c>
      <c r="B1354" s="6" t="s">
        <v>9</v>
      </c>
      <c r="C1354" s="7">
        <v>1884</v>
      </c>
      <c r="D1354" s="8">
        <v>45402</v>
      </c>
      <c r="E1354" s="9" t="str">
        <f>+HYPERLINK("http://trademark.i-assist.jp/data/china/image_1884th/76643121.pdf", "76643121")</f>
        <v>76643121</v>
      </c>
      <c r="F1354" s="6" t="s">
        <v>3700</v>
      </c>
      <c r="G1354" s="6" t="s">
        <v>28</v>
      </c>
      <c r="H1354" s="8" t="s">
        <v>3701</v>
      </c>
      <c r="I1354" s="14">
        <v>45318</v>
      </c>
    </row>
    <row r="1355" spans="1:9" x14ac:dyDescent="0.15">
      <c r="A1355" s="5">
        <v>1354</v>
      </c>
      <c r="B1355" s="6" t="s">
        <v>9</v>
      </c>
      <c r="C1355" s="7">
        <v>1884</v>
      </c>
      <c r="D1355" s="8">
        <v>45402</v>
      </c>
      <c r="E1355" s="9" t="str">
        <f>+HYPERLINK("http://trademark.i-assist.jp/data/china/image_1884th/76643123.pdf", "76643123")</f>
        <v>76643123</v>
      </c>
      <c r="F1355" s="6" t="s">
        <v>3702</v>
      </c>
      <c r="G1355" s="6" t="s">
        <v>3694</v>
      </c>
      <c r="H1355" s="8" t="s">
        <v>3696</v>
      </c>
      <c r="I1355" s="14">
        <v>45318</v>
      </c>
    </row>
    <row r="1356" spans="1:9" x14ac:dyDescent="0.15">
      <c r="A1356" s="5">
        <v>1355</v>
      </c>
      <c r="B1356" s="6" t="s">
        <v>9</v>
      </c>
      <c r="C1356" s="7">
        <v>1884</v>
      </c>
      <c r="D1356" s="8">
        <v>45402</v>
      </c>
      <c r="E1356" s="9" t="str">
        <f>+HYPERLINK("http://trademark.i-assist.jp/data/china/image_1884th/76643127.pdf", "76643127")</f>
        <v>76643127</v>
      </c>
      <c r="F1356" s="6" t="s">
        <v>3704</v>
      </c>
      <c r="G1356" s="6" t="s">
        <v>3703</v>
      </c>
      <c r="H1356" s="8" t="s">
        <v>3705</v>
      </c>
      <c r="I1356" s="14">
        <v>45318</v>
      </c>
    </row>
    <row r="1357" spans="1:9" x14ac:dyDescent="0.15">
      <c r="A1357" s="5">
        <v>1356</v>
      </c>
      <c r="B1357" s="6" t="s">
        <v>9</v>
      </c>
      <c r="C1357" s="7">
        <v>1884</v>
      </c>
      <c r="D1357" s="8">
        <v>45402</v>
      </c>
      <c r="E1357" s="9" t="str">
        <f>+HYPERLINK("http://trademark.i-assist.jp/data/china/image_1884th/76643195.pdf", "76643195")</f>
        <v>76643195</v>
      </c>
      <c r="F1357" s="6" t="s">
        <v>3707</v>
      </c>
      <c r="G1357" s="6" t="s">
        <v>3706</v>
      </c>
      <c r="H1357" s="8" t="s">
        <v>3708</v>
      </c>
      <c r="I1357" s="14">
        <v>45318</v>
      </c>
    </row>
    <row r="1358" spans="1:9" x14ac:dyDescent="0.15">
      <c r="A1358" s="5">
        <v>1357</v>
      </c>
      <c r="B1358" s="6" t="s">
        <v>9</v>
      </c>
      <c r="C1358" s="7">
        <v>1884</v>
      </c>
      <c r="D1358" s="8">
        <v>45402</v>
      </c>
      <c r="E1358" s="9" t="str">
        <f>+HYPERLINK("http://trademark.i-assist.jp/data/china/image_1884th/76643482.pdf", "76643482")</f>
        <v>76643482</v>
      </c>
      <c r="F1358" s="6" t="s">
        <v>3710</v>
      </c>
      <c r="G1358" s="6" t="s">
        <v>3709</v>
      </c>
      <c r="H1358" s="8" t="s">
        <v>3711</v>
      </c>
      <c r="I1358" s="14">
        <v>45318</v>
      </c>
    </row>
    <row r="1359" spans="1:9" x14ac:dyDescent="0.15">
      <c r="A1359" s="5">
        <v>1358</v>
      </c>
      <c r="B1359" s="6" t="s">
        <v>9</v>
      </c>
      <c r="C1359" s="7">
        <v>1884</v>
      </c>
      <c r="D1359" s="8">
        <v>45402</v>
      </c>
      <c r="E1359" s="9" t="str">
        <f>+HYPERLINK("http://trademark.i-assist.jp/data/china/image_1884th/76643666.pdf", "76643666")</f>
        <v>76643666</v>
      </c>
      <c r="F1359" s="6" t="s">
        <v>3713</v>
      </c>
      <c r="G1359" s="6" t="s">
        <v>3712</v>
      </c>
      <c r="H1359" s="8" t="s">
        <v>3714</v>
      </c>
      <c r="I1359" s="14">
        <v>45318</v>
      </c>
    </row>
    <row r="1360" spans="1:9" x14ac:dyDescent="0.15">
      <c r="A1360" s="5">
        <v>1359</v>
      </c>
      <c r="B1360" s="6" t="s">
        <v>9</v>
      </c>
      <c r="C1360" s="7">
        <v>1884</v>
      </c>
      <c r="D1360" s="8">
        <v>45402</v>
      </c>
      <c r="E1360" s="9" t="str">
        <f>+HYPERLINK("http://trademark.i-assist.jp/data/china/image_1884th/76643714.pdf", "76643714")</f>
        <v>76643714</v>
      </c>
      <c r="F1360" s="6" t="s">
        <v>3716</v>
      </c>
      <c r="G1360" s="6" t="s">
        <v>3715</v>
      </c>
      <c r="H1360" s="8" t="s">
        <v>3717</v>
      </c>
      <c r="I1360" s="14">
        <v>45318</v>
      </c>
    </row>
    <row r="1361" spans="1:9" x14ac:dyDescent="0.15">
      <c r="A1361" s="5">
        <v>1360</v>
      </c>
      <c r="B1361" s="6" t="s">
        <v>9</v>
      </c>
      <c r="C1361" s="7">
        <v>1884</v>
      </c>
      <c r="D1361" s="8">
        <v>45402</v>
      </c>
      <c r="E1361" s="9" t="str">
        <f>+HYPERLINK("http://trademark.i-assist.jp/data/china/image_1884th/76644287.pdf", "76644287")</f>
        <v>76644287</v>
      </c>
      <c r="F1361" s="6" t="s">
        <v>3719</v>
      </c>
      <c r="G1361" s="6" t="s">
        <v>3718</v>
      </c>
      <c r="H1361" s="8" t="s">
        <v>3720</v>
      </c>
      <c r="I1361" s="14">
        <v>45318</v>
      </c>
    </row>
    <row r="1362" spans="1:9" x14ac:dyDescent="0.15">
      <c r="A1362" s="5">
        <v>1361</v>
      </c>
      <c r="B1362" s="6" t="s">
        <v>9</v>
      </c>
      <c r="C1362" s="7">
        <v>1884</v>
      </c>
      <c r="D1362" s="8">
        <v>45402</v>
      </c>
      <c r="E1362" s="9" t="str">
        <f>+HYPERLINK("http://trademark.i-assist.jp/data/china/image_1884th/76644725.pdf", "76644725")</f>
        <v>76644725</v>
      </c>
      <c r="F1362" s="6" t="s">
        <v>3722</v>
      </c>
      <c r="G1362" s="6" t="s">
        <v>3721</v>
      </c>
      <c r="H1362" s="8" t="s">
        <v>3723</v>
      </c>
      <c r="I1362" s="14">
        <v>45318</v>
      </c>
    </row>
    <row r="1363" spans="1:9" x14ac:dyDescent="0.15">
      <c r="A1363" s="5">
        <v>1362</v>
      </c>
      <c r="B1363" s="6" t="s">
        <v>9</v>
      </c>
      <c r="C1363" s="7">
        <v>1884</v>
      </c>
      <c r="D1363" s="8">
        <v>45402</v>
      </c>
      <c r="E1363" s="9" t="str">
        <f>+HYPERLINK("http://trademark.i-assist.jp/data/china/image_1884th/76644931.pdf", "76644931")</f>
        <v>76644931</v>
      </c>
      <c r="F1363" s="6" t="s">
        <v>167</v>
      </c>
      <c r="G1363" s="6" t="s">
        <v>3724</v>
      </c>
      <c r="H1363" s="8" t="s">
        <v>3725</v>
      </c>
      <c r="I1363" s="14">
        <v>45318</v>
      </c>
    </row>
    <row r="1364" spans="1:9" x14ac:dyDescent="0.15">
      <c r="A1364" s="5">
        <v>1363</v>
      </c>
      <c r="B1364" s="6" t="s">
        <v>9</v>
      </c>
      <c r="C1364" s="7">
        <v>1884</v>
      </c>
      <c r="D1364" s="8">
        <v>45402</v>
      </c>
      <c r="E1364" s="9" t="str">
        <f>+HYPERLINK("http://trademark.i-assist.jp/data/china/image_1884th/76645061.pdf", "76645061")</f>
        <v>76645061</v>
      </c>
      <c r="F1364" s="6" t="s">
        <v>3727</v>
      </c>
      <c r="G1364" s="6" t="s">
        <v>3726</v>
      </c>
      <c r="H1364" s="8" t="s">
        <v>3728</v>
      </c>
      <c r="I1364" s="14">
        <v>45318</v>
      </c>
    </row>
    <row r="1365" spans="1:9" x14ac:dyDescent="0.15">
      <c r="A1365" s="5">
        <v>1364</v>
      </c>
      <c r="B1365" s="6" t="s">
        <v>9</v>
      </c>
      <c r="C1365" s="7">
        <v>1884</v>
      </c>
      <c r="D1365" s="8">
        <v>45402</v>
      </c>
      <c r="E1365" s="9" t="str">
        <f>+HYPERLINK("http://trademark.i-assist.jp/data/china/image_1884th/76645868.pdf", "76645868")</f>
        <v>76645868</v>
      </c>
      <c r="F1365" s="6" t="s">
        <v>3730</v>
      </c>
      <c r="G1365" s="6" t="s">
        <v>3729</v>
      </c>
      <c r="H1365" s="8" t="s">
        <v>3731</v>
      </c>
      <c r="I1365" s="14">
        <v>45318</v>
      </c>
    </row>
    <row r="1366" spans="1:9" x14ac:dyDescent="0.15">
      <c r="A1366" s="5">
        <v>1365</v>
      </c>
      <c r="B1366" s="6" t="s">
        <v>9</v>
      </c>
      <c r="C1366" s="7">
        <v>1884</v>
      </c>
      <c r="D1366" s="8">
        <v>45402</v>
      </c>
      <c r="E1366" s="9" t="str">
        <f>+HYPERLINK("http://trademark.i-assist.jp/data/china/image_1884th/76646008.pdf", "76646008")</f>
        <v>76646008</v>
      </c>
      <c r="F1366" s="6" t="s">
        <v>3733</v>
      </c>
      <c r="G1366" s="6" t="s">
        <v>3732</v>
      </c>
      <c r="H1366" s="8" t="s">
        <v>3734</v>
      </c>
      <c r="I1366" s="14">
        <v>45318</v>
      </c>
    </row>
    <row r="1367" spans="1:9" x14ac:dyDescent="0.15">
      <c r="A1367" s="5">
        <v>1366</v>
      </c>
      <c r="B1367" s="6" t="s">
        <v>9</v>
      </c>
      <c r="C1367" s="7">
        <v>1884</v>
      </c>
      <c r="D1367" s="8">
        <v>45402</v>
      </c>
      <c r="E1367" s="9" t="str">
        <f>+HYPERLINK("http://trademark.i-assist.jp/data/china/image_1884th/76646505.pdf", "76646505")</f>
        <v>76646505</v>
      </c>
      <c r="F1367" s="6" t="s">
        <v>3736</v>
      </c>
      <c r="G1367" s="6" t="s">
        <v>3735</v>
      </c>
      <c r="H1367" s="8" t="s">
        <v>3737</v>
      </c>
      <c r="I1367" s="14">
        <v>45318</v>
      </c>
    </row>
    <row r="1368" spans="1:9" x14ac:dyDescent="0.15">
      <c r="A1368" s="5">
        <v>1367</v>
      </c>
      <c r="B1368" s="6" t="s">
        <v>9</v>
      </c>
      <c r="C1368" s="7">
        <v>1884</v>
      </c>
      <c r="D1368" s="8">
        <v>45402</v>
      </c>
      <c r="E1368" s="9" t="str">
        <f>+HYPERLINK("http://trademark.i-assist.jp/data/china/image_1884th/76646857.pdf", "76646857")</f>
        <v>76646857</v>
      </c>
      <c r="F1368" s="6" t="s">
        <v>3739</v>
      </c>
      <c r="G1368" s="6" t="s">
        <v>3738</v>
      </c>
      <c r="H1368" s="8" t="s">
        <v>3740</v>
      </c>
      <c r="I1368" s="14">
        <v>45319</v>
      </c>
    </row>
    <row r="1369" spans="1:9" x14ac:dyDescent="0.15">
      <c r="A1369" s="5">
        <v>1368</v>
      </c>
      <c r="B1369" s="6" t="s">
        <v>9</v>
      </c>
      <c r="C1369" s="7">
        <v>1884</v>
      </c>
      <c r="D1369" s="8">
        <v>45402</v>
      </c>
      <c r="E1369" s="9" t="str">
        <f>+HYPERLINK("http://trademark.i-assist.jp/data/china/image_1884th/76646944.pdf", "76646944")</f>
        <v>76646944</v>
      </c>
      <c r="F1369" s="6" t="s">
        <v>3742</v>
      </c>
      <c r="G1369" s="6" t="s">
        <v>3741</v>
      </c>
      <c r="H1369" s="8" t="s">
        <v>3743</v>
      </c>
      <c r="I1369" s="14">
        <v>45319</v>
      </c>
    </row>
    <row r="1370" spans="1:9" x14ac:dyDescent="0.15">
      <c r="A1370" s="5">
        <v>1369</v>
      </c>
      <c r="B1370" s="6" t="s">
        <v>9</v>
      </c>
      <c r="C1370" s="7">
        <v>1884</v>
      </c>
      <c r="D1370" s="8">
        <v>45402</v>
      </c>
      <c r="E1370" s="9" t="str">
        <f>+HYPERLINK("http://trademark.i-assist.jp/data/china/image_1884th/76647069.pdf", "76647069")</f>
        <v>76647069</v>
      </c>
      <c r="F1370" s="6" t="s">
        <v>3745</v>
      </c>
      <c r="G1370" s="6" t="s">
        <v>3744</v>
      </c>
      <c r="H1370" s="8" t="s">
        <v>3746</v>
      </c>
      <c r="I1370" s="14">
        <v>45319</v>
      </c>
    </row>
    <row r="1371" spans="1:9" x14ac:dyDescent="0.15">
      <c r="A1371" s="5">
        <v>1370</v>
      </c>
      <c r="B1371" s="6" t="s">
        <v>9</v>
      </c>
      <c r="C1371" s="7">
        <v>1884</v>
      </c>
      <c r="D1371" s="8">
        <v>45402</v>
      </c>
      <c r="E1371" s="9" t="str">
        <f>+HYPERLINK("http://trademark.i-assist.jp/data/china/image_1884th/76647121.pdf", "76647121")</f>
        <v>76647121</v>
      </c>
      <c r="F1371" s="6" t="s">
        <v>3748</v>
      </c>
      <c r="G1371" s="6" t="s">
        <v>3747</v>
      </c>
      <c r="H1371" s="8" t="s">
        <v>3749</v>
      </c>
      <c r="I1371" s="14">
        <v>45319</v>
      </c>
    </row>
    <row r="1372" spans="1:9" x14ac:dyDescent="0.15">
      <c r="A1372" s="5">
        <v>1371</v>
      </c>
      <c r="B1372" s="6" t="s">
        <v>9</v>
      </c>
      <c r="C1372" s="7">
        <v>1884</v>
      </c>
      <c r="D1372" s="8">
        <v>45402</v>
      </c>
      <c r="E1372" s="9" t="str">
        <f>+HYPERLINK("http://trademark.i-assist.jp/data/china/image_1884th/76647225.pdf", "76647225")</f>
        <v>76647225</v>
      </c>
      <c r="F1372" s="6" t="s">
        <v>3751</v>
      </c>
      <c r="G1372" s="6" t="s">
        <v>3750</v>
      </c>
      <c r="H1372" s="8" t="s">
        <v>3752</v>
      </c>
      <c r="I1372" s="14">
        <v>45319</v>
      </c>
    </row>
    <row r="1373" spans="1:9" x14ac:dyDescent="0.15">
      <c r="A1373" s="5">
        <v>1372</v>
      </c>
      <c r="B1373" s="6" t="s">
        <v>9</v>
      </c>
      <c r="C1373" s="7">
        <v>1884</v>
      </c>
      <c r="D1373" s="8">
        <v>45402</v>
      </c>
      <c r="E1373" s="9" t="str">
        <f>+HYPERLINK("http://trademark.i-assist.jp/data/china/image_1884th/76647460.pdf", "76647460")</f>
        <v>76647460</v>
      </c>
      <c r="F1373" s="6" t="s">
        <v>3754</v>
      </c>
      <c r="G1373" s="6" t="s">
        <v>3753</v>
      </c>
      <c r="H1373" s="8" t="s">
        <v>3755</v>
      </c>
      <c r="I1373" s="14">
        <v>45319</v>
      </c>
    </row>
    <row r="1374" spans="1:9" x14ac:dyDescent="0.15">
      <c r="A1374" s="5">
        <v>1373</v>
      </c>
      <c r="B1374" s="6" t="s">
        <v>9</v>
      </c>
      <c r="C1374" s="7">
        <v>1884</v>
      </c>
      <c r="D1374" s="8">
        <v>45402</v>
      </c>
      <c r="E1374" s="9" t="str">
        <f>+HYPERLINK("http://trademark.i-assist.jp/data/china/image_1884th/76647776.pdf", "76647776")</f>
        <v>76647776</v>
      </c>
      <c r="F1374" s="6" t="s">
        <v>3757</v>
      </c>
      <c r="G1374" s="6" t="s">
        <v>3756</v>
      </c>
      <c r="H1374" s="8" t="s">
        <v>3758</v>
      </c>
      <c r="I1374" s="14">
        <v>45319</v>
      </c>
    </row>
    <row r="1375" spans="1:9" x14ac:dyDescent="0.15">
      <c r="A1375" s="5">
        <v>1374</v>
      </c>
      <c r="B1375" s="6" t="s">
        <v>9</v>
      </c>
      <c r="C1375" s="7">
        <v>1884</v>
      </c>
      <c r="D1375" s="8">
        <v>45402</v>
      </c>
      <c r="E1375" s="9" t="str">
        <f>+HYPERLINK("http://trademark.i-assist.jp/data/china/image_1884th/76647890.pdf", "76647890")</f>
        <v>76647890</v>
      </c>
      <c r="F1375" s="6" t="s">
        <v>3759</v>
      </c>
      <c r="G1375" s="6" t="s">
        <v>3744</v>
      </c>
      <c r="H1375" s="8" t="s">
        <v>3746</v>
      </c>
      <c r="I1375" s="14">
        <v>45319</v>
      </c>
    </row>
    <row r="1376" spans="1:9" x14ac:dyDescent="0.15">
      <c r="A1376" s="5">
        <v>1375</v>
      </c>
      <c r="B1376" s="6" t="s">
        <v>9</v>
      </c>
      <c r="C1376" s="7">
        <v>1884</v>
      </c>
      <c r="D1376" s="8">
        <v>45402</v>
      </c>
      <c r="E1376" s="9" t="str">
        <f>+HYPERLINK("http://trademark.i-assist.jp/data/china/image_1884th/76648442.pdf", "76648442")</f>
        <v>76648442</v>
      </c>
      <c r="F1376" s="6" t="s">
        <v>3760</v>
      </c>
      <c r="G1376" s="6" t="s">
        <v>3744</v>
      </c>
      <c r="H1376" s="8" t="s">
        <v>3761</v>
      </c>
      <c r="I1376" s="14">
        <v>45319</v>
      </c>
    </row>
    <row r="1377" spans="1:9" x14ac:dyDescent="0.15">
      <c r="A1377" s="5">
        <v>1376</v>
      </c>
      <c r="B1377" s="6" t="s">
        <v>9</v>
      </c>
      <c r="C1377" s="7">
        <v>1884</v>
      </c>
      <c r="D1377" s="8">
        <v>45402</v>
      </c>
      <c r="E1377" s="9" t="str">
        <f>+HYPERLINK("http://trademark.i-assist.jp/data/china/image_1884th/76648484.pdf", "76648484")</f>
        <v>76648484</v>
      </c>
      <c r="F1377" s="6" t="s">
        <v>3763</v>
      </c>
      <c r="G1377" s="6" t="s">
        <v>3762</v>
      </c>
      <c r="H1377" s="8" t="s">
        <v>3764</v>
      </c>
      <c r="I1377" s="14">
        <v>45319</v>
      </c>
    </row>
    <row r="1378" spans="1:9" x14ac:dyDescent="0.15">
      <c r="A1378" s="5">
        <v>1377</v>
      </c>
      <c r="B1378" s="6" t="s">
        <v>9</v>
      </c>
      <c r="C1378" s="7">
        <v>1884</v>
      </c>
      <c r="D1378" s="8">
        <v>45402</v>
      </c>
      <c r="E1378" s="9" t="str">
        <f>+HYPERLINK("http://trademark.i-assist.jp/data/china/image_1884th/76649099.pdf", "76649099")</f>
        <v>76649099</v>
      </c>
      <c r="F1378" s="6" t="s">
        <v>3766</v>
      </c>
      <c r="G1378" s="6" t="s">
        <v>3765</v>
      </c>
      <c r="H1378" s="8" t="s">
        <v>3767</v>
      </c>
      <c r="I1378" s="14">
        <v>45319</v>
      </c>
    </row>
    <row r="1379" spans="1:9" x14ac:dyDescent="0.15">
      <c r="A1379" s="5">
        <v>1378</v>
      </c>
      <c r="B1379" s="6" t="s">
        <v>9</v>
      </c>
      <c r="C1379" s="7">
        <v>1884</v>
      </c>
      <c r="D1379" s="8">
        <v>45402</v>
      </c>
      <c r="E1379" s="9" t="str">
        <f>+HYPERLINK("http://trademark.i-assist.jp/data/china/image_1884th/76649191.pdf", "76649191")</f>
        <v>76649191</v>
      </c>
      <c r="F1379" s="6" t="s">
        <v>3768</v>
      </c>
      <c r="G1379" s="6" t="s">
        <v>3237</v>
      </c>
      <c r="H1379" s="8" t="s">
        <v>3036</v>
      </c>
      <c r="I1379" s="14">
        <v>45319</v>
      </c>
    </row>
    <row r="1380" spans="1:9" x14ac:dyDescent="0.15">
      <c r="A1380" s="5">
        <v>1379</v>
      </c>
      <c r="B1380" s="6" t="s">
        <v>9</v>
      </c>
      <c r="C1380" s="7">
        <v>1884</v>
      </c>
      <c r="D1380" s="8">
        <v>45402</v>
      </c>
      <c r="E1380" s="9" t="str">
        <f>+HYPERLINK("http://trademark.i-assist.jp/data/china/image_1884th/76649799.pdf", "76649799")</f>
        <v>76649799</v>
      </c>
      <c r="F1380" s="6" t="s">
        <v>3770</v>
      </c>
      <c r="G1380" s="6" t="s">
        <v>3769</v>
      </c>
      <c r="H1380" s="8" t="s">
        <v>3771</v>
      </c>
      <c r="I1380" s="14">
        <v>45320</v>
      </c>
    </row>
    <row r="1381" spans="1:9" x14ac:dyDescent="0.15">
      <c r="A1381" s="5">
        <v>1380</v>
      </c>
      <c r="B1381" s="6" t="s">
        <v>9</v>
      </c>
      <c r="C1381" s="7">
        <v>1884</v>
      </c>
      <c r="D1381" s="8">
        <v>45402</v>
      </c>
      <c r="E1381" s="9" t="str">
        <f>+HYPERLINK("http://trademark.i-assist.jp/data/china/image_1884th/76649959.pdf", "76649959")</f>
        <v>76649959</v>
      </c>
      <c r="F1381" s="6" t="s">
        <v>167</v>
      </c>
      <c r="G1381" s="6" t="s">
        <v>3772</v>
      </c>
      <c r="H1381" s="8" t="s">
        <v>2928</v>
      </c>
      <c r="I1381" s="14">
        <v>45320</v>
      </c>
    </row>
    <row r="1382" spans="1:9" x14ac:dyDescent="0.15">
      <c r="A1382" s="5">
        <v>1381</v>
      </c>
      <c r="B1382" s="6" t="s">
        <v>9</v>
      </c>
      <c r="C1382" s="7">
        <v>1884</v>
      </c>
      <c r="D1382" s="8">
        <v>45402</v>
      </c>
      <c r="E1382" s="9" t="str">
        <f>+HYPERLINK("http://trademark.i-assist.jp/data/china/image_1884th/76650095.pdf", "76650095")</f>
        <v>76650095</v>
      </c>
      <c r="F1382" s="6" t="s">
        <v>3774</v>
      </c>
      <c r="G1382" s="6" t="s">
        <v>3773</v>
      </c>
      <c r="H1382" s="8" t="s">
        <v>3775</v>
      </c>
      <c r="I1382" s="14">
        <v>45320</v>
      </c>
    </row>
    <row r="1383" spans="1:9" x14ac:dyDescent="0.15">
      <c r="A1383" s="5">
        <v>1382</v>
      </c>
      <c r="B1383" s="6" t="s">
        <v>9</v>
      </c>
      <c r="C1383" s="7">
        <v>1884</v>
      </c>
      <c r="D1383" s="8">
        <v>45402</v>
      </c>
      <c r="E1383" s="9" t="str">
        <f>+HYPERLINK("http://trademark.i-assist.jp/data/china/image_1884th/76650159.pdf", "76650159")</f>
        <v>76650159</v>
      </c>
      <c r="F1383" s="6" t="s">
        <v>3777</v>
      </c>
      <c r="G1383" s="6" t="s">
        <v>3776</v>
      </c>
      <c r="H1383" s="8" t="s">
        <v>3778</v>
      </c>
      <c r="I1383" s="14">
        <v>45320</v>
      </c>
    </row>
    <row r="1384" spans="1:9" x14ac:dyDescent="0.15">
      <c r="A1384" s="5">
        <v>1383</v>
      </c>
      <c r="B1384" s="6" t="s">
        <v>9</v>
      </c>
      <c r="C1384" s="7">
        <v>1884</v>
      </c>
      <c r="D1384" s="8">
        <v>45402</v>
      </c>
      <c r="E1384" s="9" t="str">
        <f>+HYPERLINK("http://trademark.i-assist.jp/data/china/image_1884th/76650759.pdf", "76650759")</f>
        <v>76650759</v>
      </c>
      <c r="F1384" s="6" t="s">
        <v>3780</v>
      </c>
      <c r="G1384" s="6" t="s">
        <v>3779</v>
      </c>
      <c r="H1384" s="8" t="s">
        <v>3781</v>
      </c>
      <c r="I1384" s="14">
        <v>45320</v>
      </c>
    </row>
    <row r="1385" spans="1:9" x14ac:dyDescent="0.15">
      <c r="A1385" s="5">
        <v>1384</v>
      </c>
      <c r="B1385" s="6" t="s">
        <v>9</v>
      </c>
      <c r="C1385" s="7">
        <v>1884</v>
      </c>
      <c r="D1385" s="8">
        <v>45402</v>
      </c>
      <c r="E1385" s="9" t="str">
        <f>+HYPERLINK("http://trademark.i-assist.jp/data/china/image_1884th/76650783.pdf", "76650783")</f>
        <v>76650783</v>
      </c>
      <c r="F1385" s="6" t="s">
        <v>3783</v>
      </c>
      <c r="G1385" s="6" t="s">
        <v>3782</v>
      </c>
      <c r="H1385" s="8" t="s">
        <v>3784</v>
      </c>
      <c r="I1385" s="14">
        <v>45320</v>
      </c>
    </row>
    <row r="1386" spans="1:9" x14ac:dyDescent="0.15">
      <c r="A1386" s="5">
        <v>1385</v>
      </c>
      <c r="B1386" s="6" t="s">
        <v>9</v>
      </c>
      <c r="C1386" s="7">
        <v>1884</v>
      </c>
      <c r="D1386" s="8">
        <v>45402</v>
      </c>
      <c r="E1386" s="9" t="str">
        <f>+HYPERLINK("http://trademark.i-assist.jp/data/china/image_1884th/76651020.pdf", "76651020")</f>
        <v>76651020</v>
      </c>
      <c r="F1386" s="6" t="s">
        <v>3786</v>
      </c>
      <c r="G1386" s="6" t="s">
        <v>3785</v>
      </c>
      <c r="H1386" s="8" t="s">
        <v>3787</v>
      </c>
      <c r="I1386" s="14">
        <v>45320</v>
      </c>
    </row>
    <row r="1387" spans="1:9" x14ac:dyDescent="0.15">
      <c r="A1387" s="5">
        <v>1386</v>
      </c>
      <c r="B1387" s="6" t="s">
        <v>9</v>
      </c>
      <c r="C1387" s="7">
        <v>1884</v>
      </c>
      <c r="D1387" s="8">
        <v>45402</v>
      </c>
      <c r="E1387" s="9" t="str">
        <f>+HYPERLINK("http://trademark.i-assist.jp/data/china/image_1884th/76651203.pdf", "76651203")</f>
        <v>76651203</v>
      </c>
      <c r="F1387" s="6" t="s">
        <v>3789</v>
      </c>
      <c r="G1387" s="6" t="s">
        <v>3788</v>
      </c>
      <c r="H1387" s="8" t="s">
        <v>3790</v>
      </c>
      <c r="I1387" s="14">
        <v>45320</v>
      </c>
    </row>
    <row r="1388" spans="1:9" x14ac:dyDescent="0.15">
      <c r="A1388" s="5">
        <v>1387</v>
      </c>
      <c r="B1388" s="6" t="s">
        <v>9</v>
      </c>
      <c r="C1388" s="7">
        <v>1884</v>
      </c>
      <c r="D1388" s="8">
        <v>45402</v>
      </c>
      <c r="E1388" s="9" t="str">
        <f>+HYPERLINK("http://trademark.i-assist.jp/data/china/image_1884th/76651268.pdf", "76651268")</f>
        <v>76651268</v>
      </c>
      <c r="F1388" s="6" t="s">
        <v>3792</v>
      </c>
      <c r="G1388" s="6" t="s">
        <v>3791</v>
      </c>
      <c r="H1388" s="8" t="s">
        <v>3793</v>
      </c>
      <c r="I1388" s="14">
        <v>45320</v>
      </c>
    </row>
    <row r="1389" spans="1:9" x14ac:dyDescent="0.15">
      <c r="A1389" s="5">
        <v>1388</v>
      </c>
      <c r="B1389" s="6" t="s">
        <v>9</v>
      </c>
      <c r="C1389" s="7">
        <v>1884</v>
      </c>
      <c r="D1389" s="8">
        <v>45402</v>
      </c>
      <c r="E1389" s="9" t="str">
        <f>+HYPERLINK("http://trademark.i-assist.jp/data/china/image_1884th/76651313.pdf", "76651313")</f>
        <v>76651313</v>
      </c>
      <c r="F1389" s="6" t="s">
        <v>3795</v>
      </c>
      <c r="G1389" s="6" t="s">
        <v>3794</v>
      </c>
      <c r="H1389" s="8" t="s">
        <v>3796</v>
      </c>
      <c r="I1389" s="14">
        <v>45320</v>
      </c>
    </row>
    <row r="1390" spans="1:9" x14ac:dyDescent="0.15">
      <c r="A1390" s="5">
        <v>1389</v>
      </c>
      <c r="B1390" s="6" t="s">
        <v>9</v>
      </c>
      <c r="C1390" s="7">
        <v>1884</v>
      </c>
      <c r="D1390" s="8">
        <v>45402</v>
      </c>
      <c r="E1390" s="9" t="str">
        <f>+HYPERLINK("http://trademark.i-assist.jp/data/china/image_1884th/76651354.pdf", "76651354")</f>
        <v>76651354</v>
      </c>
      <c r="F1390" s="6" t="s">
        <v>3798</v>
      </c>
      <c r="G1390" s="6" t="s">
        <v>3797</v>
      </c>
      <c r="H1390" s="8" t="s">
        <v>3799</v>
      </c>
      <c r="I1390" s="14">
        <v>45320</v>
      </c>
    </row>
    <row r="1391" spans="1:9" x14ac:dyDescent="0.15">
      <c r="A1391" s="5">
        <v>1390</v>
      </c>
      <c r="B1391" s="6" t="s">
        <v>9</v>
      </c>
      <c r="C1391" s="7">
        <v>1884</v>
      </c>
      <c r="D1391" s="8">
        <v>45402</v>
      </c>
      <c r="E1391" s="9" t="str">
        <f>+HYPERLINK("http://trademark.i-assist.jp/data/china/image_1884th/76652175.pdf", "76652175")</f>
        <v>76652175</v>
      </c>
      <c r="F1391" s="6" t="s">
        <v>3800</v>
      </c>
      <c r="G1391" s="6" t="s">
        <v>2727</v>
      </c>
      <c r="H1391" s="8" t="s">
        <v>3801</v>
      </c>
      <c r="I1391" s="14">
        <v>45320</v>
      </c>
    </row>
    <row r="1392" spans="1:9" x14ac:dyDescent="0.15">
      <c r="A1392" s="5">
        <v>1391</v>
      </c>
      <c r="B1392" s="6" t="s">
        <v>9</v>
      </c>
      <c r="C1392" s="7">
        <v>1884</v>
      </c>
      <c r="D1392" s="8">
        <v>45402</v>
      </c>
      <c r="E1392" s="9" t="str">
        <f>+HYPERLINK("http://trademark.i-assist.jp/data/china/image_1884th/76652345.pdf", "76652345")</f>
        <v>76652345</v>
      </c>
      <c r="F1392" s="6" t="s">
        <v>3803</v>
      </c>
      <c r="G1392" s="6" t="s">
        <v>3802</v>
      </c>
      <c r="H1392" s="8" t="s">
        <v>3804</v>
      </c>
      <c r="I1392" s="14">
        <v>45320</v>
      </c>
    </row>
    <row r="1393" spans="1:9" x14ac:dyDescent="0.15">
      <c r="A1393" s="5">
        <v>1392</v>
      </c>
      <c r="B1393" s="6" t="s">
        <v>9</v>
      </c>
      <c r="C1393" s="7">
        <v>1884</v>
      </c>
      <c r="D1393" s="8">
        <v>45402</v>
      </c>
      <c r="E1393" s="9" t="str">
        <f>+HYPERLINK("http://trademark.i-assist.jp/data/china/image_1884th/76652807.pdf", "76652807")</f>
        <v>76652807</v>
      </c>
      <c r="F1393" s="6" t="s">
        <v>3806</v>
      </c>
      <c r="G1393" s="6" t="s">
        <v>3805</v>
      </c>
      <c r="H1393" s="8" t="s">
        <v>3807</v>
      </c>
      <c r="I1393" s="14">
        <v>45320</v>
      </c>
    </row>
    <row r="1394" spans="1:9" x14ac:dyDescent="0.15">
      <c r="A1394" s="5">
        <v>1393</v>
      </c>
      <c r="B1394" s="6" t="s">
        <v>9</v>
      </c>
      <c r="C1394" s="7">
        <v>1884</v>
      </c>
      <c r="D1394" s="8">
        <v>45402</v>
      </c>
      <c r="E1394" s="9" t="str">
        <f>+HYPERLINK("http://trademark.i-assist.jp/data/china/image_1884th/76652883.pdf", "76652883")</f>
        <v>76652883</v>
      </c>
      <c r="F1394" s="6" t="s">
        <v>3809</v>
      </c>
      <c r="G1394" s="6" t="s">
        <v>3808</v>
      </c>
      <c r="H1394" s="8" t="s">
        <v>3810</v>
      </c>
      <c r="I1394" s="14">
        <v>45320</v>
      </c>
    </row>
    <row r="1395" spans="1:9" x14ac:dyDescent="0.15">
      <c r="A1395" s="5">
        <v>1394</v>
      </c>
      <c r="B1395" s="6" t="s">
        <v>9</v>
      </c>
      <c r="C1395" s="7">
        <v>1884</v>
      </c>
      <c r="D1395" s="8">
        <v>45402</v>
      </c>
      <c r="E1395" s="9" t="str">
        <f>+HYPERLINK("http://trademark.i-assist.jp/data/china/image_1884th/76652979.pdf", "76652979")</f>
        <v>76652979</v>
      </c>
      <c r="F1395" s="6" t="s">
        <v>3812</v>
      </c>
      <c r="G1395" s="6" t="s">
        <v>3811</v>
      </c>
      <c r="H1395" s="8" t="s">
        <v>3813</v>
      </c>
      <c r="I1395" s="14">
        <v>45320</v>
      </c>
    </row>
    <row r="1396" spans="1:9" x14ac:dyDescent="0.15">
      <c r="A1396" s="5">
        <v>1395</v>
      </c>
      <c r="B1396" s="6" t="s">
        <v>9</v>
      </c>
      <c r="C1396" s="7">
        <v>1884</v>
      </c>
      <c r="D1396" s="8">
        <v>45402</v>
      </c>
      <c r="E1396" s="9" t="str">
        <f>+HYPERLINK("http://trademark.i-assist.jp/data/china/image_1884th/76653181.pdf", "76653181")</f>
        <v>76653181</v>
      </c>
      <c r="F1396" s="6" t="s">
        <v>3815</v>
      </c>
      <c r="G1396" s="6" t="s">
        <v>3814</v>
      </c>
      <c r="H1396" s="8" t="s">
        <v>3816</v>
      </c>
      <c r="I1396" s="14">
        <v>45320</v>
      </c>
    </row>
    <row r="1397" spans="1:9" x14ac:dyDescent="0.15">
      <c r="A1397" s="5">
        <v>1396</v>
      </c>
      <c r="B1397" s="6" t="s">
        <v>9</v>
      </c>
      <c r="C1397" s="7">
        <v>1884</v>
      </c>
      <c r="D1397" s="8">
        <v>45402</v>
      </c>
      <c r="E1397" s="9" t="str">
        <f>+HYPERLINK("http://trademark.i-assist.jp/data/china/image_1884th/76653391.pdf", "76653391")</f>
        <v>76653391</v>
      </c>
      <c r="F1397" s="6" t="s">
        <v>3817</v>
      </c>
      <c r="G1397" s="6" t="s">
        <v>1947</v>
      </c>
      <c r="H1397" s="8" t="s">
        <v>1949</v>
      </c>
      <c r="I1397" s="14">
        <v>45320</v>
      </c>
    </row>
    <row r="1398" spans="1:9" x14ac:dyDescent="0.15">
      <c r="A1398" s="5">
        <v>1397</v>
      </c>
      <c r="B1398" s="6" t="s">
        <v>9</v>
      </c>
      <c r="C1398" s="7">
        <v>1884</v>
      </c>
      <c r="D1398" s="8">
        <v>45402</v>
      </c>
      <c r="E1398" s="9" t="str">
        <f>+HYPERLINK("http://trademark.i-assist.jp/data/china/image_1884th/76653492.pdf", "76653492")</f>
        <v>76653492</v>
      </c>
      <c r="F1398" s="6" t="s">
        <v>3819</v>
      </c>
      <c r="G1398" s="6" t="s">
        <v>3818</v>
      </c>
      <c r="H1398" s="8" t="s">
        <v>3820</v>
      </c>
      <c r="I1398" s="14">
        <v>45320</v>
      </c>
    </row>
    <row r="1399" spans="1:9" x14ac:dyDescent="0.15">
      <c r="A1399" s="5">
        <v>1398</v>
      </c>
      <c r="B1399" s="6" t="s">
        <v>9</v>
      </c>
      <c r="C1399" s="7">
        <v>1884</v>
      </c>
      <c r="D1399" s="8">
        <v>45402</v>
      </c>
      <c r="E1399" s="9" t="str">
        <f>+HYPERLINK("http://trademark.i-assist.jp/data/china/image_1884th/76653519.pdf", "76653519")</f>
        <v>76653519</v>
      </c>
      <c r="F1399" s="6" t="s">
        <v>3822</v>
      </c>
      <c r="G1399" s="6" t="s">
        <v>3821</v>
      </c>
      <c r="H1399" s="8" t="s">
        <v>3823</v>
      </c>
      <c r="I1399" s="14">
        <v>45320</v>
      </c>
    </row>
    <row r="1400" spans="1:9" x14ac:dyDescent="0.15">
      <c r="A1400" s="5">
        <v>1399</v>
      </c>
      <c r="B1400" s="6" t="s">
        <v>9</v>
      </c>
      <c r="C1400" s="7">
        <v>1884</v>
      </c>
      <c r="D1400" s="8">
        <v>45402</v>
      </c>
      <c r="E1400" s="9" t="str">
        <f>+HYPERLINK("http://trademark.i-assist.jp/data/china/image_1884th/76654004.pdf", "76654004")</f>
        <v>76654004</v>
      </c>
      <c r="F1400" s="6" t="s">
        <v>3824</v>
      </c>
      <c r="G1400" s="6" t="s">
        <v>3785</v>
      </c>
      <c r="H1400" s="8" t="s">
        <v>3825</v>
      </c>
      <c r="I1400" s="14">
        <v>45320</v>
      </c>
    </row>
    <row r="1401" spans="1:9" x14ac:dyDescent="0.15">
      <c r="A1401" s="5">
        <v>1400</v>
      </c>
      <c r="B1401" s="6" t="s">
        <v>9</v>
      </c>
      <c r="C1401" s="7">
        <v>1884</v>
      </c>
      <c r="D1401" s="8">
        <v>45402</v>
      </c>
      <c r="E1401" s="9" t="str">
        <f>+HYPERLINK("http://trademark.i-assist.jp/data/china/image_1884th/76654028.pdf", "76654028")</f>
        <v>76654028</v>
      </c>
      <c r="F1401" s="6" t="s">
        <v>3827</v>
      </c>
      <c r="G1401" s="6" t="s">
        <v>3826</v>
      </c>
      <c r="H1401" s="8" t="s">
        <v>3828</v>
      </c>
      <c r="I1401" s="14">
        <v>45320</v>
      </c>
    </row>
    <row r="1402" spans="1:9" x14ac:dyDescent="0.15">
      <c r="A1402" s="5">
        <v>1401</v>
      </c>
      <c r="B1402" s="6" t="s">
        <v>9</v>
      </c>
      <c r="C1402" s="7">
        <v>1884</v>
      </c>
      <c r="D1402" s="8">
        <v>45402</v>
      </c>
      <c r="E1402" s="9" t="str">
        <f>+HYPERLINK("http://trademark.i-assist.jp/data/china/image_1884th/76654347.pdf", "76654347")</f>
        <v>76654347</v>
      </c>
      <c r="F1402" s="6" t="s">
        <v>3830</v>
      </c>
      <c r="G1402" s="6" t="s">
        <v>3829</v>
      </c>
      <c r="H1402" s="8" t="s">
        <v>3831</v>
      </c>
      <c r="I1402" s="14">
        <v>45320</v>
      </c>
    </row>
    <row r="1403" spans="1:9" x14ac:dyDescent="0.15">
      <c r="A1403" s="5">
        <v>1402</v>
      </c>
      <c r="B1403" s="6" t="s">
        <v>9</v>
      </c>
      <c r="C1403" s="7">
        <v>1884</v>
      </c>
      <c r="D1403" s="8">
        <v>45402</v>
      </c>
      <c r="E1403" s="9" t="str">
        <f>+HYPERLINK("http://trademark.i-assist.jp/data/china/image_1884th/76654374.pdf", "76654374")</f>
        <v>76654374</v>
      </c>
      <c r="F1403" s="6" t="s">
        <v>3833</v>
      </c>
      <c r="G1403" s="6" t="s">
        <v>3832</v>
      </c>
      <c r="H1403" s="8" t="s">
        <v>3834</v>
      </c>
      <c r="I1403" s="14">
        <v>45320</v>
      </c>
    </row>
    <row r="1404" spans="1:9" x14ac:dyDescent="0.15">
      <c r="A1404" s="5">
        <v>1403</v>
      </c>
      <c r="B1404" s="6" t="s">
        <v>9</v>
      </c>
      <c r="C1404" s="7">
        <v>1884</v>
      </c>
      <c r="D1404" s="8">
        <v>45402</v>
      </c>
      <c r="E1404" s="9" t="str">
        <f>+HYPERLINK("http://trademark.i-assist.jp/data/china/image_1884th/76654665.pdf", "76654665")</f>
        <v>76654665</v>
      </c>
      <c r="F1404" s="6" t="s">
        <v>3835</v>
      </c>
      <c r="G1404" s="6" t="s">
        <v>3785</v>
      </c>
      <c r="H1404" s="8" t="s">
        <v>3836</v>
      </c>
      <c r="I1404" s="14">
        <v>45320</v>
      </c>
    </row>
    <row r="1405" spans="1:9" x14ac:dyDescent="0.15">
      <c r="A1405" s="5">
        <v>1404</v>
      </c>
      <c r="B1405" s="6" t="s">
        <v>9</v>
      </c>
      <c r="C1405" s="7">
        <v>1884</v>
      </c>
      <c r="D1405" s="8">
        <v>45402</v>
      </c>
      <c r="E1405" s="9" t="str">
        <f>+HYPERLINK("http://trademark.i-assist.jp/data/china/image_1884th/76654685.pdf", "76654685")</f>
        <v>76654685</v>
      </c>
      <c r="F1405" s="6" t="s">
        <v>3838</v>
      </c>
      <c r="G1405" s="6" t="s">
        <v>3837</v>
      </c>
      <c r="H1405" s="8" t="s">
        <v>3839</v>
      </c>
      <c r="I1405" s="14">
        <v>45320</v>
      </c>
    </row>
    <row r="1406" spans="1:9" x14ac:dyDescent="0.15">
      <c r="A1406" s="5">
        <v>1405</v>
      </c>
      <c r="B1406" s="6" t="s">
        <v>9</v>
      </c>
      <c r="C1406" s="7">
        <v>1884</v>
      </c>
      <c r="D1406" s="8">
        <v>45402</v>
      </c>
      <c r="E1406" s="9" t="str">
        <f>+HYPERLINK("http://trademark.i-assist.jp/data/china/image_1884th/76654687.pdf", "76654687")</f>
        <v>76654687</v>
      </c>
      <c r="F1406" s="6" t="s">
        <v>3841</v>
      </c>
      <c r="G1406" s="6" t="s">
        <v>3840</v>
      </c>
      <c r="H1406" s="8" t="s">
        <v>3842</v>
      </c>
      <c r="I1406" s="14">
        <v>45320</v>
      </c>
    </row>
    <row r="1407" spans="1:9" x14ac:dyDescent="0.15">
      <c r="A1407" s="5">
        <v>1406</v>
      </c>
      <c r="B1407" s="6" t="s">
        <v>9</v>
      </c>
      <c r="C1407" s="7">
        <v>1884</v>
      </c>
      <c r="D1407" s="8">
        <v>45402</v>
      </c>
      <c r="E1407" s="9" t="str">
        <f>+HYPERLINK("http://trademark.i-assist.jp/data/china/image_1884th/76654763.pdf", "76654763")</f>
        <v>76654763</v>
      </c>
      <c r="F1407" s="6" t="s">
        <v>3844</v>
      </c>
      <c r="G1407" s="6" t="s">
        <v>3843</v>
      </c>
      <c r="H1407" s="8" t="s">
        <v>3845</v>
      </c>
      <c r="I1407" s="14">
        <v>45320</v>
      </c>
    </row>
    <row r="1408" spans="1:9" x14ac:dyDescent="0.15">
      <c r="A1408" s="5">
        <v>1407</v>
      </c>
      <c r="B1408" s="6" t="s">
        <v>9</v>
      </c>
      <c r="C1408" s="7">
        <v>1884</v>
      </c>
      <c r="D1408" s="8">
        <v>45402</v>
      </c>
      <c r="E1408" s="9" t="str">
        <f>+HYPERLINK("http://trademark.i-assist.jp/data/china/image_1884th/76655227.pdf", "76655227")</f>
        <v>76655227</v>
      </c>
      <c r="F1408" s="6" t="s">
        <v>3847</v>
      </c>
      <c r="G1408" s="6" t="s">
        <v>3846</v>
      </c>
      <c r="H1408" s="8" t="s">
        <v>3848</v>
      </c>
      <c r="I1408" s="14">
        <v>45320</v>
      </c>
    </row>
    <row r="1409" spans="1:9" x14ac:dyDescent="0.15">
      <c r="A1409" s="5">
        <v>1408</v>
      </c>
      <c r="B1409" s="6" t="s">
        <v>9</v>
      </c>
      <c r="C1409" s="7">
        <v>1884</v>
      </c>
      <c r="D1409" s="8">
        <v>45402</v>
      </c>
      <c r="E1409" s="9" t="str">
        <f>+HYPERLINK("http://trademark.i-assist.jp/data/china/image_1884th/76655255.pdf", "76655255")</f>
        <v>76655255</v>
      </c>
      <c r="F1409" s="6" t="s">
        <v>3849</v>
      </c>
      <c r="G1409" s="6" t="s">
        <v>3805</v>
      </c>
      <c r="H1409" s="8" t="s">
        <v>3807</v>
      </c>
      <c r="I1409" s="14">
        <v>45320</v>
      </c>
    </row>
    <row r="1410" spans="1:9" x14ac:dyDescent="0.15">
      <c r="A1410" s="5">
        <v>1409</v>
      </c>
      <c r="B1410" s="6" t="s">
        <v>9</v>
      </c>
      <c r="C1410" s="7">
        <v>1884</v>
      </c>
      <c r="D1410" s="8">
        <v>45402</v>
      </c>
      <c r="E1410" s="9" t="str">
        <f>+HYPERLINK("http://trademark.i-assist.jp/data/china/image_1884th/76655363.pdf", "76655363")</f>
        <v>76655363</v>
      </c>
      <c r="F1410" s="6" t="s">
        <v>3851</v>
      </c>
      <c r="G1410" s="6" t="s">
        <v>3850</v>
      </c>
      <c r="H1410" s="8" t="s">
        <v>3852</v>
      </c>
      <c r="I1410" s="14">
        <v>45320</v>
      </c>
    </row>
    <row r="1411" spans="1:9" x14ac:dyDescent="0.15">
      <c r="A1411" s="5">
        <v>1410</v>
      </c>
      <c r="B1411" s="6" t="s">
        <v>9</v>
      </c>
      <c r="C1411" s="7">
        <v>1884</v>
      </c>
      <c r="D1411" s="8">
        <v>45402</v>
      </c>
      <c r="E1411" s="9" t="str">
        <f>+HYPERLINK("http://trademark.i-assist.jp/data/china/image_1884th/76655413.pdf", "76655413")</f>
        <v>76655413</v>
      </c>
      <c r="F1411" s="6" t="s">
        <v>3854</v>
      </c>
      <c r="G1411" s="6" t="s">
        <v>3853</v>
      </c>
      <c r="H1411" s="8" t="s">
        <v>3855</v>
      </c>
      <c r="I1411" s="14">
        <v>45320</v>
      </c>
    </row>
    <row r="1412" spans="1:9" x14ac:dyDescent="0.15">
      <c r="A1412" s="5">
        <v>1411</v>
      </c>
      <c r="B1412" s="6" t="s">
        <v>9</v>
      </c>
      <c r="C1412" s="7">
        <v>1884</v>
      </c>
      <c r="D1412" s="8">
        <v>45402</v>
      </c>
      <c r="E1412" s="9" t="str">
        <f>+HYPERLINK("http://trademark.i-assist.jp/data/china/image_1884th/76655643.pdf", "76655643")</f>
        <v>76655643</v>
      </c>
      <c r="F1412" s="6" t="s">
        <v>3857</v>
      </c>
      <c r="G1412" s="6" t="s">
        <v>3856</v>
      </c>
      <c r="H1412" s="8" t="s">
        <v>3858</v>
      </c>
      <c r="I1412" s="14">
        <v>45320</v>
      </c>
    </row>
    <row r="1413" spans="1:9" x14ac:dyDescent="0.15">
      <c r="A1413" s="5">
        <v>1412</v>
      </c>
      <c r="B1413" s="6" t="s">
        <v>9</v>
      </c>
      <c r="C1413" s="7">
        <v>1884</v>
      </c>
      <c r="D1413" s="8">
        <v>45402</v>
      </c>
      <c r="E1413" s="9" t="str">
        <f>+HYPERLINK("http://trademark.i-assist.jp/data/china/image_1884th/76655691.pdf", "76655691")</f>
        <v>76655691</v>
      </c>
      <c r="F1413" s="6" t="s">
        <v>3860</v>
      </c>
      <c r="G1413" s="6" t="s">
        <v>3859</v>
      </c>
      <c r="H1413" s="8" t="s">
        <v>3861</v>
      </c>
      <c r="I1413" s="14">
        <v>45320</v>
      </c>
    </row>
    <row r="1414" spans="1:9" x14ac:dyDescent="0.15">
      <c r="A1414" s="5">
        <v>1413</v>
      </c>
      <c r="B1414" s="6" t="s">
        <v>9</v>
      </c>
      <c r="C1414" s="7">
        <v>1884</v>
      </c>
      <c r="D1414" s="8">
        <v>45402</v>
      </c>
      <c r="E1414" s="9" t="str">
        <f>+HYPERLINK("http://trademark.i-assist.jp/data/china/image_1884th/76655867.pdf", "76655867")</f>
        <v>76655867</v>
      </c>
      <c r="F1414" s="6" t="s">
        <v>167</v>
      </c>
      <c r="G1414" s="6" t="s">
        <v>3862</v>
      </c>
      <c r="H1414" s="8" t="s">
        <v>3863</v>
      </c>
      <c r="I1414" s="14">
        <v>45320</v>
      </c>
    </row>
    <row r="1415" spans="1:9" x14ac:dyDescent="0.15">
      <c r="A1415" s="5">
        <v>1414</v>
      </c>
      <c r="B1415" s="6" t="s">
        <v>9</v>
      </c>
      <c r="C1415" s="7">
        <v>1884</v>
      </c>
      <c r="D1415" s="8">
        <v>45402</v>
      </c>
      <c r="E1415" s="9" t="str">
        <f>+HYPERLINK("http://trademark.i-assist.jp/data/china/image_1884th/76655870.pdf", "76655870")</f>
        <v>76655870</v>
      </c>
      <c r="F1415" s="6" t="s">
        <v>3865</v>
      </c>
      <c r="G1415" s="6" t="s">
        <v>3864</v>
      </c>
      <c r="H1415" s="8" t="s">
        <v>3866</v>
      </c>
      <c r="I1415" s="14">
        <v>45320</v>
      </c>
    </row>
    <row r="1416" spans="1:9" x14ac:dyDescent="0.15">
      <c r="A1416" s="5">
        <v>1415</v>
      </c>
      <c r="B1416" s="6" t="s">
        <v>9</v>
      </c>
      <c r="C1416" s="7">
        <v>1884</v>
      </c>
      <c r="D1416" s="8">
        <v>45402</v>
      </c>
      <c r="E1416" s="9" t="str">
        <f>+HYPERLINK("http://trademark.i-assist.jp/data/china/image_1884th/76655952.pdf", "76655952")</f>
        <v>76655952</v>
      </c>
      <c r="F1416" s="6" t="s">
        <v>3868</v>
      </c>
      <c r="G1416" s="6" t="s">
        <v>3867</v>
      </c>
      <c r="H1416" s="8" t="s">
        <v>3869</v>
      </c>
      <c r="I1416" s="14">
        <v>45320</v>
      </c>
    </row>
    <row r="1417" spans="1:9" x14ac:dyDescent="0.15">
      <c r="A1417" s="5">
        <v>1416</v>
      </c>
      <c r="B1417" s="6" t="s">
        <v>9</v>
      </c>
      <c r="C1417" s="7">
        <v>1884</v>
      </c>
      <c r="D1417" s="8">
        <v>45402</v>
      </c>
      <c r="E1417" s="9" t="str">
        <f>+HYPERLINK("http://trademark.i-assist.jp/data/china/image_1884th/76656052.pdf", "76656052")</f>
        <v>76656052</v>
      </c>
      <c r="F1417" s="6" t="s">
        <v>3870</v>
      </c>
      <c r="G1417" s="6" t="s">
        <v>3814</v>
      </c>
      <c r="H1417" s="8" t="s">
        <v>3871</v>
      </c>
      <c r="I1417" s="14">
        <v>45320</v>
      </c>
    </row>
    <row r="1418" spans="1:9" x14ac:dyDescent="0.15">
      <c r="A1418" s="5">
        <v>1417</v>
      </c>
      <c r="B1418" s="6" t="s">
        <v>9</v>
      </c>
      <c r="C1418" s="7">
        <v>1884</v>
      </c>
      <c r="D1418" s="8">
        <v>45402</v>
      </c>
      <c r="E1418" s="9" t="str">
        <f>+HYPERLINK("http://trademark.i-assist.jp/data/china/image_1884th/76656149.pdf", "76656149")</f>
        <v>76656149</v>
      </c>
      <c r="F1418" s="6" t="s">
        <v>3873</v>
      </c>
      <c r="G1418" s="6" t="s">
        <v>3872</v>
      </c>
      <c r="H1418" s="8" t="s">
        <v>2887</v>
      </c>
      <c r="I1418" s="14">
        <v>45320</v>
      </c>
    </row>
    <row r="1419" spans="1:9" x14ac:dyDescent="0.15">
      <c r="A1419" s="5">
        <v>1418</v>
      </c>
      <c r="B1419" s="6" t="s">
        <v>9</v>
      </c>
      <c r="C1419" s="7">
        <v>1884</v>
      </c>
      <c r="D1419" s="8">
        <v>45402</v>
      </c>
      <c r="E1419" s="9" t="str">
        <f>+HYPERLINK("http://trademark.i-assist.jp/data/china/image_1884th/76656806.pdf", "76656806")</f>
        <v>76656806</v>
      </c>
      <c r="F1419" s="6" t="s">
        <v>3874</v>
      </c>
      <c r="G1419" s="6" t="s">
        <v>3785</v>
      </c>
      <c r="H1419" s="8" t="s">
        <v>3875</v>
      </c>
      <c r="I1419" s="14">
        <v>45320</v>
      </c>
    </row>
    <row r="1420" spans="1:9" x14ac:dyDescent="0.15">
      <c r="A1420" s="5">
        <v>1419</v>
      </c>
      <c r="B1420" s="6" t="s">
        <v>9</v>
      </c>
      <c r="C1420" s="7">
        <v>1884</v>
      </c>
      <c r="D1420" s="8">
        <v>45402</v>
      </c>
      <c r="E1420" s="9" t="str">
        <f>+HYPERLINK("http://trademark.i-assist.jp/data/china/image_1884th/76656843.pdf", "76656843")</f>
        <v>76656843</v>
      </c>
      <c r="F1420" s="6" t="s">
        <v>3877</v>
      </c>
      <c r="G1420" s="6" t="s">
        <v>3876</v>
      </c>
      <c r="H1420" s="8" t="s">
        <v>3878</v>
      </c>
      <c r="I1420" s="14">
        <v>45320</v>
      </c>
    </row>
    <row r="1421" spans="1:9" x14ac:dyDescent="0.15">
      <c r="A1421" s="5">
        <v>1420</v>
      </c>
      <c r="B1421" s="6" t="s">
        <v>9</v>
      </c>
      <c r="C1421" s="7">
        <v>1884</v>
      </c>
      <c r="D1421" s="8">
        <v>45402</v>
      </c>
      <c r="E1421" s="9" t="str">
        <f>+HYPERLINK("http://trademark.i-assist.jp/data/china/image_1884th/76656915.pdf", "76656915")</f>
        <v>76656915</v>
      </c>
      <c r="F1421" s="6" t="s">
        <v>3880</v>
      </c>
      <c r="G1421" s="6" t="s">
        <v>3879</v>
      </c>
      <c r="H1421" s="8" t="s">
        <v>3881</v>
      </c>
      <c r="I1421" s="14">
        <v>45320</v>
      </c>
    </row>
    <row r="1422" spans="1:9" x14ac:dyDescent="0.15">
      <c r="A1422" s="5">
        <v>1421</v>
      </c>
      <c r="B1422" s="6" t="s">
        <v>9</v>
      </c>
      <c r="C1422" s="7">
        <v>1884</v>
      </c>
      <c r="D1422" s="8">
        <v>45402</v>
      </c>
      <c r="E1422" s="9" t="str">
        <f>+HYPERLINK("http://trademark.i-assist.jp/data/china/image_1884th/76656935.pdf", "76656935")</f>
        <v>76656935</v>
      </c>
      <c r="F1422" s="6" t="s">
        <v>3883</v>
      </c>
      <c r="G1422" s="6" t="s">
        <v>3882</v>
      </c>
      <c r="H1422" s="8" t="s">
        <v>3884</v>
      </c>
      <c r="I1422" s="14">
        <v>45320</v>
      </c>
    </row>
    <row r="1423" spans="1:9" x14ac:dyDescent="0.15">
      <c r="A1423" s="5">
        <v>1422</v>
      </c>
      <c r="B1423" s="6" t="s">
        <v>9</v>
      </c>
      <c r="C1423" s="7">
        <v>1884</v>
      </c>
      <c r="D1423" s="8">
        <v>45402</v>
      </c>
      <c r="E1423" s="9" t="str">
        <f>+HYPERLINK("http://trademark.i-assist.jp/data/china/image_1884th/76657025.pdf", "76657025")</f>
        <v>76657025</v>
      </c>
      <c r="F1423" s="6" t="s">
        <v>3885</v>
      </c>
      <c r="G1423" s="6" t="s">
        <v>3785</v>
      </c>
      <c r="H1423" s="8" t="s">
        <v>3825</v>
      </c>
      <c r="I1423" s="14">
        <v>45320</v>
      </c>
    </row>
    <row r="1424" spans="1:9" x14ac:dyDescent="0.15">
      <c r="A1424" s="5">
        <v>1423</v>
      </c>
      <c r="B1424" s="6" t="s">
        <v>9</v>
      </c>
      <c r="C1424" s="7">
        <v>1884</v>
      </c>
      <c r="D1424" s="8">
        <v>45402</v>
      </c>
      <c r="E1424" s="9" t="str">
        <f>+HYPERLINK("http://trademark.i-assist.jp/data/china/image_1884th/76657169.pdf", "76657169")</f>
        <v>76657169</v>
      </c>
      <c r="F1424" s="6" t="s">
        <v>3886</v>
      </c>
      <c r="G1424" s="6" t="s">
        <v>3805</v>
      </c>
      <c r="H1424" s="8" t="s">
        <v>3887</v>
      </c>
      <c r="I1424" s="14">
        <v>45320</v>
      </c>
    </row>
    <row r="1425" spans="1:9" x14ac:dyDescent="0.15">
      <c r="A1425" s="5">
        <v>1424</v>
      </c>
      <c r="B1425" s="6" t="s">
        <v>9</v>
      </c>
      <c r="C1425" s="7">
        <v>1884</v>
      </c>
      <c r="D1425" s="8">
        <v>45402</v>
      </c>
      <c r="E1425" s="9" t="str">
        <f>+HYPERLINK("http://trademark.i-assist.jp/data/china/image_1884th/76657239.pdf", "76657239")</f>
        <v>76657239</v>
      </c>
      <c r="F1425" s="6" t="s">
        <v>3889</v>
      </c>
      <c r="G1425" s="6" t="s">
        <v>3888</v>
      </c>
      <c r="H1425" s="8" t="s">
        <v>3890</v>
      </c>
      <c r="I1425" s="14">
        <v>45320</v>
      </c>
    </row>
    <row r="1426" spans="1:9" x14ac:dyDescent="0.15">
      <c r="A1426" s="5">
        <v>1425</v>
      </c>
      <c r="B1426" s="6" t="s">
        <v>9</v>
      </c>
      <c r="C1426" s="7">
        <v>1884</v>
      </c>
      <c r="D1426" s="8">
        <v>45402</v>
      </c>
      <c r="E1426" s="9" t="str">
        <f>+HYPERLINK("http://trademark.i-assist.jp/data/china/image_1884th/76657435.pdf", "76657435")</f>
        <v>76657435</v>
      </c>
      <c r="F1426" s="6" t="s">
        <v>3892</v>
      </c>
      <c r="G1426" s="6" t="s">
        <v>3891</v>
      </c>
      <c r="H1426" s="8" t="s">
        <v>3893</v>
      </c>
      <c r="I1426" s="14">
        <v>45320</v>
      </c>
    </row>
    <row r="1427" spans="1:9" x14ac:dyDescent="0.15">
      <c r="A1427" s="5">
        <v>1426</v>
      </c>
      <c r="B1427" s="6" t="s">
        <v>9</v>
      </c>
      <c r="C1427" s="7">
        <v>1884</v>
      </c>
      <c r="D1427" s="8">
        <v>45402</v>
      </c>
      <c r="E1427" s="9" t="str">
        <f>+HYPERLINK("http://trademark.i-assist.jp/data/china/image_1884th/76657754.pdf", "76657754")</f>
        <v>76657754</v>
      </c>
      <c r="F1427" s="6" t="s">
        <v>3895</v>
      </c>
      <c r="G1427" s="6" t="s">
        <v>3894</v>
      </c>
      <c r="H1427" s="8" t="s">
        <v>3896</v>
      </c>
      <c r="I1427" s="14">
        <v>45320</v>
      </c>
    </row>
    <row r="1428" spans="1:9" x14ac:dyDescent="0.15">
      <c r="A1428" s="5">
        <v>1427</v>
      </c>
      <c r="B1428" s="6" t="s">
        <v>9</v>
      </c>
      <c r="C1428" s="7">
        <v>1884</v>
      </c>
      <c r="D1428" s="8">
        <v>45402</v>
      </c>
      <c r="E1428" s="9" t="str">
        <f>+HYPERLINK("http://trademark.i-assist.jp/data/china/image_1884th/76657838.pdf", "76657838")</f>
        <v>76657838</v>
      </c>
      <c r="F1428" s="6" t="s">
        <v>3897</v>
      </c>
      <c r="G1428" s="6" t="s">
        <v>36</v>
      </c>
      <c r="H1428" s="8" t="s">
        <v>3898</v>
      </c>
      <c r="I1428" s="14">
        <v>45320</v>
      </c>
    </row>
    <row r="1429" spans="1:9" x14ac:dyDescent="0.15">
      <c r="A1429" s="5">
        <v>1428</v>
      </c>
      <c r="B1429" s="6" t="s">
        <v>9</v>
      </c>
      <c r="C1429" s="7">
        <v>1884</v>
      </c>
      <c r="D1429" s="8">
        <v>45402</v>
      </c>
      <c r="E1429" s="9" t="str">
        <f>+HYPERLINK("http://trademark.i-assist.jp/data/china/image_1884th/76658117.pdf", "76658117")</f>
        <v>76658117</v>
      </c>
      <c r="F1429" s="6" t="s">
        <v>3900</v>
      </c>
      <c r="G1429" s="6" t="s">
        <v>3899</v>
      </c>
      <c r="H1429" s="8" t="s">
        <v>3901</v>
      </c>
      <c r="I1429" s="14">
        <v>45320</v>
      </c>
    </row>
    <row r="1430" spans="1:9" x14ac:dyDescent="0.15">
      <c r="A1430" s="5">
        <v>1429</v>
      </c>
      <c r="B1430" s="6" t="s">
        <v>9</v>
      </c>
      <c r="C1430" s="7">
        <v>1884</v>
      </c>
      <c r="D1430" s="8">
        <v>45402</v>
      </c>
      <c r="E1430" s="9" t="str">
        <f>+HYPERLINK("http://trademark.i-assist.jp/data/china/image_1884th/76658249.pdf", "76658249")</f>
        <v>76658249</v>
      </c>
      <c r="F1430" s="6" t="s">
        <v>3902</v>
      </c>
      <c r="G1430" s="6" t="s">
        <v>1947</v>
      </c>
      <c r="H1430" s="8" t="s">
        <v>1949</v>
      </c>
      <c r="I1430" s="14">
        <v>45320</v>
      </c>
    </row>
    <row r="1431" spans="1:9" x14ac:dyDescent="0.15">
      <c r="A1431" s="5">
        <v>1430</v>
      </c>
      <c r="B1431" s="6" t="s">
        <v>9</v>
      </c>
      <c r="C1431" s="7">
        <v>1884</v>
      </c>
      <c r="D1431" s="8">
        <v>45402</v>
      </c>
      <c r="E1431" s="9" t="str">
        <f>+HYPERLINK("http://trademark.i-assist.jp/data/china/image_1884th/76658404.pdf", "76658404")</f>
        <v>76658404</v>
      </c>
      <c r="F1431" s="6" t="s">
        <v>3904</v>
      </c>
      <c r="G1431" s="6" t="s">
        <v>3903</v>
      </c>
      <c r="H1431" s="8" t="s">
        <v>3905</v>
      </c>
      <c r="I1431" s="14">
        <v>45320</v>
      </c>
    </row>
    <row r="1432" spans="1:9" x14ac:dyDescent="0.15">
      <c r="A1432" s="5">
        <v>1431</v>
      </c>
      <c r="B1432" s="6" t="s">
        <v>9</v>
      </c>
      <c r="C1432" s="7">
        <v>1884</v>
      </c>
      <c r="D1432" s="8">
        <v>45402</v>
      </c>
      <c r="E1432" s="9" t="str">
        <f>+HYPERLINK("http://trademark.i-assist.jp/data/china/image_1884th/76658512.pdf", "76658512")</f>
        <v>76658512</v>
      </c>
      <c r="F1432" s="6" t="s">
        <v>3907</v>
      </c>
      <c r="G1432" s="6" t="s">
        <v>3906</v>
      </c>
      <c r="H1432" s="8" t="s">
        <v>3908</v>
      </c>
      <c r="I1432" s="14">
        <v>45320</v>
      </c>
    </row>
    <row r="1433" spans="1:9" x14ac:dyDescent="0.15">
      <c r="A1433" s="5">
        <v>1432</v>
      </c>
      <c r="B1433" s="6" t="s">
        <v>9</v>
      </c>
      <c r="C1433" s="7">
        <v>1884</v>
      </c>
      <c r="D1433" s="8">
        <v>45402</v>
      </c>
      <c r="E1433" s="9" t="str">
        <f>+HYPERLINK("http://trademark.i-assist.jp/data/china/image_1884th/76658789.pdf", "76658789")</f>
        <v>76658789</v>
      </c>
      <c r="F1433" s="6" t="s">
        <v>3910</v>
      </c>
      <c r="G1433" s="6" t="s">
        <v>3909</v>
      </c>
      <c r="H1433" s="8" t="s">
        <v>3911</v>
      </c>
      <c r="I1433" s="14">
        <v>45320</v>
      </c>
    </row>
    <row r="1434" spans="1:9" x14ac:dyDescent="0.15">
      <c r="A1434" s="5">
        <v>1433</v>
      </c>
      <c r="B1434" s="6" t="s">
        <v>9</v>
      </c>
      <c r="C1434" s="7">
        <v>1884</v>
      </c>
      <c r="D1434" s="8">
        <v>45402</v>
      </c>
      <c r="E1434" s="9" t="str">
        <f>+HYPERLINK("http://trademark.i-assist.jp/data/china/image_1884th/76658949.pdf", "76658949")</f>
        <v>76658949</v>
      </c>
      <c r="F1434" s="6" t="s">
        <v>3912</v>
      </c>
      <c r="G1434" s="6" t="s">
        <v>3872</v>
      </c>
      <c r="H1434" s="8" t="s">
        <v>2887</v>
      </c>
      <c r="I1434" s="14">
        <v>45320</v>
      </c>
    </row>
    <row r="1435" spans="1:9" x14ac:dyDescent="0.15">
      <c r="A1435" s="5">
        <v>1434</v>
      </c>
      <c r="B1435" s="6" t="s">
        <v>9</v>
      </c>
      <c r="C1435" s="7">
        <v>1884</v>
      </c>
      <c r="D1435" s="8">
        <v>45402</v>
      </c>
      <c r="E1435" s="9" t="str">
        <f>+HYPERLINK("http://trademark.i-assist.jp/data/china/image_1884th/76659124.pdf", "76659124")</f>
        <v>76659124</v>
      </c>
      <c r="F1435" s="6" t="s">
        <v>3913</v>
      </c>
      <c r="G1435" s="6" t="s">
        <v>3805</v>
      </c>
      <c r="H1435" s="8" t="s">
        <v>3914</v>
      </c>
      <c r="I1435" s="14">
        <v>45320</v>
      </c>
    </row>
    <row r="1436" spans="1:9" x14ac:dyDescent="0.15">
      <c r="A1436" s="5">
        <v>1435</v>
      </c>
      <c r="B1436" s="6" t="s">
        <v>9</v>
      </c>
      <c r="C1436" s="7">
        <v>1884</v>
      </c>
      <c r="D1436" s="8">
        <v>45402</v>
      </c>
      <c r="E1436" s="9" t="str">
        <f>+HYPERLINK("http://trademark.i-assist.jp/data/china/image_1884th/76659133.pdf", "76659133")</f>
        <v>76659133</v>
      </c>
      <c r="F1436" s="6" t="s">
        <v>3915</v>
      </c>
      <c r="G1436" s="6" t="s">
        <v>3785</v>
      </c>
      <c r="H1436" s="8" t="s">
        <v>3825</v>
      </c>
      <c r="I1436" s="14">
        <v>45320</v>
      </c>
    </row>
    <row r="1437" spans="1:9" x14ac:dyDescent="0.15">
      <c r="A1437" s="5">
        <v>1436</v>
      </c>
      <c r="B1437" s="6" t="s">
        <v>9</v>
      </c>
      <c r="C1437" s="7">
        <v>1884</v>
      </c>
      <c r="D1437" s="8">
        <v>45402</v>
      </c>
      <c r="E1437" s="9" t="str">
        <f>+HYPERLINK("http://trademark.i-assist.jp/data/china/image_1884th/76659247.pdf", "76659247")</f>
        <v>76659247</v>
      </c>
      <c r="F1437" s="6" t="s">
        <v>3916</v>
      </c>
      <c r="G1437" s="6" t="s">
        <v>3862</v>
      </c>
      <c r="H1437" s="8" t="s">
        <v>3917</v>
      </c>
      <c r="I1437" s="14">
        <v>45320</v>
      </c>
    </row>
    <row r="1438" spans="1:9" x14ac:dyDescent="0.15">
      <c r="A1438" s="5">
        <v>1437</v>
      </c>
      <c r="B1438" s="6" t="s">
        <v>9</v>
      </c>
      <c r="C1438" s="7">
        <v>1884</v>
      </c>
      <c r="D1438" s="8">
        <v>45402</v>
      </c>
      <c r="E1438" s="9" t="str">
        <f>+HYPERLINK("http://trademark.i-assist.jp/data/china/image_1884th/76659506.pdf", "76659506")</f>
        <v>76659506</v>
      </c>
      <c r="F1438" s="6" t="s">
        <v>3919</v>
      </c>
      <c r="G1438" s="6" t="s">
        <v>3918</v>
      </c>
      <c r="H1438" s="8" t="s">
        <v>3920</v>
      </c>
      <c r="I1438" s="14">
        <v>45320</v>
      </c>
    </row>
    <row r="1439" spans="1:9" x14ac:dyDescent="0.15">
      <c r="A1439" s="5">
        <v>1438</v>
      </c>
      <c r="B1439" s="6" t="s">
        <v>9</v>
      </c>
      <c r="C1439" s="7">
        <v>1884</v>
      </c>
      <c r="D1439" s="8">
        <v>45402</v>
      </c>
      <c r="E1439" s="9" t="str">
        <f>+HYPERLINK("http://trademark.i-assist.jp/data/china/image_1884th/76659560.pdf", "76659560")</f>
        <v>76659560</v>
      </c>
      <c r="F1439" s="6" t="s">
        <v>3922</v>
      </c>
      <c r="G1439" s="6" t="s">
        <v>3921</v>
      </c>
      <c r="H1439" s="8" t="s">
        <v>3923</v>
      </c>
      <c r="I1439" s="14">
        <v>45320</v>
      </c>
    </row>
    <row r="1440" spans="1:9" x14ac:dyDescent="0.15">
      <c r="A1440" s="5">
        <v>1439</v>
      </c>
      <c r="B1440" s="6" t="s">
        <v>9</v>
      </c>
      <c r="C1440" s="7">
        <v>1884</v>
      </c>
      <c r="D1440" s="8">
        <v>45402</v>
      </c>
      <c r="E1440" s="9" t="str">
        <f>+HYPERLINK("http://trademark.i-assist.jp/data/china/image_1884th/76659671.pdf", "76659671")</f>
        <v>76659671</v>
      </c>
      <c r="F1440" s="6" t="s">
        <v>3925</v>
      </c>
      <c r="G1440" s="6" t="s">
        <v>3924</v>
      </c>
      <c r="H1440" s="8" t="s">
        <v>3926</v>
      </c>
      <c r="I1440" s="14">
        <v>45320</v>
      </c>
    </row>
    <row r="1441" spans="1:9" x14ac:dyDescent="0.15">
      <c r="A1441" s="5">
        <v>1440</v>
      </c>
      <c r="B1441" s="6" t="s">
        <v>9</v>
      </c>
      <c r="C1441" s="7">
        <v>1884</v>
      </c>
      <c r="D1441" s="8">
        <v>45402</v>
      </c>
      <c r="E1441" s="9" t="str">
        <f>+HYPERLINK("http://trademark.i-assist.jp/data/china/image_1884th/76659828.pdf", "76659828")</f>
        <v>76659828</v>
      </c>
      <c r="F1441" s="6" t="s">
        <v>3928</v>
      </c>
      <c r="G1441" s="6" t="s">
        <v>3927</v>
      </c>
      <c r="H1441" s="8" t="s">
        <v>3929</v>
      </c>
      <c r="I1441" s="14">
        <v>45320</v>
      </c>
    </row>
    <row r="1442" spans="1:9" x14ac:dyDescent="0.15">
      <c r="A1442" s="5">
        <v>1441</v>
      </c>
      <c r="B1442" s="6" t="s">
        <v>9</v>
      </c>
      <c r="C1442" s="7">
        <v>1884</v>
      </c>
      <c r="D1442" s="8">
        <v>45402</v>
      </c>
      <c r="E1442" s="9" t="str">
        <f>+HYPERLINK("http://trademark.i-assist.jp/data/china/image_1884th/76660308.pdf", "76660308")</f>
        <v>76660308</v>
      </c>
      <c r="F1442" s="6" t="s">
        <v>3931</v>
      </c>
      <c r="G1442" s="6" t="s">
        <v>3930</v>
      </c>
      <c r="H1442" s="8" t="s">
        <v>3932</v>
      </c>
      <c r="I1442" s="14">
        <v>45320</v>
      </c>
    </row>
    <row r="1443" spans="1:9" x14ac:dyDescent="0.15">
      <c r="A1443" s="5">
        <v>1442</v>
      </c>
      <c r="B1443" s="6" t="s">
        <v>9</v>
      </c>
      <c r="C1443" s="7">
        <v>1884</v>
      </c>
      <c r="D1443" s="8">
        <v>45402</v>
      </c>
      <c r="E1443" s="9" t="str">
        <f>+HYPERLINK("http://trademark.i-assist.jp/data/china/image_1884th/76660813.pdf", "76660813")</f>
        <v>76660813</v>
      </c>
      <c r="F1443" s="6" t="s">
        <v>3934</v>
      </c>
      <c r="G1443" s="6" t="s">
        <v>3933</v>
      </c>
      <c r="H1443" s="8" t="s">
        <v>3935</v>
      </c>
      <c r="I1443" s="14">
        <v>45320</v>
      </c>
    </row>
    <row r="1444" spans="1:9" x14ac:dyDescent="0.15">
      <c r="A1444" s="5">
        <v>1443</v>
      </c>
      <c r="B1444" s="6" t="s">
        <v>9</v>
      </c>
      <c r="C1444" s="7">
        <v>1884</v>
      </c>
      <c r="D1444" s="8">
        <v>45402</v>
      </c>
      <c r="E1444" s="9" t="str">
        <f>+HYPERLINK("http://trademark.i-assist.jp/data/china/image_1884th/76661367.pdf", "76661367")</f>
        <v>76661367</v>
      </c>
      <c r="F1444" s="6" t="s">
        <v>3936</v>
      </c>
      <c r="G1444" s="6" t="s">
        <v>3840</v>
      </c>
      <c r="H1444" s="8" t="s">
        <v>3842</v>
      </c>
      <c r="I1444" s="14">
        <v>45320</v>
      </c>
    </row>
    <row r="1445" spans="1:9" x14ac:dyDescent="0.15">
      <c r="A1445" s="5">
        <v>1444</v>
      </c>
      <c r="B1445" s="6" t="s">
        <v>9</v>
      </c>
      <c r="C1445" s="7">
        <v>1884</v>
      </c>
      <c r="D1445" s="8">
        <v>45402</v>
      </c>
      <c r="E1445" s="9" t="str">
        <f>+HYPERLINK("http://trademark.i-assist.jp/data/china/image_1884th/76661633.pdf", "76661633")</f>
        <v>76661633</v>
      </c>
      <c r="F1445" s="6" t="s">
        <v>3937</v>
      </c>
      <c r="G1445" s="6" t="s">
        <v>1947</v>
      </c>
      <c r="H1445" s="8" t="s">
        <v>3938</v>
      </c>
      <c r="I1445" s="14">
        <v>45320</v>
      </c>
    </row>
    <row r="1446" spans="1:9" x14ac:dyDescent="0.15">
      <c r="A1446" s="5">
        <v>1445</v>
      </c>
      <c r="B1446" s="6" t="s">
        <v>9</v>
      </c>
      <c r="C1446" s="7">
        <v>1884</v>
      </c>
      <c r="D1446" s="8">
        <v>45402</v>
      </c>
      <c r="E1446" s="9" t="str">
        <f>+HYPERLINK("http://trademark.i-assist.jp/data/china/image_1884th/76661663.pdf", "76661663")</f>
        <v>76661663</v>
      </c>
      <c r="F1446" s="6" t="s">
        <v>3940</v>
      </c>
      <c r="G1446" s="6" t="s">
        <v>3939</v>
      </c>
      <c r="H1446" s="8" t="s">
        <v>3941</v>
      </c>
      <c r="I1446" s="14">
        <v>45320</v>
      </c>
    </row>
    <row r="1447" spans="1:9" x14ac:dyDescent="0.15">
      <c r="A1447" s="5">
        <v>1446</v>
      </c>
      <c r="B1447" s="6" t="s">
        <v>9</v>
      </c>
      <c r="C1447" s="7">
        <v>1884</v>
      </c>
      <c r="D1447" s="8">
        <v>45402</v>
      </c>
      <c r="E1447" s="9" t="str">
        <f>+HYPERLINK("http://trademark.i-assist.jp/data/china/image_1884th/76661729.pdf", "76661729")</f>
        <v>76661729</v>
      </c>
      <c r="F1447" s="6" t="s">
        <v>3943</v>
      </c>
      <c r="G1447" s="6" t="s">
        <v>3942</v>
      </c>
      <c r="H1447" s="8" t="s">
        <v>3944</v>
      </c>
      <c r="I1447" s="14">
        <v>45320</v>
      </c>
    </row>
    <row r="1448" spans="1:9" x14ac:dyDescent="0.15">
      <c r="A1448" s="5">
        <v>1447</v>
      </c>
      <c r="B1448" s="6" t="s">
        <v>9</v>
      </c>
      <c r="C1448" s="7">
        <v>1884</v>
      </c>
      <c r="D1448" s="8">
        <v>45402</v>
      </c>
      <c r="E1448" s="9" t="str">
        <f>+HYPERLINK("http://trademark.i-assist.jp/data/china/image_1884th/76661735.pdf", "76661735")</f>
        <v>76661735</v>
      </c>
      <c r="F1448" s="6" t="s">
        <v>3945</v>
      </c>
      <c r="G1448" s="6" t="s">
        <v>3785</v>
      </c>
      <c r="H1448" s="8" t="s">
        <v>3946</v>
      </c>
      <c r="I1448" s="14">
        <v>45320</v>
      </c>
    </row>
    <row r="1449" spans="1:9" x14ac:dyDescent="0.15">
      <c r="A1449" s="5">
        <v>1448</v>
      </c>
      <c r="B1449" s="6" t="s">
        <v>9</v>
      </c>
      <c r="C1449" s="7">
        <v>1884</v>
      </c>
      <c r="D1449" s="8">
        <v>45402</v>
      </c>
      <c r="E1449" s="9" t="str">
        <f>+HYPERLINK("http://trademark.i-assist.jp/data/china/image_1884th/76661762.pdf", "76661762")</f>
        <v>76661762</v>
      </c>
      <c r="F1449" s="6" t="s">
        <v>3947</v>
      </c>
      <c r="G1449" s="6" t="s">
        <v>3921</v>
      </c>
      <c r="H1449" s="8" t="s">
        <v>3948</v>
      </c>
      <c r="I1449" s="14">
        <v>45320</v>
      </c>
    </row>
    <row r="1450" spans="1:9" x14ac:dyDescent="0.15">
      <c r="A1450" s="5">
        <v>1449</v>
      </c>
      <c r="B1450" s="6" t="s">
        <v>9</v>
      </c>
      <c r="C1450" s="7">
        <v>1884</v>
      </c>
      <c r="D1450" s="8">
        <v>45402</v>
      </c>
      <c r="E1450" s="9" t="str">
        <f>+HYPERLINK("http://trademark.i-assist.jp/data/china/image_1884th/76662093.pdf", "76662093")</f>
        <v>76662093</v>
      </c>
      <c r="F1450" s="6" t="s">
        <v>3950</v>
      </c>
      <c r="G1450" s="6" t="s">
        <v>3949</v>
      </c>
      <c r="H1450" s="8" t="s">
        <v>2249</v>
      </c>
      <c r="I1450" s="14">
        <v>45320</v>
      </c>
    </row>
    <row r="1451" spans="1:9" x14ac:dyDescent="0.15">
      <c r="A1451" s="5">
        <v>1450</v>
      </c>
      <c r="B1451" s="6" t="s">
        <v>9</v>
      </c>
      <c r="C1451" s="7">
        <v>1884</v>
      </c>
      <c r="D1451" s="8">
        <v>45402</v>
      </c>
      <c r="E1451" s="9" t="str">
        <f>+HYPERLINK("http://trademark.i-assist.jp/data/china/image_1884th/76662169.pdf", "76662169")</f>
        <v>76662169</v>
      </c>
      <c r="F1451" s="6" t="s">
        <v>3951</v>
      </c>
      <c r="G1451" s="6" t="s">
        <v>3888</v>
      </c>
      <c r="H1451" s="8" t="s">
        <v>3952</v>
      </c>
      <c r="I1451" s="14">
        <v>45320</v>
      </c>
    </row>
    <row r="1452" spans="1:9" x14ac:dyDescent="0.15">
      <c r="A1452" s="5">
        <v>1451</v>
      </c>
      <c r="B1452" s="6" t="s">
        <v>9</v>
      </c>
      <c r="C1452" s="7">
        <v>1884</v>
      </c>
      <c r="D1452" s="8">
        <v>45402</v>
      </c>
      <c r="E1452" s="9" t="str">
        <f>+HYPERLINK("http://trademark.i-assist.jp/data/china/image_1884th/76662206.pdf", "76662206")</f>
        <v>76662206</v>
      </c>
      <c r="F1452" s="6" t="s">
        <v>3953</v>
      </c>
      <c r="G1452" s="6" t="s">
        <v>3814</v>
      </c>
      <c r="H1452" s="8" t="s">
        <v>3871</v>
      </c>
      <c r="I1452" s="14">
        <v>45320</v>
      </c>
    </row>
    <row r="1453" spans="1:9" x14ac:dyDescent="0.15">
      <c r="A1453" s="5">
        <v>1452</v>
      </c>
      <c r="B1453" s="6" t="s">
        <v>9</v>
      </c>
      <c r="C1453" s="7">
        <v>1884</v>
      </c>
      <c r="D1453" s="8">
        <v>45402</v>
      </c>
      <c r="E1453" s="9" t="str">
        <f>+HYPERLINK("http://trademark.i-assist.jp/data/china/image_1884th/76662505.pdf", "76662505")</f>
        <v>76662505</v>
      </c>
      <c r="F1453" s="6" t="s">
        <v>3955</v>
      </c>
      <c r="G1453" s="6" t="s">
        <v>3954</v>
      </c>
      <c r="H1453" s="8" t="s">
        <v>3941</v>
      </c>
      <c r="I1453" s="14">
        <v>45320</v>
      </c>
    </row>
    <row r="1454" spans="1:9" x14ac:dyDescent="0.15">
      <c r="A1454" s="5">
        <v>1453</v>
      </c>
      <c r="B1454" s="6" t="s">
        <v>9</v>
      </c>
      <c r="C1454" s="7">
        <v>1884</v>
      </c>
      <c r="D1454" s="8">
        <v>45402</v>
      </c>
      <c r="E1454" s="9" t="str">
        <f>+HYPERLINK("http://trademark.i-assist.jp/data/china/image_1884th/76662520.pdf", "76662520")</f>
        <v>76662520</v>
      </c>
      <c r="F1454" s="6" t="s">
        <v>3956</v>
      </c>
      <c r="G1454" s="6" t="s">
        <v>3785</v>
      </c>
      <c r="H1454" s="8" t="s">
        <v>3875</v>
      </c>
      <c r="I1454" s="14">
        <v>45320</v>
      </c>
    </row>
    <row r="1455" spans="1:9" x14ac:dyDescent="0.15">
      <c r="A1455" s="5">
        <v>1454</v>
      </c>
      <c r="B1455" s="6" t="s">
        <v>9</v>
      </c>
      <c r="C1455" s="7">
        <v>1884</v>
      </c>
      <c r="D1455" s="8">
        <v>45402</v>
      </c>
      <c r="E1455" s="9" t="str">
        <f>+HYPERLINK("http://trademark.i-assist.jp/data/china/image_1884th/76662540.pdf", "76662540")</f>
        <v>76662540</v>
      </c>
      <c r="F1455" s="6" t="s">
        <v>3958</v>
      </c>
      <c r="G1455" s="6" t="s">
        <v>3957</v>
      </c>
      <c r="H1455" s="8" t="s">
        <v>3959</v>
      </c>
      <c r="I1455" s="14">
        <v>45320</v>
      </c>
    </row>
    <row r="1456" spans="1:9" x14ac:dyDescent="0.15">
      <c r="A1456" s="5">
        <v>1455</v>
      </c>
      <c r="B1456" s="6" t="s">
        <v>9</v>
      </c>
      <c r="C1456" s="7">
        <v>1884</v>
      </c>
      <c r="D1456" s="8">
        <v>45402</v>
      </c>
      <c r="E1456" s="9" t="str">
        <f>+HYPERLINK("http://trademark.i-assist.jp/data/china/image_1884th/76662578.pdf", "76662578")</f>
        <v>76662578</v>
      </c>
      <c r="F1456" s="6" t="s">
        <v>3880</v>
      </c>
      <c r="G1456" s="6" t="s">
        <v>3879</v>
      </c>
      <c r="H1456" s="8" t="s">
        <v>3960</v>
      </c>
      <c r="I1456" s="14">
        <v>45320</v>
      </c>
    </row>
    <row r="1457" spans="1:9" x14ac:dyDescent="0.15">
      <c r="A1457" s="5">
        <v>1456</v>
      </c>
      <c r="B1457" s="6" t="s">
        <v>9</v>
      </c>
      <c r="C1457" s="7">
        <v>1884</v>
      </c>
      <c r="D1457" s="8">
        <v>45402</v>
      </c>
      <c r="E1457" s="9" t="str">
        <f>+HYPERLINK("http://trademark.i-assist.jp/data/china/image_1884th/76662961.pdf", "76662961")</f>
        <v>76662961</v>
      </c>
      <c r="F1457" s="6" t="s">
        <v>3962</v>
      </c>
      <c r="G1457" s="6" t="s">
        <v>3961</v>
      </c>
      <c r="H1457" s="8" t="s">
        <v>3963</v>
      </c>
      <c r="I1457" s="14">
        <v>45320</v>
      </c>
    </row>
    <row r="1458" spans="1:9" x14ac:dyDescent="0.15">
      <c r="A1458" s="5">
        <v>1457</v>
      </c>
      <c r="B1458" s="6" t="s">
        <v>9</v>
      </c>
      <c r="C1458" s="7">
        <v>1884</v>
      </c>
      <c r="D1458" s="8">
        <v>45402</v>
      </c>
      <c r="E1458" s="9" t="str">
        <f>+HYPERLINK("http://trademark.i-assist.jp/data/china/image_1884th/76662991.pdf", "76662991")</f>
        <v>76662991</v>
      </c>
      <c r="F1458" s="6" t="s">
        <v>3965</v>
      </c>
      <c r="G1458" s="6" t="s">
        <v>3964</v>
      </c>
      <c r="H1458" s="8" t="s">
        <v>3966</v>
      </c>
      <c r="I1458" s="14">
        <v>45320</v>
      </c>
    </row>
    <row r="1459" spans="1:9" x14ac:dyDescent="0.15">
      <c r="A1459" s="5">
        <v>1458</v>
      </c>
      <c r="B1459" s="6" t="s">
        <v>9</v>
      </c>
      <c r="C1459" s="7">
        <v>1884</v>
      </c>
      <c r="D1459" s="8">
        <v>45402</v>
      </c>
      <c r="E1459" s="9" t="str">
        <f>+HYPERLINK("http://trademark.i-assist.jp/data/china/image_1884th/76663371.pdf", "76663371")</f>
        <v>76663371</v>
      </c>
      <c r="F1459" s="6" t="s">
        <v>3967</v>
      </c>
      <c r="G1459" s="6" t="s">
        <v>3769</v>
      </c>
      <c r="H1459" s="8" t="s">
        <v>3771</v>
      </c>
      <c r="I1459" s="14">
        <v>45320</v>
      </c>
    </row>
    <row r="1460" spans="1:9" x14ac:dyDescent="0.15">
      <c r="A1460" s="5">
        <v>1459</v>
      </c>
      <c r="B1460" s="6" t="s">
        <v>9</v>
      </c>
      <c r="C1460" s="7">
        <v>1884</v>
      </c>
      <c r="D1460" s="8">
        <v>45402</v>
      </c>
      <c r="E1460" s="9" t="str">
        <f>+HYPERLINK("http://trademark.i-assist.jp/data/china/image_1884th/76663470.pdf", "76663470")</f>
        <v>76663470</v>
      </c>
      <c r="F1460" s="6" t="s">
        <v>3969</v>
      </c>
      <c r="G1460" s="6" t="s">
        <v>3968</v>
      </c>
      <c r="H1460" s="8" t="s">
        <v>3970</v>
      </c>
      <c r="I1460" s="14">
        <v>45320</v>
      </c>
    </row>
    <row r="1461" spans="1:9" x14ac:dyDescent="0.15">
      <c r="A1461" s="5">
        <v>1460</v>
      </c>
      <c r="B1461" s="6" t="s">
        <v>9</v>
      </c>
      <c r="C1461" s="7">
        <v>1884</v>
      </c>
      <c r="D1461" s="8">
        <v>45402</v>
      </c>
      <c r="E1461" s="9" t="str">
        <f>+HYPERLINK("http://trademark.i-assist.jp/data/china/image_1884th/76663687.pdf", "76663687")</f>
        <v>76663687</v>
      </c>
      <c r="F1461" s="6" t="s">
        <v>3972</v>
      </c>
      <c r="G1461" s="6" t="s">
        <v>3971</v>
      </c>
      <c r="H1461" s="8" t="s">
        <v>2249</v>
      </c>
      <c r="I1461" s="14">
        <v>45320</v>
      </c>
    </row>
    <row r="1462" spans="1:9" x14ac:dyDescent="0.15">
      <c r="A1462" s="5">
        <v>1461</v>
      </c>
      <c r="B1462" s="6" t="s">
        <v>9</v>
      </c>
      <c r="C1462" s="7">
        <v>1884</v>
      </c>
      <c r="D1462" s="8">
        <v>45402</v>
      </c>
      <c r="E1462" s="9" t="str">
        <f>+HYPERLINK("http://trademark.i-assist.jp/data/china/image_1884th/76663764.pdf", "76663764")</f>
        <v>76663764</v>
      </c>
      <c r="F1462" s="6" t="s">
        <v>3974</v>
      </c>
      <c r="G1462" s="6" t="s">
        <v>3973</v>
      </c>
      <c r="H1462" s="8" t="s">
        <v>3975</v>
      </c>
      <c r="I1462" s="14">
        <v>45320</v>
      </c>
    </row>
    <row r="1463" spans="1:9" x14ac:dyDescent="0.15">
      <c r="A1463" s="5">
        <v>1462</v>
      </c>
      <c r="B1463" s="6" t="s">
        <v>9</v>
      </c>
      <c r="C1463" s="7">
        <v>1884</v>
      </c>
      <c r="D1463" s="8">
        <v>45402</v>
      </c>
      <c r="E1463" s="9" t="str">
        <f>+HYPERLINK("http://trademark.i-assist.jp/data/china/image_1884th/76663818.pdf", "76663818")</f>
        <v>76663818</v>
      </c>
      <c r="F1463" s="6" t="s">
        <v>3977</v>
      </c>
      <c r="G1463" s="6" t="s">
        <v>3976</v>
      </c>
      <c r="H1463" s="8" t="s">
        <v>3978</v>
      </c>
      <c r="I1463" s="14">
        <v>45320</v>
      </c>
    </row>
    <row r="1464" spans="1:9" x14ac:dyDescent="0.15">
      <c r="A1464" s="5">
        <v>1463</v>
      </c>
      <c r="B1464" s="6" t="s">
        <v>9</v>
      </c>
      <c r="C1464" s="7">
        <v>1884</v>
      </c>
      <c r="D1464" s="8">
        <v>45402</v>
      </c>
      <c r="E1464" s="9" t="str">
        <f>+HYPERLINK("http://trademark.i-assist.jp/data/china/image_1884th/76663903.pdf", "76663903")</f>
        <v>76663903</v>
      </c>
      <c r="F1464" s="6" t="s">
        <v>3980</v>
      </c>
      <c r="G1464" s="6" t="s">
        <v>3979</v>
      </c>
      <c r="H1464" s="8" t="s">
        <v>3981</v>
      </c>
      <c r="I1464" s="14">
        <v>45320</v>
      </c>
    </row>
    <row r="1465" spans="1:9" x14ac:dyDescent="0.15">
      <c r="A1465" s="5">
        <v>1464</v>
      </c>
      <c r="B1465" s="6" t="s">
        <v>9</v>
      </c>
      <c r="C1465" s="7">
        <v>1884</v>
      </c>
      <c r="D1465" s="8">
        <v>45402</v>
      </c>
      <c r="E1465" s="9" t="str">
        <f>+HYPERLINK("http://trademark.i-assist.jp/data/china/image_1884th/76664020.pdf", "76664020")</f>
        <v>76664020</v>
      </c>
      <c r="F1465" s="6" t="s">
        <v>3982</v>
      </c>
      <c r="G1465" s="6" t="s">
        <v>3785</v>
      </c>
      <c r="H1465" s="8" t="s">
        <v>3825</v>
      </c>
      <c r="I1465" s="14">
        <v>45320</v>
      </c>
    </row>
    <row r="1466" spans="1:9" x14ac:dyDescent="0.15">
      <c r="A1466" s="5">
        <v>1465</v>
      </c>
      <c r="B1466" s="6" t="s">
        <v>9</v>
      </c>
      <c r="C1466" s="7">
        <v>1884</v>
      </c>
      <c r="D1466" s="8">
        <v>45402</v>
      </c>
      <c r="E1466" s="9" t="str">
        <f>+HYPERLINK("http://trademark.i-assist.jp/data/china/image_1884th/76664054.pdf", "76664054")</f>
        <v>76664054</v>
      </c>
      <c r="F1466" s="6" t="s">
        <v>3983</v>
      </c>
      <c r="G1466" s="6" t="s">
        <v>3785</v>
      </c>
      <c r="H1466" s="8" t="s">
        <v>3984</v>
      </c>
      <c r="I1466" s="14">
        <v>45320</v>
      </c>
    </row>
    <row r="1467" spans="1:9" x14ac:dyDescent="0.15">
      <c r="A1467" s="5">
        <v>1466</v>
      </c>
      <c r="B1467" s="6" t="s">
        <v>9</v>
      </c>
      <c r="C1467" s="7">
        <v>1884</v>
      </c>
      <c r="D1467" s="8">
        <v>45402</v>
      </c>
      <c r="E1467" s="9" t="str">
        <f>+HYPERLINK("http://trademark.i-assist.jp/data/china/image_1884th/76664081.pdf", "76664081")</f>
        <v>76664081</v>
      </c>
      <c r="F1467" s="6" t="s">
        <v>3985</v>
      </c>
      <c r="G1467" s="6" t="s">
        <v>3805</v>
      </c>
      <c r="H1467" s="8" t="s">
        <v>3807</v>
      </c>
      <c r="I1467" s="14">
        <v>45320</v>
      </c>
    </row>
    <row r="1468" spans="1:9" x14ac:dyDescent="0.15">
      <c r="A1468" s="5">
        <v>1467</v>
      </c>
      <c r="B1468" s="6" t="s">
        <v>9</v>
      </c>
      <c r="C1468" s="7">
        <v>1884</v>
      </c>
      <c r="D1468" s="8">
        <v>45402</v>
      </c>
      <c r="E1468" s="9" t="str">
        <f>+HYPERLINK("http://trademark.i-assist.jp/data/china/image_1884th/76664166.pdf", "76664166")</f>
        <v>76664166</v>
      </c>
      <c r="F1468" s="6" t="s">
        <v>3987</v>
      </c>
      <c r="G1468" s="6" t="s">
        <v>3986</v>
      </c>
      <c r="H1468" s="8" t="s">
        <v>3988</v>
      </c>
      <c r="I1468" s="14">
        <v>45320</v>
      </c>
    </row>
    <row r="1469" spans="1:9" x14ac:dyDescent="0.15">
      <c r="A1469" s="5">
        <v>1468</v>
      </c>
      <c r="B1469" s="6" t="s">
        <v>9</v>
      </c>
      <c r="C1469" s="7">
        <v>1884</v>
      </c>
      <c r="D1469" s="8">
        <v>45402</v>
      </c>
      <c r="E1469" s="9" t="str">
        <f>+HYPERLINK("http://trademark.i-assist.jp/data/china/image_1884th/76664170.pdf", "76664170")</f>
        <v>76664170</v>
      </c>
      <c r="F1469" s="6" t="s">
        <v>3989</v>
      </c>
      <c r="G1469" s="6" t="s">
        <v>3986</v>
      </c>
      <c r="H1469" s="8" t="s">
        <v>3990</v>
      </c>
      <c r="I1469" s="14">
        <v>45320</v>
      </c>
    </row>
    <row r="1470" spans="1:9" x14ac:dyDescent="0.15">
      <c r="A1470" s="5">
        <v>1469</v>
      </c>
      <c r="B1470" s="6" t="s">
        <v>9</v>
      </c>
      <c r="C1470" s="7">
        <v>1884</v>
      </c>
      <c r="D1470" s="8">
        <v>45402</v>
      </c>
      <c r="E1470" s="9" t="str">
        <f>+HYPERLINK("http://trademark.i-assist.jp/data/china/image_1884th/76664964.pdf", "76664964")</f>
        <v>76664964</v>
      </c>
      <c r="F1470" s="6" t="s">
        <v>3992</v>
      </c>
      <c r="G1470" s="6" t="s">
        <v>3991</v>
      </c>
      <c r="H1470" s="8" t="s">
        <v>3993</v>
      </c>
      <c r="I1470" s="14">
        <v>45320</v>
      </c>
    </row>
    <row r="1471" spans="1:9" x14ac:dyDescent="0.15">
      <c r="A1471" s="5">
        <v>1470</v>
      </c>
      <c r="B1471" s="6" t="s">
        <v>9</v>
      </c>
      <c r="C1471" s="7">
        <v>1884</v>
      </c>
      <c r="D1471" s="8">
        <v>45402</v>
      </c>
      <c r="E1471" s="9" t="str">
        <f>+HYPERLINK("http://trademark.i-assist.jp/data/china/image_1884th/76665018.pdf", "76665018")</f>
        <v>76665018</v>
      </c>
      <c r="F1471" s="6" t="s">
        <v>3995</v>
      </c>
      <c r="G1471" s="6" t="s">
        <v>3994</v>
      </c>
      <c r="H1471" s="8" t="s">
        <v>3996</v>
      </c>
      <c r="I1471" s="14">
        <v>45320</v>
      </c>
    </row>
    <row r="1472" spans="1:9" x14ac:dyDescent="0.15">
      <c r="A1472" s="5">
        <v>1471</v>
      </c>
      <c r="B1472" s="6" t="s">
        <v>9</v>
      </c>
      <c r="C1472" s="7">
        <v>1884</v>
      </c>
      <c r="D1472" s="8">
        <v>45402</v>
      </c>
      <c r="E1472" s="9" t="str">
        <f>+HYPERLINK("http://trademark.i-assist.jp/data/china/image_1884th/76665270.pdf", "76665270")</f>
        <v>76665270</v>
      </c>
      <c r="F1472" s="6" t="s">
        <v>3998</v>
      </c>
      <c r="G1472" s="6" t="s">
        <v>3997</v>
      </c>
      <c r="H1472" s="8" t="s">
        <v>3999</v>
      </c>
      <c r="I1472" s="14">
        <v>45320</v>
      </c>
    </row>
    <row r="1473" spans="1:9" x14ac:dyDescent="0.15">
      <c r="A1473" s="5">
        <v>1472</v>
      </c>
      <c r="B1473" s="6" t="s">
        <v>9</v>
      </c>
      <c r="C1473" s="7">
        <v>1884</v>
      </c>
      <c r="D1473" s="8">
        <v>45402</v>
      </c>
      <c r="E1473" s="9" t="str">
        <f>+HYPERLINK("http://trademark.i-assist.jp/data/china/image_1884th/76665376.pdf", "76665376")</f>
        <v>76665376</v>
      </c>
      <c r="F1473" s="6" t="s">
        <v>4001</v>
      </c>
      <c r="G1473" s="6" t="s">
        <v>4000</v>
      </c>
      <c r="H1473" s="8" t="s">
        <v>4002</v>
      </c>
      <c r="I1473" s="14">
        <v>45320</v>
      </c>
    </row>
    <row r="1474" spans="1:9" x14ac:dyDescent="0.15">
      <c r="A1474" s="5">
        <v>1473</v>
      </c>
      <c r="B1474" s="6" t="s">
        <v>9</v>
      </c>
      <c r="C1474" s="7">
        <v>1884</v>
      </c>
      <c r="D1474" s="8">
        <v>45402</v>
      </c>
      <c r="E1474" s="9" t="str">
        <f>+HYPERLINK("http://trademark.i-assist.jp/data/china/image_1884th/76665513.pdf", "76665513")</f>
        <v>76665513</v>
      </c>
      <c r="F1474" s="6" t="s">
        <v>167</v>
      </c>
      <c r="G1474" s="6" t="s">
        <v>4003</v>
      </c>
      <c r="H1474" s="8" t="s">
        <v>4004</v>
      </c>
      <c r="I1474" s="14">
        <v>45320</v>
      </c>
    </row>
    <row r="1475" spans="1:9" x14ac:dyDescent="0.15">
      <c r="A1475" s="5">
        <v>1474</v>
      </c>
      <c r="B1475" s="6" t="s">
        <v>9</v>
      </c>
      <c r="C1475" s="7">
        <v>1884</v>
      </c>
      <c r="D1475" s="8">
        <v>45402</v>
      </c>
      <c r="E1475" s="9" t="str">
        <f>+HYPERLINK("http://trademark.i-assist.jp/data/china/image_1884th/76665773.pdf", "76665773")</f>
        <v>76665773</v>
      </c>
      <c r="F1475" s="6" t="s">
        <v>4006</v>
      </c>
      <c r="G1475" s="6" t="s">
        <v>4005</v>
      </c>
      <c r="H1475" s="8" t="s">
        <v>4007</v>
      </c>
      <c r="I1475" s="14">
        <v>45320</v>
      </c>
    </row>
    <row r="1476" spans="1:9" x14ac:dyDescent="0.15">
      <c r="A1476" s="5">
        <v>1475</v>
      </c>
      <c r="B1476" s="6" t="s">
        <v>9</v>
      </c>
      <c r="C1476" s="7">
        <v>1884</v>
      </c>
      <c r="D1476" s="8">
        <v>45402</v>
      </c>
      <c r="E1476" s="9" t="str">
        <f>+HYPERLINK("http://trademark.i-assist.jp/data/china/image_1884th/76665800.pdf", "76665800")</f>
        <v>76665800</v>
      </c>
      <c r="F1476" s="6" t="s">
        <v>4008</v>
      </c>
      <c r="G1476" s="6" t="s">
        <v>3850</v>
      </c>
      <c r="H1476" s="8" t="s">
        <v>4009</v>
      </c>
      <c r="I1476" s="14">
        <v>45320</v>
      </c>
    </row>
    <row r="1477" spans="1:9" x14ac:dyDescent="0.15">
      <c r="A1477" s="5">
        <v>1476</v>
      </c>
      <c r="B1477" s="6" t="s">
        <v>9</v>
      </c>
      <c r="C1477" s="7">
        <v>1884</v>
      </c>
      <c r="D1477" s="8">
        <v>45402</v>
      </c>
      <c r="E1477" s="9" t="str">
        <f>+HYPERLINK("http://trademark.i-assist.jp/data/china/image_1884th/76665802.pdf", "76665802")</f>
        <v>76665802</v>
      </c>
      <c r="F1477" s="6" t="s">
        <v>4010</v>
      </c>
      <c r="G1477" s="6" t="s">
        <v>3840</v>
      </c>
      <c r="H1477" s="8" t="s">
        <v>3842</v>
      </c>
      <c r="I1477" s="14">
        <v>45320</v>
      </c>
    </row>
    <row r="1478" spans="1:9" x14ac:dyDescent="0.15">
      <c r="A1478" s="5">
        <v>1477</v>
      </c>
      <c r="B1478" s="6" t="s">
        <v>9</v>
      </c>
      <c r="C1478" s="7">
        <v>1884</v>
      </c>
      <c r="D1478" s="8">
        <v>45402</v>
      </c>
      <c r="E1478" s="9" t="str">
        <f>+HYPERLINK("http://trademark.i-assist.jp/data/china/image_1884th/76665816.pdf", "76665816")</f>
        <v>76665816</v>
      </c>
      <c r="F1478" s="6" t="s">
        <v>4011</v>
      </c>
      <c r="G1478" s="6" t="s">
        <v>3840</v>
      </c>
      <c r="H1478" s="8" t="s">
        <v>4012</v>
      </c>
      <c r="I1478" s="14">
        <v>45320</v>
      </c>
    </row>
    <row r="1479" spans="1:9" x14ac:dyDescent="0.15">
      <c r="A1479" s="5">
        <v>1478</v>
      </c>
      <c r="B1479" s="6" t="s">
        <v>9</v>
      </c>
      <c r="C1479" s="7">
        <v>1884</v>
      </c>
      <c r="D1479" s="8">
        <v>45402</v>
      </c>
      <c r="E1479" s="9" t="str">
        <f>+HYPERLINK("http://trademark.i-assist.jp/data/china/image_1884th/76666074.pdf", "76666074")</f>
        <v>76666074</v>
      </c>
      <c r="F1479" s="6" t="s">
        <v>4014</v>
      </c>
      <c r="G1479" s="6" t="s">
        <v>4013</v>
      </c>
      <c r="H1479" s="8" t="s">
        <v>4015</v>
      </c>
      <c r="I1479" s="14">
        <v>45320</v>
      </c>
    </row>
    <row r="1480" spans="1:9" x14ac:dyDescent="0.15">
      <c r="A1480" s="5">
        <v>1479</v>
      </c>
      <c r="B1480" s="6" t="s">
        <v>9</v>
      </c>
      <c r="C1480" s="7">
        <v>1884</v>
      </c>
      <c r="D1480" s="8">
        <v>45402</v>
      </c>
      <c r="E1480" s="9" t="str">
        <f>+HYPERLINK("http://trademark.i-assist.jp/data/china/image_1884th/76666109.pdf", "76666109")</f>
        <v>76666109</v>
      </c>
      <c r="F1480" s="6" t="s">
        <v>4017</v>
      </c>
      <c r="G1480" s="6" t="s">
        <v>4016</v>
      </c>
      <c r="H1480" s="8" t="s">
        <v>4018</v>
      </c>
      <c r="I1480" s="14">
        <v>45320</v>
      </c>
    </row>
    <row r="1481" spans="1:9" x14ac:dyDescent="0.15">
      <c r="A1481" s="5">
        <v>1480</v>
      </c>
      <c r="B1481" s="6" t="s">
        <v>9</v>
      </c>
      <c r="C1481" s="7">
        <v>1884</v>
      </c>
      <c r="D1481" s="8">
        <v>45402</v>
      </c>
      <c r="E1481" s="9" t="str">
        <f>+HYPERLINK("http://trademark.i-assist.jp/data/china/image_1884th/76666246.pdf", "76666246")</f>
        <v>76666246</v>
      </c>
      <c r="F1481" s="6" t="s">
        <v>4019</v>
      </c>
      <c r="G1481" s="6" t="s">
        <v>3986</v>
      </c>
      <c r="H1481" s="8" t="s">
        <v>3988</v>
      </c>
      <c r="I1481" s="14">
        <v>45320</v>
      </c>
    </row>
    <row r="1482" spans="1:9" x14ac:dyDescent="0.15">
      <c r="A1482" s="5">
        <v>1481</v>
      </c>
      <c r="B1482" s="6" t="s">
        <v>9</v>
      </c>
      <c r="C1482" s="7">
        <v>1884</v>
      </c>
      <c r="D1482" s="8">
        <v>45402</v>
      </c>
      <c r="E1482" s="9" t="str">
        <f>+HYPERLINK("http://trademark.i-assist.jp/data/china/image_1884th/76666282.pdf", "76666282")</f>
        <v>76666282</v>
      </c>
      <c r="F1482" s="6" t="s">
        <v>4020</v>
      </c>
      <c r="G1482" s="6" t="s">
        <v>1947</v>
      </c>
      <c r="H1482" s="8" t="s">
        <v>1949</v>
      </c>
      <c r="I1482" s="14">
        <v>45320</v>
      </c>
    </row>
    <row r="1483" spans="1:9" x14ac:dyDescent="0.15">
      <c r="A1483" s="5">
        <v>1482</v>
      </c>
      <c r="B1483" s="6" t="s">
        <v>9</v>
      </c>
      <c r="C1483" s="7">
        <v>1884</v>
      </c>
      <c r="D1483" s="8">
        <v>45402</v>
      </c>
      <c r="E1483" s="9" t="str">
        <f>+HYPERLINK("http://trademark.i-assist.jp/data/china/image_1884th/76666289.pdf", "76666289")</f>
        <v>76666289</v>
      </c>
      <c r="F1483" s="6" t="s">
        <v>4021</v>
      </c>
      <c r="G1483" s="6" t="s">
        <v>1947</v>
      </c>
      <c r="H1483" s="8" t="s">
        <v>1949</v>
      </c>
      <c r="I1483" s="14">
        <v>45320</v>
      </c>
    </row>
    <row r="1484" spans="1:9" x14ac:dyDescent="0.15">
      <c r="A1484" s="5">
        <v>1483</v>
      </c>
      <c r="B1484" s="6" t="s">
        <v>9</v>
      </c>
      <c r="C1484" s="7">
        <v>1884</v>
      </c>
      <c r="D1484" s="8">
        <v>45402</v>
      </c>
      <c r="E1484" s="9" t="str">
        <f>+HYPERLINK("http://trademark.i-assist.jp/data/china/image_1884th/76666802.pdf", "76666802")</f>
        <v>76666802</v>
      </c>
      <c r="F1484" s="6" t="s">
        <v>4023</v>
      </c>
      <c r="G1484" s="6" t="s">
        <v>4022</v>
      </c>
      <c r="H1484" s="8" t="s">
        <v>4024</v>
      </c>
      <c r="I1484" s="14">
        <v>45320</v>
      </c>
    </row>
    <row r="1485" spans="1:9" x14ac:dyDescent="0.15">
      <c r="A1485" s="5">
        <v>1484</v>
      </c>
      <c r="B1485" s="6" t="s">
        <v>9</v>
      </c>
      <c r="C1485" s="7">
        <v>1884</v>
      </c>
      <c r="D1485" s="8">
        <v>45402</v>
      </c>
      <c r="E1485" s="9" t="str">
        <f>+HYPERLINK("http://trademark.i-assist.jp/data/china/image_1884th/76666815.pdf", "76666815")</f>
        <v>76666815</v>
      </c>
      <c r="F1485" s="6" t="s">
        <v>4026</v>
      </c>
      <c r="G1485" s="6" t="s">
        <v>4025</v>
      </c>
      <c r="H1485" s="8" t="s">
        <v>4027</v>
      </c>
      <c r="I1485" s="14">
        <v>45320</v>
      </c>
    </row>
    <row r="1486" spans="1:9" x14ac:dyDescent="0.15">
      <c r="A1486" s="5">
        <v>1485</v>
      </c>
      <c r="B1486" s="6" t="s">
        <v>9</v>
      </c>
      <c r="C1486" s="7">
        <v>1884</v>
      </c>
      <c r="D1486" s="8">
        <v>45402</v>
      </c>
      <c r="E1486" s="9" t="str">
        <f>+HYPERLINK("http://trademark.i-assist.jp/data/china/image_1884th/76666934.pdf", "76666934")</f>
        <v>76666934</v>
      </c>
      <c r="F1486" s="6" t="s">
        <v>4029</v>
      </c>
      <c r="G1486" s="6" t="s">
        <v>4028</v>
      </c>
      <c r="H1486" s="8" t="s">
        <v>4030</v>
      </c>
      <c r="I1486" s="14">
        <v>45320</v>
      </c>
    </row>
    <row r="1487" spans="1:9" x14ac:dyDescent="0.15">
      <c r="A1487" s="5">
        <v>1486</v>
      </c>
      <c r="B1487" s="6" t="s">
        <v>9</v>
      </c>
      <c r="C1487" s="7">
        <v>1884</v>
      </c>
      <c r="D1487" s="8">
        <v>45402</v>
      </c>
      <c r="E1487" s="9" t="str">
        <f>+HYPERLINK("http://trademark.i-assist.jp/data/china/image_1884th/76666963.pdf", "76666963")</f>
        <v>76666963</v>
      </c>
      <c r="F1487" s="6" t="s">
        <v>4032</v>
      </c>
      <c r="G1487" s="6" t="s">
        <v>4031</v>
      </c>
      <c r="H1487" s="8" t="s">
        <v>2249</v>
      </c>
      <c r="I1487" s="14">
        <v>45320</v>
      </c>
    </row>
    <row r="1488" spans="1:9" x14ac:dyDescent="0.15">
      <c r="A1488" s="5">
        <v>1487</v>
      </c>
      <c r="B1488" s="6" t="s">
        <v>9</v>
      </c>
      <c r="C1488" s="7">
        <v>1884</v>
      </c>
      <c r="D1488" s="8">
        <v>45402</v>
      </c>
      <c r="E1488" s="9" t="str">
        <f>+HYPERLINK("http://trademark.i-assist.jp/data/china/image_1884th/76667345.pdf", "76667345")</f>
        <v>76667345</v>
      </c>
      <c r="F1488" s="6" t="s">
        <v>4034</v>
      </c>
      <c r="G1488" s="6" t="s">
        <v>4033</v>
      </c>
      <c r="H1488" s="8" t="s">
        <v>4035</v>
      </c>
      <c r="I1488" s="14">
        <v>45320</v>
      </c>
    </row>
    <row r="1489" spans="1:9" x14ac:dyDescent="0.15">
      <c r="A1489" s="5">
        <v>1488</v>
      </c>
      <c r="B1489" s="6" t="s">
        <v>9</v>
      </c>
      <c r="C1489" s="7">
        <v>1884</v>
      </c>
      <c r="D1489" s="8">
        <v>45402</v>
      </c>
      <c r="E1489" s="9" t="str">
        <f>+HYPERLINK("http://trademark.i-assist.jp/data/china/image_1884th/76667356.pdf", "76667356")</f>
        <v>76667356</v>
      </c>
      <c r="F1489" s="6" t="s">
        <v>4017</v>
      </c>
      <c r="G1489" s="6" t="s">
        <v>4016</v>
      </c>
      <c r="H1489" s="8" t="s">
        <v>4036</v>
      </c>
      <c r="I1489" s="14">
        <v>45320</v>
      </c>
    </row>
    <row r="1490" spans="1:9" x14ac:dyDescent="0.15">
      <c r="A1490" s="5">
        <v>1489</v>
      </c>
      <c r="B1490" s="6" t="s">
        <v>9</v>
      </c>
      <c r="C1490" s="7">
        <v>1884</v>
      </c>
      <c r="D1490" s="8">
        <v>45402</v>
      </c>
      <c r="E1490" s="9" t="str">
        <f>+HYPERLINK("http://trademark.i-assist.jp/data/china/image_1884th/76667577.pdf", "76667577")</f>
        <v>76667577</v>
      </c>
      <c r="F1490" s="6" t="s">
        <v>4038</v>
      </c>
      <c r="G1490" s="6" t="s">
        <v>4037</v>
      </c>
      <c r="H1490" s="8" t="s">
        <v>4039</v>
      </c>
      <c r="I1490" s="14">
        <v>45320</v>
      </c>
    </row>
    <row r="1491" spans="1:9" x14ac:dyDescent="0.15">
      <c r="A1491" s="5">
        <v>1490</v>
      </c>
      <c r="B1491" s="6" t="s">
        <v>9</v>
      </c>
      <c r="C1491" s="7">
        <v>1884</v>
      </c>
      <c r="D1491" s="8">
        <v>45402</v>
      </c>
      <c r="E1491" s="9" t="str">
        <f>+HYPERLINK("http://trademark.i-assist.jp/data/china/image_1884th/76667918.pdf", "76667918")</f>
        <v>76667918</v>
      </c>
      <c r="F1491" s="6" t="s">
        <v>4041</v>
      </c>
      <c r="G1491" s="6" t="s">
        <v>4040</v>
      </c>
      <c r="H1491" s="8" t="s">
        <v>4042</v>
      </c>
      <c r="I1491" s="14">
        <v>45320</v>
      </c>
    </row>
    <row r="1492" spans="1:9" x14ac:dyDescent="0.15">
      <c r="A1492" s="5">
        <v>1491</v>
      </c>
      <c r="B1492" s="6" t="s">
        <v>9</v>
      </c>
      <c r="C1492" s="7">
        <v>1884</v>
      </c>
      <c r="D1492" s="8">
        <v>45402</v>
      </c>
      <c r="E1492" s="9" t="str">
        <f>+HYPERLINK("http://trademark.i-assist.jp/data/china/image_1884th/76668006.pdf", "76668006")</f>
        <v>76668006</v>
      </c>
      <c r="F1492" s="6" t="s">
        <v>4044</v>
      </c>
      <c r="G1492" s="6" t="s">
        <v>4043</v>
      </c>
      <c r="H1492" s="8" t="s">
        <v>4045</v>
      </c>
      <c r="I1492" s="14">
        <v>45320</v>
      </c>
    </row>
    <row r="1493" spans="1:9" x14ac:dyDescent="0.15">
      <c r="A1493" s="5">
        <v>1492</v>
      </c>
      <c r="B1493" s="6" t="s">
        <v>9</v>
      </c>
      <c r="C1493" s="7">
        <v>1884</v>
      </c>
      <c r="D1493" s="8">
        <v>45402</v>
      </c>
      <c r="E1493" s="9" t="str">
        <f>+HYPERLINK("http://trademark.i-assist.jp/data/china/image_1884th/76668284.pdf", "76668284")</f>
        <v>76668284</v>
      </c>
      <c r="F1493" s="6" t="s">
        <v>4047</v>
      </c>
      <c r="G1493" s="6" t="s">
        <v>4046</v>
      </c>
      <c r="H1493" s="8" t="s">
        <v>4048</v>
      </c>
      <c r="I1493" s="14">
        <v>45320</v>
      </c>
    </row>
    <row r="1494" spans="1:9" x14ac:dyDescent="0.15">
      <c r="A1494" s="5">
        <v>1493</v>
      </c>
      <c r="B1494" s="6" t="s">
        <v>9</v>
      </c>
      <c r="C1494" s="7">
        <v>1884</v>
      </c>
      <c r="D1494" s="8">
        <v>45402</v>
      </c>
      <c r="E1494" s="9" t="str">
        <f>+HYPERLINK("http://trademark.i-assist.jp/data/china/image_1884th/76668455.pdf", "76668455")</f>
        <v>76668455</v>
      </c>
      <c r="F1494" s="6" t="s">
        <v>4049</v>
      </c>
      <c r="G1494" s="6" t="s">
        <v>3805</v>
      </c>
      <c r="H1494" s="8" t="s">
        <v>3807</v>
      </c>
      <c r="I1494" s="14">
        <v>45320</v>
      </c>
    </row>
    <row r="1495" spans="1:9" x14ac:dyDescent="0.15">
      <c r="A1495" s="5">
        <v>1494</v>
      </c>
      <c r="B1495" s="6" t="s">
        <v>9</v>
      </c>
      <c r="C1495" s="7">
        <v>1884</v>
      </c>
      <c r="D1495" s="8">
        <v>45402</v>
      </c>
      <c r="E1495" s="9" t="str">
        <f>+HYPERLINK("http://trademark.i-assist.jp/data/china/image_1884th/76668677.pdf", "76668677")</f>
        <v>76668677</v>
      </c>
      <c r="F1495" s="6" t="s">
        <v>4051</v>
      </c>
      <c r="G1495" s="6" t="s">
        <v>4050</v>
      </c>
      <c r="H1495" s="8" t="s">
        <v>4052</v>
      </c>
      <c r="I1495" s="14">
        <v>45320</v>
      </c>
    </row>
    <row r="1496" spans="1:9" x14ac:dyDescent="0.15">
      <c r="A1496" s="5">
        <v>1495</v>
      </c>
      <c r="B1496" s="6" t="s">
        <v>9</v>
      </c>
      <c r="C1496" s="7">
        <v>1884</v>
      </c>
      <c r="D1496" s="8">
        <v>45402</v>
      </c>
      <c r="E1496" s="9" t="str">
        <f>+HYPERLINK("http://trademark.i-assist.jp/data/china/image_1884th/76668729.pdf", "76668729")</f>
        <v>76668729</v>
      </c>
      <c r="F1496" s="6" t="s">
        <v>4054</v>
      </c>
      <c r="G1496" s="6" t="s">
        <v>4053</v>
      </c>
      <c r="H1496" s="8" t="s">
        <v>4055</v>
      </c>
      <c r="I1496" s="14">
        <v>45320</v>
      </c>
    </row>
    <row r="1497" spans="1:9" x14ac:dyDescent="0.15">
      <c r="A1497" s="5">
        <v>1496</v>
      </c>
      <c r="B1497" s="6" t="s">
        <v>9</v>
      </c>
      <c r="C1497" s="7">
        <v>1884</v>
      </c>
      <c r="D1497" s="8">
        <v>45402</v>
      </c>
      <c r="E1497" s="9" t="str">
        <f>+HYPERLINK("http://trademark.i-assist.jp/data/china/image_1884th/76669070.pdf", "76669070")</f>
        <v>76669070</v>
      </c>
      <c r="F1497" s="6" t="s">
        <v>4057</v>
      </c>
      <c r="G1497" s="6" t="s">
        <v>4056</v>
      </c>
      <c r="H1497" s="8" t="s">
        <v>4058</v>
      </c>
      <c r="I1497" s="14">
        <v>45320</v>
      </c>
    </row>
    <row r="1498" spans="1:9" x14ac:dyDescent="0.15">
      <c r="A1498" s="5">
        <v>1497</v>
      </c>
      <c r="B1498" s="6" t="s">
        <v>9</v>
      </c>
      <c r="C1498" s="7">
        <v>1884</v>
      </c>
      <c r="D1498" s="8">
        <v>45402</v>
      </c>
      <c r="E1498" s="9" t="str">
        <f>+HYPERLINK("http://trademark.i-assist.jp/data/china/image_1884th/76669335.pdf", "76669335")</f>
        <v>76669335</v>
      </c>
      <c r="F1498" s="6" t="s">
        <v>4059</v>
      </c>
      <c r="G1498" s="6" t="s">
        <v>3879</v>
      </c>
      <c r="H1498" s="8" t="s">
        <v>4060</v>
      </c>
      <c r="I1498" s="14">
        <v>45320</v>
      </c>
    </row>
    <row r="1499" spans="1:9" x14ac:dyDescent="0.15">
      <c r="A1499" s="5">
        <v>1498</v>
      </c>
      <c r="B1499" s="6" t="s">
        <v>9</v>
      </c>
      <c r="C1499" s="7">
        <v>1884</v>
      </c>
      <c r="D1499" s="8">
        <v>45402</v>
      </c>
      <c r="E1499" s="9" t="str">
        <f>+HYPERLINK("http://trademark.i-assist.jp/data/china/image_1884th/76669535.pdf", "76669535")</f>
        <v>76669535</v>
      </c>
      <c r="F1499" s="6" t="s">
        <v>4062</v>
      </c>
      <c r="G1499" s="6" t="s">
        <v>4061</v>
      </c>
      <c r="H1499" s="8" t="s">
        <v>4063</v>
      </c>
      <c r="I1499" s="14">
        <v>45320</v>
      </c>
    </row>
    <row r="1500" spans="1:9" x14ac:dyDescent="0.15">
      <c r="A1500" s="5">
        <v>1499</v>
      </c>
      <c r="B1500" s="6" t="s">
        <v>9</v>
      </c>
      <c r="C1500" s="7">
        <v>1884</v>
      </c>
      <c r="D1500" s="8">
        <v>45402</v>
      </c>
      <c r="E1500" s="9" t="str">
        <f>+HYPERLINK("http://trademark.i-assist.jp/data/china/image_1884th/76669653.pdf", "76669653")</f>
        <v>76669653</v>
      </c>
      <c r="F1500" s="6" t="s">
        <v>4065</v>
      </c>
      <c r="G1500" s="6" t="s">
        <v>4064</v>
      </c>
      <c r="H1500" s="8" t="s">
        <v>4066</v>
      </c>
      <c r="I1500" s="14">
        <v>45320</v>
      </c>
    </row>
    <row r="1501" spans="1:9" x14ac:dyDescent="0.15">
      <c r="A1501" s="5">
        <v>1500</v>
      </c>
      <c r="B1501" s="6" t="s">
        <v>9</v>
      </c>
      <c r="C1501" s="7">
        <v>1884</v>
      </c>
      <c r="D1501" s="8">
        <v>45402</v>
      </c>
      <c r="E1501" s="9" t="str">
        <f>+HYPERLINK("http://trademark.i-assist.jp/data/china/image_1884th/76669713.pdf", "76669713")</f>
        <v>76669713</v>
      </c>
      <c r="F1501" s="6" t="s">
        <v>4068</v>
      </c>
      <c r="G1501" s="6" t="s">
        <v>4067</v>
      </c>
      <c r="H1501" s="8" t="s">
        <v>4069</v>
      </c>
      <c r="I1501" s="14">
        <v>45320</v>
      </c>
    </row>
    <row r="1502" spans="1:9" x14ac:dyDescent="0.15">
      <c r="A1502" s="5">
        <v>1501</v>
      </c>
      <c r="B1502" s="6" t="s">
        <v>9</v>
      </c>
      <c r="C1502" s="7">
        <v>1884</v>
      </c>
      <c r="D1502" s="8">
        <v>45402</v>
      </c>
      <c r="E1502" s="9" t="str">
        <f>+HYPERLINK("http://trademark.i-assist.jp/data/china/image_1884th/76669806.pdf", "76669806")</f>
        <v>76669806</v>
      </c>
      <c r="F1502" s="6" t="s">
        <v>4070</v>
      </c>
      <c r="G1502" s="6" t="s">
        <v>3909</v>
      </c>
      <c r="H1502" s="8" t="s">
        <v>4071</v>
      </c>
      <c r="I1502" s="14">
        <v>45320</v>
      </c>
    </row>
    <row r="1503" spans="1:9" x14ac:dyDescent="0.15">
      <c r="A1503" s="5">
        <v>1502</v>
      </c>
      <c r="B1503" s="6" t="s">
        <v>9</v>
      </c>
      <c r="C1503" s="7">
        <v>1884</v>
      </c>
      <c r="D1503" s="8">
        <v>45402</v>
      </c>
      <c r="E1503" s="9" t="str">
        <f>+HYPERLINK("http://trademark.i-assist.jp/data/china/image_1884th/76669985.pdf", "76669985")</f>
        <v>76669985</v>
      </c>
      <c r="F1503" s="6" t="s">
        <v>4072</v>
      </c>
      <c r="G1503" s="6" t="s">
        <v>3785</v>
      </c>
      <c r="H1503" s="8" t="s">
        <v>3825</v>
      </c>
      <c r="I1503" s="14">
        <v>45320</v>
      </c>
    </row>
    <row r="1504" spans="1:9" x14ac:dyDescent="0.15">
      <c r="A1504" s="5">
        <v>1503</v>
      </c>
      <c r="B1504" s="6" t="s">
        <v>9</v>
      </c>
      <c r="C1504" s="7">
        <v>1884</v>
      </c>
      <c r="D1504" s="8">
        <v>45402</v>
      </c>
      <c r="E1504" s="9" t="str">
        <f>+HYPERLINK("http://trademark.i-assist.jp/data/china/image_1884th/76670048.pdf", "76670048")</f>
        <v>76670048</v>
      </c>
      <c r="F1504" s="6" t="s">
        <v>4074</v>
      </c>
      <c r="G1504" s="6" t="s">
        <v>4073</v>
      </c>
      <c r="H1504" s="8" t="s">
        <v>4075</v>
      </c>
      <c r="I1504" s="14">
        <v>45320</v>
      </c>
    </row>
    <row r="1505" spans="1:9" x14ac:dyDescent="0.15">
      <c r="A1505" s="5">
        <v>1504</v>
      </c>
      <c r="B1505" s="6" t="s">
        <v>9</v>
      </c>
      <c r="C1505" s="7">
        <v>1884</v>
      </c>
      <c r="D1505" s="8">
        <v>45402</v>
      </c>
      <c r="E1505" s="9" t="str">
        <f>+HYPERLINK("http://trademark.i-assist.jp/data/china/image_1884th/76670084.pdf", "76670084")</f>
        <v>76670084</v>
      </c>
      <c r="F1505" s="6" t="s">
        <v>4076</v>
      </c>
      <c r="G1505" s="6" t="s">
        <v>3805</v>
      </c>
      <c r="H1505" s="8" t="s">
        <v>3807</v>
      </c>
      <c r="I1505" s="14">
        <v>45320</v>
      </c>
    </row>
    <row r="1506" spans="1:9" x14ac:dyDescent="0.15">
      <c r="A1506" s="5">
        <v>1505</v>
      </c>
      <c r="B1506" s="6" t="s">
        <v>9</v>
      </c>
      <c r="C1506" s="7">
        <v>1884</v>
      </c>
      <c r="D1506" s="8">
        <v>45402</v>
      </c>
      <c r="E1506" s="9" t="str">
        <f>+HYPERLINK("http://trademark.i-assist.jp/data/china/image_1884th/76670350.pdf", "76670350")</f>
        <v>76670350</v>
      </c>
      <c r="F1506" s="6" t="s">
        <v>4077</v>
      </c>
      <c r="G1506" s="6" t="s">
        <v>3888</v>
      </c>
      <c r="H1506" s="8" t="s">
        <v>3890</v>
      </c>
      <c r="I1506" s="14">
        <v>45320</v>
      </c>
    </row>
    <row r="1507" spans="1:9" x14ac:dyDescent="0.15">
      <c r="A1507" s="5">
        <v>1506</v>
      </c>
      <c r="B1507" s="6" t="s">
        <v>9</v>
      </c>
      <c r="C1507" s="7">
        <v>1884</v>
      </c>
      <c r="D1507" s="8">
        <v>45402</v>
      </c>
      <c r="E1507" s="9" t="str">
        <f>+HYPERLINK("http://trademark.i-assist.jp/data/china/image_1884th/76670482.pdf", "76670482")</f>
        <v>76670482</v>
      </c>
      <c r="F1507" s="6" t="s">
        <v>4078</v>
      </c>
      <c r="G1507" s="6" t="s">
        <v>3891</v>
      </c>
      <c r="H1507" s="8" t="s">
        <v>4079</v>
      </c>
      <c r="I1507" s="14">
        <v>45320</v>
      </c>
    </row>
    <row r="1508" spans="1:9" x14ac:dyDescent="0.15">
      <c r="A1508" s="5">
        <v>1507</v>
      </c>
      <c r="B1508" s="6" t="s">
        <v>9</v>
      </c>
      <c r="C1508" s="7">
        <v>1884</v>
      </c>
      <c r="D1508" s="8">
        <v>45402</v>
      </c>
      <c r="E1508" s="9" t="str">
        <f>+HYPERLINK("http://trademark.i-assist.jp/data/china/image_1884th/76670502.pdf", "76670502")</f>
        <v>76670502</v>
      </c>
      <c r="F1508" s="6" t="s">
        <v>4081</v>
      </c>
      <c r="G1508" s="6" t="s">
        <v>4080</v>
      </c>
      <c r="H1508" s="8" t="s">
        <v>4082</v>
      </c>
      <c r="I1508" s="14">
        <v>45320</v>
      </c>
    </row>
    <row r="1509" spans="1:9" x14ac:dyDescent="0.15">
      <c r="A1509" s="5">
        <v>1508</v>
      </c>
      <c r="B1509" s="6" t="s">
        <v>9</v>
      </c>
      <c r="C1509" s="7">
        <v>1884</v>
      </c>
      <c r="D1509" s="8">
        <v>45402</v>
      </c>
      <c r="E1509" s="9" t="str">
        <f>+HYPERLINK("http://trademark.i-assist.jp/data/china/image_1884th/76670985.pdf", "76670985")</f>
        <v>76670985</v>
      </c>
      <c r="F1509" s="6" t="s">
        <v>4084</v>
      </c>
      <c r="G1509" s="6" t="s">
        <v>4083</v>
      </c>
      <c r="H1509" s="8" t="s">
        <v>4085</v>
      </c>
      <c r="I1509" s="14">
        <v>45320</v>
      </c>
    </row>
    <row r="1510" spans="1:9" x14ac:dyDescent="0.15">
      <c r="A1510" s="5">
        <v>1509</v>
      </c>
      <c r="B1510" s="6" t="s">
        <v>9</v>
      </c>
      <c r="C1510" s="7">
        <v>1884</v>
      </c>
      <c r="D1510" s="8">
        <v>45402</v>
      </c>
      <c r="E1510" s="9" t="str">
        <f>+HYPERLINK("http://trademark.i-assist.jp/data/china/image_1884th/76671245.pdf", "76671245")</f>
        <v>76671245</v>
      </c>
      <c r="F1510" s="6" t="s">
        <v>4087</v>
      </c>
      <c r="G1510" s="6" t="s">
        <v>4086</v>
      </c>
      <c r="H1510" s="8" t="s">
        <v>4088</v>
      </c>
      <c r="I1510" s="14">
        <v>45320</v>
      </c>
    </row>
    <row r="1511" spans="1:9" x14ac:dyDescent="0.15">
      <c r="A1511" s="5">
        <v>1510</v>
      </c>
      <c r="B1511" s="6" t="s">
        <v>9</v>
      </c>
      <c r="C1511" s="7">
        <v>1884</v>
      </c>
      <c r="D1511" s="8">
        <v>45402</v>
      </c>
      <c r="E1511" s="9" t="str">
        <f>+HYPERLINK("http://trademark.i-assist.jp/data/china/image_1884th/76671373.pdf", "76671373")</f>
        <v>76671373</v>
      </c>
      <c r="F1511" s="6" t="s">
        <v>167</v>
      </c>
      <c r="G1511" s="6" t="s">
        <v>4089</v>
      </c>
      <c r="H1511" s="8" t="s">
        <v>4090</v>
      </c>
      <c r="I1511" s="14">
        <v>45320</v>
      </c>
    </row>
    <row r="1512" spans="1:9" x14ac:dyDescent="0.15">
      <c r="A1512" s="5">
        <v>1511</v>
      </c>
      <c r="B1512" s="6" t="s">
        <v>9</v>
      </c>
      <c r="C1512" s="7">
        <v>1884</v>
      </c>
      <c r="D1512" s="8">
        <v>45402</v>
      </c>
      <c r="E1512" s="9" t="str">
        <f>+HYPERLINK("http://trademark.i-assist.jp/data/china/image_1884th/76671432.pdf", "76671432")</f>
        <v>76671432</v>
      </c>
      <c r="F1512" s="6" t="s">
        <v>4091</v>
      </c>
      <c r="G1512" s="6" t="s">
        <v>1947</v>
      </c>
      <c r="H1512" s="8" t="s">
        <v>1949</v>
      </c>
      <c r="I1512" s="14">
        <v>45320</v>
      </c>
    </row>
    <row r="1513" spans="1:9" x14ac:dyDescent="0.15">
      <c r="A1513" s="5">
        <v>1512</v>
      </c>
      <c r="B1513" s="6" t="s">
        <v>9</v>
      </c>
      <c r="C1513" s="7">
        <v>1884</v>
      </c>
      <c r="D1513" s="8">
        <v>45402</v>
      </c>
      <c r="E1513" s="9" t="str">
        <f>+HYPERLINK("http://trademark.i-assist.jp/data/china/image_1884th/76672283.pdf", "76672283")</f>
        <v>76672283</v>
      </c>
      <c r="F1513" s="6" t="s">
        <v>4093</v>
      </c>
      <c r="G1513" s="6" t="s">
        <v>4092</v>
      </c>
      <c r="H1513" s="8" t="s">
        <v>4094</v>
      </c>
      <c r="I1513" s="14">
        <v>45320</v>
      </c>
    </row>
    <row r="1514" spans="1:9" x14ac:dyDescent="0.15">
      <c r="A1514" s="5">
        <v>1513</v>
      </c>
      <c r="B1514" s="6" t="s">
        <v>9</v>
      </c>
      <c r="C1514" s="7">
        <v>1884</v>
      </c>
      <c r="D1514" s="8">
        <v>45402</v>
      </c>
      <c r="E1514" s="9" t="str">
        <f>+HYPERLINK("http://trademark.i-assist.jp/data/china/image_1884th/76672673.pdf", "76672673")</f>
        <v>76672673</v>
      </c>
      <c r="F1514" s="6" t="s">
        <v>4096</v>
      </c>
      <c r="G1514" s="6" t="s">
        <v>4095</v>
      </c>
      <c r="H1514" s="8" t="s">
        <v>4097</v>
      </c>
      <c r="I1514" s="14">
        <v>45320</v>
      </c>
    </row>
    <row r="1515" spans="1:9" x14ac:dyDescent="0.15">
      <c r="A1515" s="5">
        <v>1514</v>
      </c>
      <c r="B1515" s="6" t="s">
        <v>9</v>
      </c>
      <c r="C1515" s="7">
        <v>1884</v>
      </c>
      <c r="D1515" s="8">
        <v>45402</v>
      </c>
      <c r="E1515" s="9" t="str">
        <f>+HYPERLINK("http://trademark.i-assist.jp/data/china/image_1884th/76672688.pdf", "76672688")</f>
        <v>76672688</v>
      </c>
      <c r="F1515" s="6" t="s">
        <v>4098</v>
      </c>
      <c r="G1515" s="6" t="s">
        <v>4067</v>
      </c>
      <c r="H1515" s="8" t="s">
        <v>4099</v>
      </c>
      <c r="I1515" s="14">
        <v>45320</v>
      </c>
    </row>
    <row r="1516" spans="1:9" x14ac:dyDescent="0.15">
      <c r="A1516" s="5">
        <v>1515</v>
      </c>
      <c r="B1516" s="6" t="s">
        <v>9</v>
      </c>
      <c r="C1516" s="7">
        <v>1884</v>
      </c>
      <c r="D1516" s="8">
        <v>45402</v>
      </c>
      <c r="E1516" s="9" t="str">
        <f>+HYPERLINK("http://trademark.i-assist.jp/data/china/image_1884th/76672883.pdf", "76672883")</f>
        <v>76672883</v>
      </c>
      <c r="F1516" s="6" t="s">
        <v>4101</v>
      </c>
      <c r="G1516" s="6" t="s">
        <v>4100</v>
      </c>
      <c r="H1516" s="8" t="s">
        <v>4102</v>
      </c>
      <c r="I1516" s="14">
        <v>45320</v>
      </c>
    </row>
    <row r="1517" spans="1:9" x14ac:dyDescent="0.15">
      <c r="A1517" s="5">
        <v>1516</v>
      </c>
      <c r="B1517" s="6" t="s">
        <v>9</v>
      </c>
      <c r="C1517" s="7">
        <v>1884</v>
      </c>
      <c r="D1517" s="8">
        <v>45402</v>
      </c>
      <c r="E1517" s="9" t="str">
        <f>+HYPERLINK("http://trademark.i-assist.jp/data/china/image_1884th/76672891.pdf", "76672891")</f>
        <v>76672891</v>
      </c>
      <c r="F1517" s="6" t="s">
        <v>4103</v>
      </c>
      <c r="G1517" s="6" t="s">
        <v>4100</v>
      </c>
      <c r="H1517" s="8" t="s">
        <v>4102</v>
      </c>
      <c r="I1517" s="14">
        <v>45320</v>
      </c>
    </row>
    <row r="1518" spans="1:9" x14ac:dyDescent="0.15">
      <c r="A1518" s="5">
        <v>1517</v>
      </c>
      <c r="B1518" s="6" t="s">
        <v>9</v>
      </c>
      <c r="C1518" s="7">
        <v>1884</v>
      </c>
      <c r="D1518" s="8">
        <v>45402</v>
      </c>
      <c r="E1518" s="9" t="str">
        <f>+HYPERLINK("http://trademark.i-assist.jp/data/china/image_1884th/76672953.pdf", "76672953")</f>
        <v>76672953</v>
      </c>
      <c r="F1518" s="6" t="s">
        <v>4104</v>
      </c>
      <c r="G1518" s="6" t="s">
        <v>4033</v>
      </c>
      <c r="H1518" s="8" t="s">
        <v>4035</v>
      </c>
      <c r="I1518" s="14">
        <v>45320</v>
      </c>
    </row>
    <row r="1519" spans="1:9" x14ac:dyDescent="0.15">
      <c r="A1519" s="5">
        <v>1518</v>
      </c>
      <c r="B1519" s="6" t="s">
        <v>9</v>
      </c>
      <c r="C1519" s="7">
        <v>1884</v>
      </c>
      <c r="D1519" s="8">
        <v>45402</v>
      </c>
      <c r="E1519" s="9" t="str">
        <f>+HYPERLINK("http://trademark.i-assist.jp/data/china/image_1884th/76673356.pdf", "76673356")</f>
        <v>76673356</v>
      </c>
      <c r="F1519" s="6" t="s">
        <v>4105</v>
      </c>
      <c r="G1519" s="6" t="s">
        <v>3909</v>
      </c>
      <c r="H1519" s="8" t="s">
        <v>4106</v>
      </c>
      <c r="I1519" s="14">
        <v>45320</v>
      </c>
    </row>
    <row r="1520" spans="1:9" x14ac:dyDescent="0.15">
      <c r="A1520" s="5">
        <v>1519</v>
      </c>
      <c r="B1520" s="6" t="s">
        <v>9</v>
      </c>
      <c r="C1520" s="7">
        <v>1884</v>
      </c>
      <c r="D1520" s="8">
        <v>45402</v>
      </c>
      <c r="E1520" s="9" t="str">
        <f>+HYPERLINK("http://trademark.i-assist.jp/data/china/image_1884th/76673759.pdf", "76673759")</f>
        <v>76673759</v>
      </c>
      <c r="F1520" s="6" t="s">
        <v>4108</v>
      </c>
      <c r="G1520" s="6" t="s">
        <v>4107</v>
      </c>
      <c r="H1520" s="8" t="s">
        <v>4109</v>
      </c>
      <c r="I1520" s="14">
        <v>45320</v>
      </c>
    </row>
    <row r="1521" spans="1:9" x14ac:dyDescent="0.15">
      <c r="A1521" s="5">
        <v>1520</v>
      </c>
      <c r="B1521" s="6" t="s">
        <v>9</v>
      </c>
      <c r="C1521" s="7">
        <v>1884</v>
      </c>
      <c r="D1521" s="8">
        <v>45402</v>
      </c>
      <c r="E1521" s="9" t="str">
        <f>+HYPERLINK("http://trademark.i-assist.jp/data/china/image_1884th/76673829.pdf", "76673829")</f>
        <v>76673829</v>
      </c>
      <c r="F1521" s="6" t="s">
        <v>4111</v>
      </c>
      <c r="G1521" s="6" t="s">
        <v>4110</v>
      </c>
      <c r="H1521" s="8" t="s">
        <v>4112</v>
      </c>
      <c r="I1521" s="14">
        <v>45320</v>
      </c>
    </row>
    <row r="1522" spans="1:9" x14ac:dyDescent="0.15">
      <c r="A1522" s="5">
        <v>1521</v>
      </c>
      <c r="B1522" s="6" t="s">
        <v>9</v>
      </c>
      <c r="C1522" s="7">
        <v>1884</v>
      </c>
      <c r="D1522" s="8">
        <v>45402</v>
      </c>
      <c r="E1522" s="9" t="str">
        <f>+HYPERLINK("http://trademark.i-assist.jp/data/china/image_1884th/76673879.pdf", "76673879")</f>
        <v>76673879</v>
      </c>
      <c r="F1522" s="6" t="s">
        <v>4114</v>
      </c>
      <c r="G1522" s="6" t="s">
        <v>4113</v>
      </c>
      <c r="H1522" s="8" t="s">
        <v>2249</v>
      </c>
      <c r="I1522" s="14">
        <v>45320</v>
      </c>
    </row>
    <row r="1523" spans="1:9" x14ac:dyDescent="0.15">
      <c r="A1523" s="5">
        <v>1522</v>
      </c>
      <c r="B1523" s="6" t="s">
        <v>9</v>
      </c>
      <c r="C1523" s="7">
        <v>1884</v>
      </c>
      <c r="D1523" s="8">
        <v>45402</v>
      </c>
      <c r="E1523" s="9" t="str">
        <f>+HYPERLINK("http://trademark.i-assist.jp/data/china/image_1884th/76673894.pdf", "76673894")</f>
        <v>76673894</v>
      </c>
      <c r="F1523" s="6" t="s">
        <v>4116</v>
      </c>
      <c r="G1523" s="6" t="s">
        <v>4115</v>
      </c>
      <c r="H1523" s="8" t="s">
        <v>2655</v>
      </c>
      <c r="I1523" s="14">
        <v>45320</v>
      </c>
    </row>
    <row r="1524" spans="1:9" x14ac:dyDescent="0.15">
      <c r="A1524" s="5">
        <v>1523</v>
      </c>
      <c r="B1524" s="6" t="s">
        <v>9</v>
      </c>
      <c r="C1524" s="7">
        <v>1884</v>
      </c>
      <c r="D1524" s="8">
        <v>45402</v>
      </c>
      <c r="E1524" s="9" t="str">
        <f>+HYPERLINK("http://trademark.i-assist.jp/data/china/image_1884th/76675236.pdf", "76675236")</f>
        <v>76675236</v>
      </c>
      <c r="F1524" s="6" t="s">
        <v>4118</v>
      </c>
      <c r="G1524" s="6" t="s">
        <v>4117</v>
      </c>
      <c r="H1524" s="8" t="s">
        <v>4119</v>
      </c>
      <c r="I1524" s="14">
        <v>45321</v>
      </c>
    </row>
    <row r="1525" spans="1:9" x14ac:dyDescent="0.15">
      <c r="A1525" s="5">
        <v>1524</v>
      </c>
      <c r="B1525" s="6" t="s">
        <v>9</v>
      </c>
      <c r="C1525" s="7">
        <v>1884</v>
      </c>
      <c r="D1525" s="8">
        <v>45402</v>
      </c>
      <c r="E1525" s="9" t="str">
        <f>+HYPERLINK("http://trademark.i-assist.jp/data/china/image_1884th/76675443.pdf", "76675443")</f>
        <v>76675443</v>
      </c>
      <c r="F1525" s="6" t="s">
        <v>4121</v>
      </c>
      <c r="G1525" s="6" t="s">
        <v>4120</v>
      </c>
      <c r="H1525" s="8" t="s">
        <v>4122</v>
      </c>
      <c r="I1525" s="14">
        <v>45321</v>
      </c>
    </row>
    <row r="1526" spans="1:9" x14ac:dyDescent="0.15">
      <c r="A1526" s="5">
        <v>1525</v>
      </c>
      <c r="B1526" s="6" t="s">
        <v>9</v>
      </c>
      <c r="C1526" s="7">
        <v>1884</v>
      </c>
      <c r="D1526" s="8">
        <v>45402</v>
      </c>
      <c r="E1526" s="9" t="str">
        <f>+HYPERLINK("http://trademark.i-assist.jp/data/china/image_1884th/76675945.pdf", "76675945")</f>
        <v>76675945</v>
      </c>
      <c r="F1526" s="6" t="s">
        <v>4124</v>
      </c>
      <c r="G1526" s="6" t="s">
        <v>4123</v>
      </c>
      <c r="H1526" s="8" t="s">
        <v>4125</v>
      </c>
      <c r="I1526" s="14">
        <v>45321</v>
      </c>
    </row>
    <row r="1527" spans="1:9" x14ac:dyDescent="0.15">
      <c r="A1527" s="5">
        <v>1526</v>
      </c>
      <c r="B1527" s="6" t="s">
        <v>9</v>
      </c>
      <c r="C1527" s="7">
        <v>1884</v>
      </c>
      <c r="D1527" s="8">
        <v>45402</v>
      </c>
      <c r="E1527" s="9" t="str">
        <f>+HYPERLINK("http://trademark.i-assist.jp/data/china/image_1884th/76676287.pdf", "76676287")</f>
        <v>76676287</v>
      </c>
      <c r="F1527" s="6" t="s">
        <v>4127</v>
      </c>
      <c r="G1527" s="6" t="s">
        <v>4126</v>
      </c>
      <c r="H1527" s="8" t="s">
        <v>4128</v>
      </c>
      <c r="I1527" s="14">
        <v>45321</v>
      </c>
    </row>
    <row r="1528" spans="1:9" x14ac:dyDescent="0.15">
      <c r="A1528" s="5">
        <v>1527</v>
      </c>
      <c r="B1528" s="6" t="s">
        <v>9</v>
      </c>
      <c r="C1528" s="7">
        <v>1884</v>
      </c>
      <c r="D1528" s="8">
        <v>45402</v>
      </c>
      <c r="E1528" s="9" t="str">
        <f>+HYPERLINK("http://trademark.i-assist.jp/data/china/image_1884th/76676499.pdf", "76676499")</f>
        <v>76676499</v>
      </c>
      <c r="F1528" s="6" t="s">
        <v>4130</v>
      </c>
      <c r="G1528" s="6" t="s">
        <v>4129</v>
      </c>
      <c r="H1528" s="8" t="s">
        <v>4131</v>
      </c>
      <c r="I1528" s="14">
        <v>45321</v>
      </c>
    </row>
    <row r="1529" spans="1:9" x14ac:dyDescent="0.15">
      <c r="A1529" s="5">
        <v>1528</v>
      </c>
      <c r="B1529" s="6" t="s">
        <v>9</v>
      </c>
      <c r="C1529" s="7">
        <v>1884</v>
      </c>
      <c r="D1529" s="8">
        <v>45402</v>
      </c>
      <c r="E1529" s="9" t="str">
        <f>+HYPERLINK("http://trademark.i-assist.jp/data/china/image_1884th/76676772.pdf", "76676772")</f>
        <v>76676772</v>
      </c>
      <c r="F1529" s="6" t="s">
        <v>4133</v>
      </c>
      <c r="G1529" s="6" t="s">
        <v>4132</v>
      </c>
      <c r="H1529" s="8" t="s">
        <v>4134</v>
      </c>
      <c r="I1529" s="14">
        <v>45321</v>
      </c>
    </row>
    <row r="1530" spans="1:9" x14ac:dyDescent="0.15">
      <c r="A1530" s="5">
        <v>1529</v>
      </c>
      <c r="B1530" s="6" t="s">
        <v>9</v>
      </c>
      <c r="C1530" s="7">
        <v>1884</v>
      </c>
      <c r="D1530" s="8">
        <v>45402</v>
      </c>
      <c r="E1530" s="9" t="str">
        <f>+HYPERLINK("http://trademark.i-assist.jp/data/china/image_1884th/76677061.pdf", "76677061")</f>
        <v>76677061</v>
      </c>
      <c r="F1530" s="6" t="s">
        <v>4136</v>
      </c>
      <c r="G1530" s="6" t="s">
        <v>4135</v>
      </c>
      <c r="H1530" s="8" t="s">
        <v>4137</v>
      </c>
      <c r="I1530" s="14">
        <v>45321</v>
      </c>
    </row>
    <row r="1531" spans="1:9" x14ac:dyDescent="0.15">
      <c r="A1531" s="5">
        <v>1530</v>
      </c>
      <c r="B1531" s="6" t="s">
        <v>9</v>
      </c>
      <c r="C1531" s="7">
        <v>1884</v>
      </c>
      <c r="D1531" s="8">
        <v>45402</v>
      </c>
      <c r="E1531" s="9" t="str">
        <f>+HYPERLINK("http://trademark.i-assist.jp/data/china/image_1884th/76677419.pdf", "76677419")</f>
        <v>76677419</v>
      </c>
      <c r="F1531" s="6" t="s">
        <v>4139</v>
      </c>
      <c r="G1531" s="6" t="s">
        <v>4138</v>
      </c>
      <c r="H1531" s="8" t="s">
        <v>4140</v>
      </c>
      <c r="I1531" s="14">
        <v>45321</v>
      </c>
    </row>
    <row r="1532" spans="1:9" x14ac:dyDescent="0.15">
      <c r="A1532" s="5">
        <v>1531</v>
      </c>
      <c r="B1532" s="6" t="s">
        <v>9</v>
      </c>
      <c r="C1532" s="7">
        <v>1884</v>
      </c>
      <c r="D1532" s="8">
        <v>45402</v>
      </c>
      <c r="E1532" s="9" t="str">
        <f>+HYPERLINK("http://trademark.i-assist.jp/data/china/image_1884th/76677500.pdf", "76677500")</f>
        <v>76677500</v>
      </c>
      <c r="F1532" s="6" t="s">
        <v>4142</v>
      </c>
      <c r="G1532" s="6" t="s">
        <v>4141</v>
      </c>
      <c r="H1532" s="8" t="s">
        <v>4143</v>
      </c>
      <c r="I1532" s="14">
        <v>45321</v>
      </c>
    </row>
    <row r="1533" spans="1:9" x14ac:dyDescent="0.15">
      <c r="A1533" s="5">
        <v>1532</v>
      </c>
      <c r="B1533" s="6" t="s">
        <v>9</v>
      </c>
      <c r="C1533" s="7">
        <v>1884</v>
      </c>
      <c r="D1533" s="8">
        <v>45402</v>
      </c>
      <c r="E1533" s="9" t="str">
        <f>+HYPERLINK("http://trademark.i-assist.jp/data/china/image_1884th/76677783.pdf", "76677783")</f>
        <v>76677783</v>
      </c>
      <c r="F1533" s="6" t="s">
        <v>4145</v>
      </c>
      <c r="G1533" s="6" t="s">
        <v>4144</v>
      </c>
      <c r="H1533" s="8" t="s">
        <v>4146</v>
      </c>
      <c r="I1533" s="14">
        <v>45321</v>
      </c>
    </row>
    <row r="1534" spans="1:9" x14ac:dyDescent="0.15">
      <c r="A1534" s="5">
        <v>1533</v>
      </c>
      <c r="B1534" s="6" t="s">
        <v>9</v>
      </c>
      <c r="C1534" s="7">
        <v>1884</v>
      </c>
      <c r="D1534" s="8">
        <v>45402</v>
      </c>
      <c r="E1534" s="9" t="str">
        <f>+HYPERLINK("http://trademark.i-assist.jp/data/china/image_1884th/76677811.pdf", "76677811")</f>
        <v>76677811</v>
      </c>
      <c r="F1534" s="6" t="s">
        <v>4148</v>
      </c>
      <c r="G1534" s="6" t="s">
        <v>4147</v>
      </c>
      <c r="H1534" s="8" t="s">
        <v>4149</v>
      </c>
      <c r="I1534" s="14">
        <v>45321</v>
      </c>
    </row>
    <row r="1535" spans="1:9" x14ac:dyDescent="0.15">
      <c r="A1535" s="5">
        <v>1534</v>
      </c>
      <c r="B1535" s="6" t="s">
        <v>9</v>
      </c>
      <c r="C1535" s="7">
        <v>1884</v>
      </c>
      <c r="D1535" s="8">
        <v>45402</v>
      </c>
      <c r="E1535" s="9" t="str">
        <f>+HYPERLINK("http://trademark.i-assist.jp/data/china/image_1884th/76677970.pdf", "76677970")</f>
        <v>76677970</v>
      </c>
      <c r="F1535" s="6" t="s">
        <v>4151</v>
      </c>
      <c r="G1535" s="6" t="s">
        <v>4150</v>
      </c>
      <c r="H1535" s="8" t="s">
        <v>4152</v>
      </c>
      <c r="I1535" s="14">
        <v>45321</v>
      </c>
    </row>
    <row r="1536" spans="1:9" x14ac:dyDescent="0.15">
      <c r="A1536" s="5">
        <v>1535</v>
      </c>
      <c r="B1536" s="6" t="s">
        <v>9</v>
      </c>
      <c r="C1536" s="7">
        <v>1884</v>
      </c>
      <c r="D1536" s="8">
        <v>45402</v>
      </c>
      <c r="E1536" s="9" t="str">
        <f>+HYPERLINK("http://trademark.i-assist.jp/data/china/image_1884th/76678050.pdf", "76678050")</f>
        <v>76678050</v>
      </c>
      <c r="F1536" s="6" t="s">
        <v>4154</v>
      </c>
      <c r="G1536" s="6" t="s">
        <v>4153</v>
      </c>
      <c r="H1536" s="8" t="s">
        <v>4155</v>
      </c>
      <c r="I1536" s="14">
        <v>45321</v>
      </c>
    </row>
    <row r="1537" spans="1:9" x14ac:dyDescent="0.15">
      <c r="A1537" s="5">
        <v>1536</v>
      </c>
      <c r="B1537" s="6" t="s">
        <v>9</v>
      </c>
      <c r="C1537" s="7">
        <v>1884</v>
      </c>
      <c r="D1537" s="8">
        <v>45402</v>
      </c>
      <c r="E1537" s="9" t="str">
        <f>+HYPERLINK("http://trademark.i-assist.jp/data/china/image_1884th/76678134.pdf", "76678134")</f>
        <v>76678134</v>
      </c>
      <c r="F1537" s="6" t="s">
        <v>4156</v>
      </c>
      <c r="G1537" s="6" t="s">
        <v>4126</v>
      </c>
      <c r="H1537" s="8" t="s">
        <v>4157</v>
      </c>
      <c r="I1537" s="14">
        <v>45321</v>
      </c>
    </row>
    <row r="1538" spans="1:9" x14ac:dyDescent="0.15">
      <c r="A1538" s="5">
        <v>1537</v>
      </c>
      <c r="B1538" s="6" t="s">
        <v>9</v>
      </c>
      <c r="C1538" s="7">
        <v>1884</v>
      </c>
      <c r="D1538" s="8">
        <v>45402</v>
      </c>
      <c r="E1538" s="9" t="str">
        <f>+HYPERLINK("http://trademark.i-assist.jp/data/china/image_1884th/76678295.pdf", "76678295")</f>
        <v>76678295</v>
      </c>
      <c r="F1538" s="6" t="s">
        <v>4159</v>
      </c>
      <c r="G1538" s="6" t="s">
        <v>4158</v>
      </c>
      <c r="H1538" s="8" t="s">
        <v>4160</v>
      </c>
      <c r="I1538" s="14">
        <v>45321</v>
      </c>
    </row>
    <row r="1539" spans="1:9" x14ac:dyDescent="0.15">
      <c r="A1539" s="5">
        <v>1538</v>
      </c>
      <c r="B1539" s="6" t="s">
        <v>9</v>
      </c>
      <c r="C1539" s="7">
        <v>1884</v>
      </c>
      <c r="D1539" s="8">
        <v>45402</v>
      </c>
      <c r="E1539" s="9" t="str">
        <f>+HYPERLINK("http://trademark.i-assist.jp/data/china/image_1884th/76678369.pdf", "76678369")</f>
        <v>76678369</v>
      </c>
      <c r="F1539" s="6" t="s">
        <v>4161</v>
      </c>
      <c r="G1539" s="6" t="s">
        <v>36</v>
      </c>
      <c r="H1539" s="8" t="s">
        <v>4162</v>
      </c>
      <c r="I1539" s="14">
        <v>45321</v>
      </c>
    </row>
    <row r="1540" spans="1:9" x14ac:dyDescent="0.15">
      <c r="A1540" s="5">
        <v>1539</v>
      </c>
      <c r="B1540" s="6" t="s">
        <v>9</v>
      </c>
      <c r="C1540" s="7">
        <v>1884</v>
      </c>
      <c r="D1540" s="8">
        <v>45402</v>
      </c>
      <c r="E1540" s="9" t="str">
        <f>+HYPERLINK("http://trademark.i-assist.jp/data/china/image_1884th/76678373.pdf", "76678373")</f>
        <v>76678373</v>
      </c>
      <c r="F1540" s="6" t="s">
        <v>4164</v>
      </c>
      <c r="G1540" s="6" t="s">
        <v>4163</v>
      </c>
      <c r="H1540" s="8" t="s">
        <v>4165</v>
      </c>
      <c r="I1540" s="14">
        <v>45321</v>
      </c>
    </row>
    <row r="1541" spans="1:9" x14ac:dyDescent="0.15">
      <c r="A1541" s="5">
        <v>1540</v>
      </c>
      <c r="B1541" s="6" t="s">
        <v>9</v>
      </c>
      <c r="C1541" s="7">
        <v>1884</v>
      </c>
      <c r="D1541" s="8">
        <v>45402</v>
      </c>
      <c r="E1541" s="9" t="str">
        <f>+HYPERLINK("http://trademark.i-assist.jp/data/china/image_1884th/76678507.pdf", "76678507")</f>
        <v>76678507</v>
      </c>
      <c r="F1541" s="6" t="s">
        <v>4167</v>
      </c>
      <c r="G1541" s="6" t="s">
        <v>4166</v>
      </c>
      <c r="H1541" s="8" t="s">
        <v>4168</v>
      </c>
      <c r="I1541" s="14">
        <v>45321</v>
      </c>
    </row>
    <row r="1542" spans="1:9" x14ac:dyDescent="0.15">
      <c r="A1542" s="5">
        <v>1541</v>
      </c>
      <c r="B1542" s="6" t="s">
        <v>9</v>
      </c>
      <c r="C1542" s="7">
        <v>1884</v>
      </c>
      <c r="D1542" s="8">
        <v>45402</v>
      </c>
      <c r="E1542" s="9" t="str">
        <f>+HYPERLINK("http://trademark.i-assist.jp/data/china/image_1884th/76679065.pdf", "76679065")</f>
        <v>76679065</v>
      </c>
      <c r="F1542" s="6" t="s">
        <v>4170</v>
      </c>
      <c r="G1542" s="6" t="s">
        <v>4169</v>
      </c>
      <c r="H1542" s="8" t="s">
        <v>4171</v>
      </c>
      <c r="I1542" s="14">
        <v>45321</v>
      </c>
    </row>
    <row r="1543" spans="1:9" x14ac:dyDescent="0.15">
      <c r="A1543" s="5">
        <v>1542</v>
      </c>
      <c r="B1543" s="6" t="s">
        <v>9</v>
      </c>
      <c r="C1543" s="7">
        <v>1884</v>
      </c>
      <c r="D1543" s="8">
        <v>45402</v>
      </c>
      <c r="E1543" s="9" t="str">
        <f>+HYPERLINK("http://trademark.i-assist.jp/data/china/image_1884th/76679356.pdf", "76679356")</f>
        <v>76679356</v>
      </c>
      <c r="F1543" s="6" t="s">
        <v>4173</v>
      </c>
      <c r="G1543" s="6" t="s">
        <v>4172</v>
      </c>
      <c r="H1543" s="8" t="s">
        <v>4174</v>
      </c>
      <c r="I1543" s="14">
        <v>45321</v>
      </c>
    </row>
    <row r="1544" spans="1:9" x14ac:dyDescent="0.15">
      <c r="A1544" s="5">
        <v>1543</v>
      </c>
      <c r="B1544" s="6" t="s">
        <v>9</v>
      </c>
      <c r="C1544" s="7">
        <v>1884</v>
      </c>
      <c r="D1544" s="8">
        <v>45402</v>
      </c>
      <c r="E1544" s="9" t="str">
        <f>+HYPERLINK("http://trademark.i-assist.jp/data/china/image_1884th/76679357.pdf", "76679357")</f>
        <v>76679357</v>
      </c>
      <c r="F1544" s="6" t="s">
        <v>4176</v>
      </c>
      <c r="G1544" s="6" t="s">
        <v>4175</v>
      </c>
      <c r="H1544" s="8" t="s">
        <v>2249</v>
      </c>
      <c r="I1544" s="14">
        <v>45321</v>
      </c>
    </row>
    <row r="1545" spans="1:9" x14ac:dyDescent="0.15">
      <c r="A1545" s="5">
        <v>1544</v>
      </c>
      <c r="B1545" s="6" t="s">
        <v>9</v>
      </c>
      <c r="C1545" s="7">
        <v>1884</v>
      </c>
      <c r="D1545" s="8">
        <v>45402</v>
      </c>
      <c r="E1545" s="9" t="str">
        <f>+HYPERLINK("http://trademark.i-assist.jp/data/china/image_1884th/76679698.pdf", "76679698")</f>
        <v>76679698</v>
      </c>
      <c r="F1545" s="6" t="s">
        <v>4178</v>
      </c>
      <c r="G1545" s="6" t="s">
        <v>4177</v>
      </c>
      <c r="H1545" s="8" t="s">
        <v>4179</v>
      </c>
      <c r="I1545" s="14">
        <v>45321</v>
      </c>
    </row>
    <row r="1546" spans="1:9" x14ac:dyDescent="0.15">
      <c r="A1546" s="5">
        <v>1545</v>
      </c>
      <c r="B1546" s="6" t="s">
        <v>9</v>
      </c>
      <c r="C1546" s="7">
        <v>1884</v>
      </c>
      <c r="D1546" s="8">
        <v>45402</v>
      </c>
      <c r="E1546" s="9" t="str">
        <f>+HYPERLINK("http://trademark.i-assist.jp/data/china/image_1884th/76679799.pdf", "76679799")</f>
        <v>76679799</v>
      </c>
      <c r="F1546" s="6" t="s">
        <v>4181</v>
      </c>
      <c r="G1546" s="6" t="s">
        <v>4180</v>
      </c>
      <c r="H1546" s="8" t="s">
        <v>4182</v>
      </c>
      <c r="I1546" s="14">
        <v>45321</v>
      </c>
    </row>
    <row r="1547" spans="1:9" x14ac:dyDescent="0.15">
      <c r="A1547" s="5">
        <v>1546</v>
      </c>
      <c r="B1547" s="6" t="s">
        <v>9</v>
      </c>
      <c r="C1547" s="7">
        <v>1884</v>
      </c>
      <c r="D1547" s="8">
        <v>45402</v>
      </c>
      <c r="E1547" s="9" t="str">
        <f>+HYPERLINK("http://trademark.i-assist.jp/data/china/image_1884th/76679836.pdf", "76679836")</f>
        <v>76679836</v>
      </c>
      <c r="F1547" s="6" t="s">
        <v>4184</v>
      </c>
      <c r="G1547" s="6" t="s">
        <v>4183</v>
      </c>
      <c r="H1547" s="8" t="s">
        <v>4185</v>
      </c>
      <c r="I1547" s="14">
        <v>45321</v>
      </c>
    </row>
    <row r="1548" spans="1:9" x14ac:dyDescent="0.15">
      <c r="A1548" s="5">
        <v>1547</v>
      </c>
      <c r="B1548" s="6" t="s">
        <v>9</v>
      </c>
      <c r="C1548" s="7">
        <v>1884</v>
      </c>
      <c r="D1548" s="8">
        <v>45402</v>
      </c>
      <c r="E1548" s="9" t="str">
        <f>+HYPERLINK("http://trademark.i-assist.jp/data/china/image_1884th/76679845.pdf", "76679845")</f>
        <v>76679845</v>
      </c>
      <c r="F1548" s="6" t="s">
        <v>4187</v>
      </c>
      <c r="G1548" s="6" t="s">
        <v>4186</v>
      </c>
      <c r="H1548" s="8" t="s">
        <v>4188</v>
      </c>
      <c r="I1548" s="14">
        <v>45321</v>
      </c>
    </row>
    <row r="1549" spans="1:9" x14ac:dyDescent="0.15">
      <c r="A1549" s="5">
        <v>1548</v>
      </c>
      <c r="B1549" s="6" t="s">
        <v>9</v>
      </c>
      <c r="C1549" s="7">
        <v>1884</v>
      </c>
      <c r="D1549" s="8">
        <v>45402</v>
      </c>
      <c r="E1549" s="9" t="str">
        <f>+HYPERLINK("http://trademark.i-assist.jp/data/china/image_1884th/76679883.pdf", "76679883")</f>
        <v>76679883</v>
      </c>
      <c r="F1549" s="6" t="s">
        <v>4190</v>
      </c>
      <c r="G1549" s="6" t="s">
        <v>4189</v>
      </c>
      <c r="H1549" s="8" t="s">
        <v>4191</v>
      </c>
      <c r="I1549" s="14">
        <v>45321</v>
      </c>
    </row>
    <row r="1550" spans="1:9" x14ac:dyDescent="0.15">
      <c r="A1550" s="5">
        <v>1549</v>
      </c>
      <c r="B1550" s="6" t="s">
        <v>9</v>
      </c>
      <c r="C1550" s="7">
        <v>1884</v>
      </c>
      <c r="D1550" s="8">
        <v>45402</v>
      </c>
      <c r="E1550" s="9" t="str">
        <f>+HYPERLINK("http://trademark.i-assist.jp/data/china/image_1884th/76680052.pdf", "76680052")</f>
        <v>76680052</v>
      </c>
      <c r="F1550" s="6" t="s">
        <v>4193</v>
      </c>
      <c r="G1550" s="6" t="s">
        <v>4192</v>
      </c>
      <c r="H1550" s="8" t="s">
        <v>4194</v>
      </c>
      <c r="I1550" s="14">
        <v>45321</v>
      </c>
    </row>
    <row r="1551" spans="1:9" x14ac:dyDescent="0.15">
      <c r="A1551" s="5">
        <v>1550</v>
      </c>
      <c r="B1551" s="6" t="s">
        <v>9</v>
      </c>
      <c r="C1551" s="7">
        <v>1884</v>
      </c>
      <c r="D1551" s="8">
        <v>45402</v>
      </c>
      <c r="E1551" s="9" t="str">
        <f>+HYPERLINK("http://trademark.i-assist.jp/data/china/image_1884th/76680396.pdf", "76680396")</f>
        <v>76680396</v>
      </c>
      <c r="F1551" s="6" t="s">
        <v>4196</v>
      </c>
      <c r="G1551" s="6" t="s">
        <v>4195</v>
      </c>
      <c r="H1551" s="8" t="s">
        <v>4197</v>
      </c>
      <c r="I1551" s="14">
        <v>45321</v>
      </c>
    </row>
    <row r="1552" spans="1:9" x14ac:dyDescent="0.15">
      <c r="A1552" s="5">
        <v>1551</v>
      </c>
      <c r="B1552" s="6" t="s">
        <v>9</v>
      </c>
      <c r="C1552" s="7">
        <v>1884</v>
      </c>
      <c r="D1552" s="8">
        <v>45402</v>
      </c>
      <c r="E1552" s="9" t="str">
        <f>+HYPERLINK("http://trademark.i-assist.jp/data/china/image_1884th/76680445.pdf", "76680445")</f>
        <v>76680445</v>
      </c>
      <c r="F1552" s="6" t="s">
        <v>4198</v>
      </c>
      <c r="G1552" s="6" t="s">
        <v>2816</v>
      </c>
      <c r="H1552" s="8" t="s">
        <v>2818</v>
      </c>
      <c r="I1552" s="14">
        <v>45321</v>
      </c>
    </row>
    <row r="1553" spans="1:9" x14ac:dyDescent="0.15">
      <c r="A1553" s="5">
        <v>1552</v>
      </c>
      <c r="B1553" s="6" t="s">
        <v>9</v>
      </c>
      <c r="C1553" s="7">
        <v>1884</v>
      </c>
      <c r="D1553" s="8">
        <v>45402</v>
      </c>
      <c r="E1553" s="9" t="str">
        <f>+HYPERLINK("http://trademark.i-assist.jp/data/china/image_1884th/76680486.pdf", "76680486")</f>
        <v>76680486</v>
      </c>
      <c r="F1553" s="6" t="s">
        <v>4200</v>
      </c>
      <c r="G1553" s="6" t="s">
        <v>4199</v>
      </c>
      <c r="H1553" s="8" t="s">
        <v>4201</v>
      </c>
      <c r="I1553" s="14">
        <v>45321</v>
      </c>
    </row>
    <row r="1554" spans="1:9" x14ac:dyDescent="0.15">
      <c r="A1554" s="5">
        <v>1553</v>
      </c>
      <c r="B1554" s="6" t="s">
        <v>9</v>
      </c>
      <c r="C1554" s="7">
        <v>1884</v>
      </c>
      <c r="D1554" s="8">
        <v>45402</v>
      </c>
      <c r="E1554" s="9" t="str">
        <f>+HYPERLINK("http://trademark.i-assist.jp/data/china/image_1884th/76680558.pdf", "76680558")</f>
        <v>76680558</v>
      </c>
      <c r="F1554" s="6" t="s">
        <v>4203</v>
      </c>
      <c r="G1554" s="6" t="s">
        <v>4202</v>
      </c>
      <c r="H1554" s="8" t="s">
        <v>4204</v>
      </c>
      <c r="I1554" s="14">
        <v>45321</v>
      </c>
    </row>
    <row r="1555" spans="1:9" x14ac:dyDescent="0.15">
      <c r="A1555" s="5">
        <v>1554</v>
      </c>
      <c r="B1555" s="6" t="s">
        <v>9</v>
      </c>
      <c r="C1555" s="7">
        <v>1884</v>
      </c>
      <c r="D1555" s="8">
        <v>45402</v>
      </c>
      <c r="E1555" s="9" t="str">
        <f>+HYPERLINK("http://trademark.i-assist.jp/data/china/image_1884th/76680756.pdf", "76680756")</f>
        <v>76680756</v>
      </c>
      <c r="F1555" s="6" t="s">
        <v>4206</v>
      </c>
      <c r="G1555" s="6" t="s">
        <v>4205</v>
      </c>
      <c r="H1555" s="8" t="s">
        <v>3617</v>
      </c>
      <c r="I1555" s="14">
        <v>45321</v>
      </c>
    </row>
    <row r="1556" spans="1:9" x14ac:dyDescent="0.15">
      <c r="A1556" s="5">
        <v>1555</v>
      </c>
      <c r="B1556" s="6" t="s">
        <v>9</v>
      </c>
      <c r="C1556" s="7">
        <v>1884</v>
      </c>
      <c r="D1556" s="8">
        <v>45402</v>
      </c>
      <c r="E1556" s="9" t="str">
        <f>+HYPERLINK("http://trademark.i-assist.jp/data/china/image_1884th/76680836.pdf", "76680836")</f>
        <v>76680836</v>
      </c>
      <c r="F1556" s="6" t="s">
        <v>4207</v>
      </c>
      <c r="G1556" s="6" t="s">
        <v>4126</v>
      </c>
      <c r="H1556" s="8" t="s">
        <v>4157</v>
      </c>
      <c r="I1556" s="14">
        <v>45321</v>
      </c>
    </row>
    <row r="1557" spans="1:9" x14ac:dyDescent="0.15">
      <c r="A1557" s="5">
        <v>1556</v>
      </c>
      <c r="B1557" s="6" t="s">
        <v>9</v>
      </c>
      <c r="C1557" s="7">
        <v>1884</v>
      </c>
      <c r="D1557" s="8">
        <v>45402</v>
      </c>
      <c r="E1557" s="9" t="str">
        <f>+HYPERLINK("http://trademark.i-assist.jp/data/china/image_1884th/76680929.pdf", "76680929")</f>
        <v>76680929</v>
      </c>
      <c r="F1557" s="6" t="s">
        <v>4209</v>
      </c>
      <c r="G1557" s="6" t="s">
        <v>4208</v>
      </c>
      <c r="H1557" s="8" t="s">
        <v>4210</v>
      </c>
      <c r="I1557" s="14">
        <v>45321</v>
      </c>
    </row>
    <row r="1558" spans="1:9" x14ac:dyDescent="0.15">
      <c r="A1558" s="5">
        <v>1557</v>
      </c>
      <c r="B1558" s="6" t="s">
        <v>9</v>
      </c>
      <c r="C1558" s="7">
        <v>1884</v>
      </c>
      <c r="D1558" s="8">
        <v>45402</v>
      </c>
      <c r="E1558" s="9" t="str">
        <f>+HYPERLINK("http://trademark.i-assist.jp/data/china/image_1884th/76680937.pdf", "76680937")</f>
        <v>76680937</v>
      </c>
      <c r="F1558" s="6" t="s">
        <v>4212</v>
      </c>
      <c r="G1558" s="6" t="s">
        <v>4211</v>
      </c>
      <c r="H1558" s="8" t="s">
        <v>4213</v>
      </c>
      <c r="I1558" s="14">
        <v>45321</v>
      </c>
    </row>
    <row r="1559" spans="1:9" x14ac:dyDescent="0.15">
      <c r="A1559" s="5">
        <v>1558</v>
      </c>
      <c r="B1559" s="6" t="s">
        <v>9</v>
      </c>
      <c r="C1559" s="7">
        <v>1884</v>
      </c>
      <c r="D1559" s="8">
        <v>45402</v>
      </c>
      <c r="E1559" s="9" t="str">
        <f>+HYPERLINK("http://trademark.i-assist.jp/data/china/image_1884th/76681206.pdf", "76681206")</f>
        <v>76681206</v>
      </c>
      <c r="F1559" s="6" t="s">
        <v>4215</v>
      </c>
      <c r="G1559" s="6" t="s">
        <v>4214</v>
      </c>
      <c r="H1559" s="8" t="s">
        <v>4216</v>
      </c>
      <c r="I1559" s="14">
        <v>45321</v>
      </c>
    </row>
    <row r="1560" spans="1:9" x14ac:dyDescent="0.15">
      <c r="A1560" s="5">
        <v>1559</v>
      </c>
      <c r="B1560" s="6" t="s">
        <v>9</v>
      </c>
      <c r="C1560" s="7">
        <v>1884</v>
      </c>
      <c r="D1560" s="8">
        <v>45402</v>
      </c>
      <c r="E1560" s="9" t="str">
        <f>+HYPERLINK("http://trademark.i-assist.jp/data/china/image_1884th/76681312.pdf", "76681312")</f>
        <v>76681312</v>
      </c>
      <c r="F1560" s="6" t="s">
        <v>4217</v>
      </c>
      <c r="G1560" s="6" t="s">
        <v>3388</v>
      </c>
      <c r="H1560" s="8" t="s">
        <v>4218</v>
      </c>
      <c r="I1560" s="14">
        <v>45321</v>
      </c>
    </row>
    <row r="1561" spans="1:9" x14ac:dyDescent="0.15">
      <c r="A1561" s="5">
        <v>1560</v>
      </c>
      <c r="B1561" s="6" t="s">
        <v>9</v>
      </c>
      <c r="C1561" s="7">
        <v>1884</v>
      </c>
      <c r="D1561" s="8">
        <v>45402</v>
      </c>
      <c r="E1561" s="9" t="str">
        <f>+HYPERLINK("http://trademark.i-assist.jp/data/china/image_1884th/76681437.pdf", "76681437")</f>
        <v>76681437</v>
      </c>
      <c r="F1561" s="6" t="s">
        <v>4220</v>
      </c>
      <c r="G1561" s="6" t="s">
        <v>4219</v>
      </c>
      <c r="H1561" s="8" t="s">
        <v>4221</v>
      </c>
      <c r="I1561" s="14">
        <v>45321</v>
      </c>
    </row>
    <row r="1562" spans="1:9" x14ac:dyDescent="0.15">
      <c r="A1562" s="5">
        <v>1561</v>
      </c>
      <c r="B1562" s="6" t="s">
        <v>9</v>
      </c>
      <c r="C1562" s="7">
        <v>1884</v>
      </c>
      <c r="D1562" s="8">
        <v>45402</v>
      </c>
      <c r="E1562" s="9" t="str">
        <f>+HYPERLINK("http://trademark.i-assist.jp/data/china/image_1884th/76681631.pdf", "76681631")</f>
        <v>76681631</v>
      </c>
      <c r="F1562" s="6" t="s">
        <v>4223</v>
      </c>
      <c r="G1562" s="6" t="s">
        <v>4222</v>
      </c>
      <c r="H1562" s="8" t="s">
        <v>2249</v>
      </c>
      <c r="I1562" s="14">
        <v>45321</v>
      </c>
    </row>
    <row r="1563" spans="1:9" x14ac:dyDescent="0.15">
      <c r="A1563" s="5">
        <v>1562</v>
      </c>
      <c r="B1563" s="6" t="s">
        <v>9</v>
      </c>
      <c r="C1563" s="7">
        <v>1884</v>
      </c>
      <c r="D1563" s="8">
        <v>45402</v>
      </c>
      <c r="E1563" s="9" t="str">
        <f>+HYPERLINK("http://trademark.i-assist.jp/data/china/image_1884th/76681880.pdf", "76681880")</f>
        <v>76681880</v>
      </c>
      <c r="F1563" s="6" t="s">
        <v>4225</v>
      </c>
      <c r="G1563" s="6" t="s">
        <v>4224</v>
      </c>
      <c r="H1563" s="8" t="s">
        <v>4226</v>
      </c>
      <c r="I1563" s="14">
        <v>45321</v>
      </c>
    </row>
    <row r="1564" spans="1:9" x14ac:dyDescent="0.15">
      <c r="A1564" s="5">
        <v>1563</v>
      </c>
      <c r="B1564" s="6" t="s">
        <v>9</v>
      </c>
      <c r="C1564" s="7">
        <v>1884</v>
      </c>
      <c r="D1564" s="8">
        <v>45402</v>
      </c>
      <c r="E1564" s="9" t="str">
        <f>+HYPERLINK("http://trademark.i-assist.jp/data/china/image_1884th/76682256.pdf", "76682256")</f>
        <v>76682256</v>
      </c>
      <c r="F1564" s="6" t="s">
        <v>4227</v>
      </c>
      <c r="G1564" s="6" t="s">
        <v>4224</v>
      </c>
      <c r="H1564" s="8" t="s">
        <v>4226</v>
      </c>
      <c r="I1564" s="14">
        <v>45321</v>
      </c>
    </row>
    <row r="1565" spans="1:9" x14ac:dyDescent="0.15">
      <c r="A1565" s="5">
        <v>1564</v>
      </c>
      <c r="B1565" s="6" t="s">
        <v>9</v>
      </c>
      <c r="C1565" s="7">
        <v>1884</v>
      </c>
      <c r="D1565" s="8">
        <v>45402</v>
      </c>
      <c r="E1565" s="9" t="str">
        <f>+HYPERLINK("http://trademark.i-assist.jp/data/china/image_1884th/76682534.pdf", "76682534")</f>
        <v>76682534</v>
      </c>
      <c r="F1565" s="6" t="s">
        <v>4229</v>
      </c>
      <c r="G1565" s="6" t="s">
        <v>4228</v>
      </c>
      <c r="H1565" s="8" t="s">
        <v>2758</v>
      </c>
      <c r="I1565" s="14">
        <v>45321</v>
      </c>
    </row>
    <row r="1566" spans="1:9" x14ac:dyDescent="0.15">
      <c r="A1566" s="5">
        <v>1565</v>
      </c>
      <c r="B1566" s="6" t="s">
        <v>9</v>
      </c>
      <c r="C1566" s="7">
        <v>1884</v>
      </c>
      <c r="D1566" s="8">
        <v>45402</v>
      </c>
      <c r="E1566" s="9" t="str">
        <f>+HYPERLINK("http://trademark.i-assist.jp/data/china/image_1884th/76682544.pdf", "76682544")</f>
        <v>76682544</v>
      </c>
      <c r="F1566" s="6" t="s">
        <v>4231</v>
      </c>
      <c r="G1566" s="6" t="s">
        <v>4230</v>
      </c>
      <c r="H1566" s="8" t="s">
        <v>4232</v>
      </c>
      <c r="I1566" s="14">
        <v>45321</v>
      </c>
    </row>
    <row r="1567" spans="1:9" x14ac:dyDescent="0.15">
      <c r="A1567" s="5">
        <v>1566</v>
      </c>
      <c r="B1567" s="6" t="s">
        <v>9</v>
      </c>
      <c r="C1567" s="7">
        <v>1884</v>
      </c>
      <c r="D1567" s="8">
        <v>45402</v>
      </c>
      <c r="E1567" s="9" t="str">
        <f>+HYPERLINK("http://trademark.i-assist.jp/data/china/image_1884th/76682821.pdf", "76682821")</f>
        <v>76682821</v>
      </c>
      <c r="F1567" s="6" t="s">
        <v>4234</v>
      </c>
      <c r="G1567" s="6" t="s">
        <v>4233</v>
      </c>
      <c r="H1567" s="8" t="s">
        <v>4235</v>
      </c>
      <c r="I1567" s="14">
        <v>45321</v>
      </c>
    </row>
    <row r="1568" spans="1:9" x14ac:dyDescent="0.15">
      <c r="A1568" s="5">
        <v>1567</v>
      </c>
      <c r="B1568" s="6" t="s">
        <v>9</v>
      </c>
      <c r="C1568" s="7">
        <v>1884</v>
      </c>
      <c r="D1568" s="8">
        <v>45402</v>
      </c>
      <c r="E1568" s="9" t="str">
        <f>+HYPERLINK("http://trademark.i-assist.jp/data/china/image_1884th/76683098.pdf", "76683098")</f>
        <v>76683098</v>
      </c>
      <c r="F1568" s="6" t="s">
        <v>4237</v>
      </c>
      <c r="G1568" s="6" t="s">
        <v>4236</v>
      </c>
      <c r="H1568" s="8" t="s">
        <v>4238</v>
      </c>
      <c r="I1568" s="14">
        <v>45321</v>
      </c>
    </row>
    <row r="1569" spans="1:9" x14ac:dyDescent="0.15">
      <c r="A1569" s="5">
        <v>1568</v>
      </c>
      <c r="B1569" s="6" t="s">
        <v>9</v>
      </c>
      <c r="C1569" s="7">
        <v>1884</v>
      </c>
      <c r="D1569" s="8">
        <v>45402</v>
      </c>
      <c r="E1569" s="9" t="str">
        <f>+HYPERLINK("http://trademark.i-assist.jp/data/china/image_1884th/76683324.pdf", "76683324")</f>
        <v>76683324</v>
      </c>
      <c r="F1569" s="6" t="s">
        <v>4240</v>
      </c>
      <c r="G1569" s="6" t="s">
        <v>4239</v>
      </c>
      <c r="H1569" s="8" t="s">
        <v>4241</v>
      </c>
      <c r="I1569" s="14">
        <v>45321</v>
      </c>
    </row>
    <row r="1570" spans="1:9" x14ac:dyDescent="0.15">
      <c r="A1570" s="5">
        <v>1569</v>
      </c>
      <c r="B1570" s="6" t="s">
        <v>9</v>
      </c>
      <c r="C1570" s="7">
        <v>1884</v>
      </c>
      <c r="D1570" s="8">
        <v>45402</v>
      </c>
      <c r="E1570" s="9" t="str">
        <f>+HYPERLINK("http://trademark.i-assist.jp/data/china/image_1884th/76683681.pdf", "76683681")</f>
        <v>76683681</v>
      </c>
      <c r="F1570" s="6" t="s">
        <v>4243</v>
      </c>
      <c r="G1570" s="6" t="s">
        <v>4242</v>
      </c>
      <c r="H1570" s="8" t="s">
        <v>4244</v>
      </c>
      <c r="I1570" s="14">
        <v>45321</v>
      </c>
    </row>
    <row r="1571" spans="1:9" x14ac:dyDescent="0.15">
      <c r="A1571" s="5">
        <v>1570</v>
      </c>
      <c r="B1571" s="6" t="s">
        <v>9</v>
      </c>
      <c r="C1571" s="7">
        <v>1884</v>
      </c>
      <c r="D1571" s="8">
        <v>45402</v>
      </c>
      <c r="E1571" s="9" t="str">
        <f>+HYPERLINK("http://trademark.i-assist.jp/data/china/image_1884th/76683764.pdf", "76683764")</f>
        <v>76683764</v>
      </c>
      <c r="F1571" s="6" t="s">
        <v>4246</v>
      </c>
      <c r="G1571" s="6" t="s">
        <v>4245</v>
      </c>
      <c r="H1571" s="8" t="s">
        <v>2758</v>
      </c>
      <c r="I1571" s="14">
        <v>45321</v>
      </c>
    </row>
    <row r="1572" spans="1:9" x14ac:dyDescent="0.15">
      <c r="A1572" s="5">
        <v>1571</v>
      </c>
      <c r="B1572" s="6" t="s">
        <v>9</v>
      </c>
      <c r="C1572" s="7">
        <v>1884</v>
      </c>
      <c r="D1572" s="8">
        <v>45402</v>
      </c>
      <c r="E1572" s="9" t="str">
        <f>+HYPERLINK("http://trademark.i-assist.jp/data/china/image_1884th/76683878.pdf", "76683878")</f>
        <v>76683878</v>
      </c>
      <c r="F1572" s="6" t="s">
        <v>4248</v>
      </c>
      <c r="G1572" s="6" t="s">
        <v>4247</v>
      </c>
      <c r="H1572" s="8" t="s">
        <v>3723</v>
      </c>
      <c r="I1572" s="14">
        <v>45321</v>
      </c>
    </row>
    <row r="1573" spans="1:9" x14ac:dyDescent="0.15">
      <c r="A1573" s="5">
        <v>1572</v>
      </c>
      <c r="B1573" s="6" t="s">
        <v>9</v>
      </c>
      <c r="C1573" s="7">
        <v>1884</v>
      </c>
      <c r="D1573" s="8">
        <v>45402</v>
      </c>
      <c r="E1573" s="9" t="str">
        <f>+HYPERLINK("http://trademark.i-assist.jp/data/china/image_1884th/76684107.pdf", "76684107")</f>
        <v>76684107</v>
      </c>
      <c r="F1573" s="6" t="s">
        <v>4249</v>
      </c>
      <c r="G1573" s="6" t="s">
        <v>4202</v>
      </c>
      <c r="H1573" s="8" t="s">
        <v>4250</v>
      </c>
      <c r="I1573" s="14">
        <v>45321</v>
      </c>
    </row>
    <row r="1574" spans="1:9" x14ac:dyDescent="0.15">
      <c r="A1574" s="5">
        <v>1573</v>
      </c>
      <c r="B1574" s="6" t="s">
        <v>9</v>
      </c>
      <c r="C1574" s="7">
        <v>1884</v>
      </c>
      <c r="D1574" s="8">
        <v>45402</v>
      </c>
      <c r="E1574" s="9" t="str">
        <f>+HYPERLINK("http://trademark.i-assist.jp/data/china/image_1884th/76684202.pdf", "76684202")</f>
        <v>76684202</v>
      </c>
      <c r="F1574" s="6" t="s">
        <v>4252</v>
      </c>
      <c r="G1574" s="6" t="s">
        <v>4251</v>
      </c>
      <c r="H1574" s="8" t="s">
        <v>4253</v>
      </c>
      <c r="I1574" s="14">
        <v>45321</v>
      </c>
    </row>
    <row r="1575" spans="1:9" x14ac:dyDescent="0.15">
      <c r="A1575" s="5">
        <v>1574</v>
      </c>
      <c r="B1575" s="6" t="s">
        <v>9</v>
      </c>
      <c r="C1575" s="7">
        <v>1884</v>
      </c>
      <c r="D1575" s="8">
        <v>45402</v>
      </c>
      <c r="E1575" s="9" t="str">
        <f>+HYPERLINK("http://trademark.i-assist.jp/data/china/image_1884th/76684304.pdf", "76684304")</f>
        <v>76684304</v>
      </c>
      <c r="F1575" s="6" t="s">
        <v>4255</v>
      </c>
      <c r="G1575" s="6" t="s">
        <v>4254</v>
      </c>
      <c r="H1575" s="8" t="s">
        <v>4256</v>
      </c>
      <c r="I1575" s="14">
        <v>45321</v>
      </c>
    </row>
    <row r="1576" spans="1:9" x14ac:dyDescent="0.15">
      <c r="A1576" s="5">
        <v>1575</v>
      </c>
      <c r="B1576" s="6" t="s">
        <v>9</v>
      </c>
      <c r="C1576" s="7">
        <v>1884</v>
      </c>
      <c r="D1576" s="8">
        <v>45402</v>
      </c>
      <c r="E1576" s="9" t="str">
        <f>+HYPERLINK("http://trademark.i-assist.jp/data/china/image_1884th/76685169.pdf", "76685169")</f>
        <v>76685169</v>
      </c>
      <c r="F1576" s="6" t="s">
        <v>4258</v>
      </c>
      <c r="G1576" s="6" t="s">
        <v>4257</v>
      </c>
      <c r="H1576" s="8" t="s">
        <v>4259</v>
      </c>
      <c r="I1576" s="14">
        <v>45321</v>
      </c>
    </row>
    <row r="1577" spans="1:9" x14ac:dyDescent="0.15">
      <c r="A1577" s="5">
        <v>1576</v>
      </c>
      <c r="B1577" s="6" t="s">
        <v>9</v>
      </c>
      <c r="C1577" s="7">
        <v>1884</v>
      </c>
      <c r="D1577" s="8">
        <v>45402</v>
      </c>
      <c r="E1577" s="9" t="str">
        <f>+HYPERLINK("http://trademark.i-assist.jp/data/china/image_1884th/76685233.pdf", "76685233")</f>
        <v>76685233</v>
      </c>
      <c r="F1577" s="6" t="s">
        <v>4261</v>
      </c>
      <c r="G1577" s="6" t="s">
        <v>4260</v>
      </c>
      <c r="H1577" s="8" t="s">
        <v>4262</v>
      </c>
      <c r="I1577" s="14">
        <v>45321</v>
      </c>
    </row>
    <row r="1578" spans="1:9" x14ac:dyDescent="0.15">
      <c r="A1578" s="5">
        <v>1577</v>
      </c>
      <c r="B1578" s="6" t="s">
        <v>9</v>
      </c>
      <c r="C1578" s="7">
        <v>1884</v>
      </c>
      <c r="D1578" s="8">
        <v>45402</v>
      </c>
      <c r="E1578" s="9" t="str">
        <f>+HYPERLINK("http://trademark.i-assist.jp/data/china/image_1884th/76685429.pdf", "76685429")</f>
        <v>76685429</v>
      </c>
      <c r="F1578" s="6" t="s">
        <v>4264</v>
      </c>
      <c r="G1578" s="6" t="s">
        <v>4263</v>
      </c>
      <c r="H1578" s="8" t="s">
        <v>4265</v>
      </c>
      <c r="I1578" s="14">
        <v>45321</v>
      </c>
    </row>
    <row r="1579" spans="1:9" x14ac:dyDescent="0.15">
      <c r="A1579" s="5">
        <v>1578</v>
      </c>
      <c r="B1579" s="6" t="s">
        <v>9</v>
      </c>
      <c r="C1579" s="7">
        <v>1884</v>
      </c>
      <c r="D1579" s="8">
        <v>45402</v>
      </c>
      <c r="E1579" s="9" t="str">
        <f>+HYPERLINK("http://trademark.i-assist.jp/data/china/image_1884th/76685476.pdf", "76685476")</f>
        <v>76685476</v>
      </c>
      <c r="F1579" s="6" t="s">
        <v>4267</v>
      </c>
      <c r="G1579" s="6" t="s">
        <v>4266</v>
      </c>
      <c r="H1579" s="8" t="s">
        <v>4268</v>
      </c>
      <c r="I1579" s="14">
        <v>45321</v>
      </c>
    </row>
    <row r="1580" spans="1:9" x14ac:dyDescent="0.15">
      <c r="A1580" s="5">
        <v>1579</v>
      </c>
      <c r="B1580" s="6" t="s">
        <v>9</v>
      </c>
      <c r="C1580" s="7">
        <v>1884</v>
      </c>
      <c r="D1580" s="8">
        <v>45402</v>
      </c>
      <c r="E1580" s="9" t="str">
        <f>+HYPERLINK("http://trademark.i-assist.jp/data/china/image_1884th/76685699.pdf", "76685699")</f>
        <v>76685699</v>
      </c>
      <c r="F1580" s="6" t="s">
        <v>4269</v>
      </c>
      <c r="G1580" s="6" t="s">
        <v>4192</v>
      </c>
      <c r="H1580" s="8" t="s">
        <v>4194</v>
      </c>
      <c r="I1580" s="14">
        <v>45321</v>
      </c>
    </row>
    <row r="1581" spans="1:9" x14ac:dyDescent="0.15">
      <c r="A1581" s="5">
        <v>1580</v>
      </c>
      <c r="B1581" s="6" t="s">
        <v>9</v>
      </c>
      <c r="C1581" s="7">
        <v>1884</v>
      </c>
      <c r="D1581" s="8">
        <v>45402</v>
      </c>
      <c r="E1581" s="9" t="str">
        <f>+HYPERLINK("http://trademark.i-assist.jp/data/china/image_1884th/76686076.pdf", "76686076")</f>
        <v>76686076</v>
      </c>
      <c r="F1581" s="6" t="s">
        <v>4271</v>
      </c>
      <c r="G1581" s="6" t="s">
        <v>4270</v>
      </c>
      <c r="H1581" s="8" t="s">
        <v>4272</v>
      </c>
      <c r="I1581" s="14">
        <v>45321</v>
      </c>
    </row>
    <row r="1582" spans="1:9" x14ac:dyDescent="0.15">
      <c r="A1582" s="5">
        <v>1581</v>
      </c>
      <c r="B1582" s="6" t="s">
        <v>9</v>
      </c>
      <c r="C1582" s="7">
        <v>1884</v>
      </c>
      <c r="D1582" s="8">
        <v>45402</v>
      </c>
      <c r="E1582" s="9" t="str">
        <f>+HYPERLINK("http://trademark.i-assist.jp/data/china/image_1884th/76686171.pdf", "76686171")</f>
        <v>76686171</v>
      </c>
      <c r="F1582" s="6" t="s">
        <v>4274</v>
      </c>
      <c r="G1582" s="6" t="s">
        <v>4273</v>
      </c>
      <c r="H1582" s="8" t="s">
        <v>4275</v>
      </c>
      <c r="I1582" s="14">
        <v>45321</v>
      </c>
    </row>
    <row r="1583" spans="1:9" x14ac:dyDescent="0.15">
      <c r="A1583" s="5">
        <v>1582</v>
      </c>
      <c r="B1583" s="6" t="s">
        <v>9</v>
      </c>
      <c r="C1583" s="7">
        <v>1884</v>
      </c>
      <c r="D1583" s="8">
        <v>45402</v>
      </c>
      <c r="E1583" s="9" t="str">
        <f>+HYPERLINK("http://trademark.i-assist.jp/data/china/image_1884th/76686356.pdf", "76686356")</f>
        <v>76686356</v>
      </c>
      <c r="F1583" s="6" t="s">
        <v>4277</v>
      </c>
      <c r="G1583" s="6" t="s">
        <v>4276</v>
      </c>
      <c r="H1583" s="8" t="s">
        <v>4278</v>
      </c>
      <c r="I1583" s="14">
        <v>45321</v>
      </c>
    </row>
    <row r="1584" spans="1:9" x14ac:dyDescent="0.15">
      <c r="A1584" s="5">
        <v>1583</v>
      </c>
      <c r="B1584" s="6" t="s">
        <v>9</v>
      </c>
      <c r="C1584" s="7">
        <v>1884</v>
      </c>
      <c r="D1584" s="8">
        <v>45402</v>
      </c>
      <c r="E1584" s="9" t="str">
        <f>+HYPERLINK("http://trademark.i-assist.jp/data/china/image_1884th/76686488.pdf", "76686488")</f>
        <v>76686488</v>
      </c>
      <c r="F1584" s="6" t="s">
        <v>4280</v>
      </c>
      <c r="G1584" s="6" t="s">
        <v>4279</v>
      </c>
      <c r="H1584" s="8" t="s">
        <v>4281</v>
      </c>
      <c r="I1584" s="14">
        <v>45321</v>
      </c>
    </row>
    <row r="1585" spans="1:9" x14ac:dyDescent="0.15">
      <c r="A1585" s="5">
        <v>1584</v>
      </c>
      <c r="B1585" s="6" t="s">
        <v>9</v>
      </c>
      <c r="C1585" s="7">
        <v>1884</v>
      </c>
      <c r="D1585" s="8">
        <v>45402</v>
      </c>
      <c r="E1585" s="9" t="str">
        <f>+HYPERLINK("http://trademark.i-assist.jp/data/china/image_1884th/76687104.pdf", "76687104")</f>
        <v>76687104</v>
      </c>
      <c r="F1585" s="6" t="s">
        <v>4283</v>
      </c>
      <c r="G1585" s="6" t="s">
        <v>4282</v>
      </c>
      <c r="H1585" s="8" t="s">
        <v>4284</v>
      </c>
      <c r="I1585" s="14">
        <v>45321</v>
      </c>
    </row>
    <row r="1586" spans="1:9" x14ac:dyDescent="0.15">
      <c r="A1586" s="5">
        <v>1585</v>
      </c>
      <c r="B1586" s="6" t="s">
        <v>9</v>
      </c>
      <c r="C1586" s="7">
        <v>1884</v>
      </c>
      <c r="D1586" s="8">
        <v>45402</v>
      </c>
      <c r="E1586" s="9" t="str">
        <f>+HYPERLINK("http://trademark.i-assist.jp/data/china/image_1884th/76687781.pdf", "76687781")</f>
        <v>76687781</v>
      </c>
      <c r="F1586" s="6" t="s">
        <v>4286</v>
      </c>
      <c r="G1586" s="6" t="s">
        <v>4285</v>
      </c>
      <c r="H1586" s="8" t="s">
        <v>4287</v>
      </c>
      <c r="I1586" s="14">
        <v>45321</v>
      </c>
    </row>
    <row r="1587" spans="1:9" x14ac:dyDescent="0.15">
      <c r="A1587" s="5">
        <v>1586</v>
      </c>
      <c r="B1587" s="6" t="s">
        <v>9</v>
      </c>
      <c r="C1587" s="7">
        <v>1884</v>
      </c>
      <c r="D1587" s="8">
        <v>45402</v>
      </c>
      <c r="E1587" s="9" t="str">
        <f>+HYPERLINK("http://trademark.i-assist.jp/data/china/image_1884th/76687892.pdf", "76687892")</f>
        <v>76687892</v>
      </c>
      <c r="F1587" s="6" t="s">
        <v>4289</v>
      </c>
      <c r="G1587" s="6" t="s">
        <v>4288</v>
      </c>
      <c r="H1587" s="8" t="s">
        <v>4290</v>
      </c>
      <c r="I1587" s="14">
        <v>45321</v>
      </c>
    </row>
    <row r="1588" spans="1:9" x14ac:dyDescent="0.15">
      <c r="A1588" s="5">
        <v>1587</v>
      </c>
      <c r="B1588" s="6" t="s">
        <v>9</v>
      </c>
      <c r="C1588" s="7">
        <v>1884</v>
      </c>
      <c r="D1588" s="8">
        <v>45402</v>
      </c>
      <c r="E1588" s="9" t="str">
        <f>+HYPERLINK("http://trademark.i-assist.jp/data/china/image_1884th/76688386.pdf", "76688386")</f>
        <v>76688386</v>
      </c>
      <c r="F1588" s="6" t="s">
        <v>4292</v>
      </c>
      <c r="G1588" s="6" t="s">
        <v>4291</v>
      </c>
      <c r="H1588" s="8" t="s">
        <v>2396</v>
      </c>
      <c r="I1588" s="14">
        <v>45321</v>
      </c>
    </row>
    <row r="1589" spans="1:9" x14ac:dyDescent="0.15">
      <c r="A1589" s="5">
        <v>1588</v>
      </c>
      <c r="B1589" s="6" t="s">
        <v>9</v>
      </c>
      <c r="C1589" s="7">
        <v>1884</v>
      </c>
      <c r="D1589" s="8">
        <v>45402</v>
      </c>
      <c r="E1589" s="9" t="str">
        <f>+HYPERLINK("http://trademark.i-assist.jp/data/china/image_1884th/76688938.pdf", "76688938")</f>
        <v>76688938</v>
      </c>
      <c r="F1589" s="6" t="s">
        <v>4294</v>
      </c>
      <c r="G1589" s="6" t="s">
        <v>4293</v>
      </c>
      <c r="H1589" s="8" t="s">
        <v>4295</v>
      </c>
      <c r="I1589" s="14">
        <v>45321</v>
      </c>
    </row>
    <row r="1590" spans="1:9" x14ac:dyDescent="0.15">
      <c r="A1590" s="5">
        <v>1589</v>
      </c>
      <c r="B1590" s="6" t="s">
        <v>9</v>
      </c>
      <c r="C1590" s="7">
        <v>1884</v>
      </c>
      <c r="D1590" s="8">
        <v>45402</v>
      </c>
      <c r="E1590" s="9" t="str">
        <f>+HYPERLINK("http://trademark.i-assist.jp/data/china/image_1884th/76689163.pdf", "76689163")</f>
        <v>76689163</v>
      </c>
      <c r="F1590" s="6" t="s">
        <v>4297</v>
      </c>
      <c r="G1590" s="6" t="s">
        <v>4296</v>
      </c>
      <c r="H1590" s="8" t="s">
        <v>4298</v>
      </c>
      <c r="I1590" s="14">
        <v>45321</v>
      </c>
    </row>
    <row r="1591" spans="1:9" x14ac:dyDescent="0.15">
      <c r="A1591" s="5">
        <v>1590</v>
      </c>
      <c r="B1591" s="6" t="s">
        <v>9</v>
      </c>
      <c r="C1591" s="7">
        <v>1884</v>
      </c>
      <c r="D1591" s="8">
        <v>45402</v>
      </c>
      <c r="E1591" s="9" t="str">
        <f>+HYPERLINK("http://trademark.i-assist.jp/data/china/image_1884th/76689181.pdf", "76689181")</f>
        <v>76689181</v>
      </c>
      <c r="F1591" s="6" t="s">
        <v>4300</v>
      </c>
      <c r="G1591" s="6" t="s">
        <v>4299</v>
      </c>
      <c r="H1591" s="8" t="s">
        <v>4301</v>
      </c>
      <c r="I1591" s="14">
        <v>45321</v>
      </c>
    </row>
    <row r="1592" spans="1:9" x14ac:dyDescent="0.15">
      <c r="A1592" s="5">
        <v>1591</v>
      </c>
      <c r="B1592" s="6" t="s">
        <v>9</v>
      </c>
      <c r="C1592" s="7">
        <v>1884</v>
      </c>
      <c r="D1592" s="8">
        <v>45402</v>
      </c>
      <c r="E1592" s="9" t="str">
        <f>+HYPERLINK("http://trademark.i-assist.jp/data/china/image_1884th/76689489.pdf", "76689489")</f>
        <v>76689489</v>
      </c>
      <c r="F1592" s="6" t="s">
        <v>4303</v>
      </c>
      <c r="G1592" s="6" t="s">
        <v>4302</v>
      </c>
      <c r="H1592" s="8" t="s">
        <v>4304</v>
      </c>
      <c r="I1592" s="14">
        <v>45321</v>
      </c>
    </row>
    <row r="1593" spans="1:9" x14ac:dyDescent="0.15">
      <c r="A1593" s="5">
        <v>1592</v>
      </c>
      <c r="B1593" s="6" t="s">
        <v>9</v>
      </c>
      <c r="C1593" s="7">
        <v>1884</v>
      </c>
      <c r="D1593" s="8">
        <v>45402</v>
      </c>
      <c r="E1593" s="9" t="str">
        <f>+HYPERLINK("http://trademark.i-assist.jp/data/china/image_1884th/76689647.pdf", "76689647")</f>
        <v>76689647</v>
      </c>
      <c r="F1593" s="6" t="s">
        <v>4306</v>
      </c>
      <c r="G1593" s="6" t="s">
        <v>4305</v>
      </c>
      <c r="H1593" s="8" t="s">
        <v>4307</v>
      </c>
      <c r="I1593" s="14">
        <v>45321</v>
      </c>
    </row>
    <row r="1594" spans="1:9" x14ac:dyDescent="0.15">
      <c r="A1594" s="5">
        <v>1593</v>
      </c>
      <c r="B1594" s="6" t="s">
        <v>9</v>
      </c>
      <c r="C1594" s="7">
        <v>1884</v>
      </c>
      <c r="D1594" s="8">
        <v>45402</v>
      </c>
      <c r="E1594" s="9" t="str">
        <f>+HYPERLINK("http://trademark.i-assist.jp/data/china/image_1884th/76689703.pdf", "76689703")</f>
        <v>76689703</v>
      </c>
      <c r="F1594" s="6" t="s">
        <v>4308</v>
      </c>
      <c r="G1594" s="6" t="s">
        <v>4135</v>
      </c>
      <c r="H1594" s="8" t="s">
        <v>4137</v>
      </c>
      <c r="I1594" s="14">
        <v>45321</v>
      </c>
    </row>
    <row r="1595" spans="1:9" x14ac:dyDescent="0.15">
      <c r="A1595" s="5">
        <v>1594</v>
      </c>
      <c r="B1595" s="6" t="s">
        <v>9</v>
      </c>
      <c r="C1595" s="7">
        <v>1884</v>
      </c>
      <c r="D1595" s="8">
        <v>45402</v>
      </c>
      <c r="E1595" s="9" t="str">
        <f>+HYPERLINK("http://trademark.i-assist.jp/data/china/image_1884th/76689980.pdf", "76689980")</f>
        <v>76689980</v>
      </c>
      <c r="F1595" s="6" t="s">
        <v>4310</v>
      </c>
      <c r="G1595" s="6" t="s">
        <v>4309</v>
      </c>
      <c r="H1595" s="8" t="s">
        <v>4311</v>
      </c>
      <c r="I1595" s="14">
        <v>45321</v>
      </c>
    </row>
    <row r="1596" spans="1:9" x14ac:dyDescent="0.15">
      <c r="A1596" s="5">
        <v>1595</v>
      </c>
      <c r="B1596" s="6" t="s">
        <v>9</v>
      </c>
      <c r="C1596" s="7">
        <v>1884</v>
      </c>
      <c r="D1596" s="8">
        <v>45402</v>
      </c>
      <c r="E1596" s="9" t="str">
        <f>+HYPERLINK("http://trademark.i-assist.jp/data/china/image_1884th/76690956.pdf", "76690956")</f>
        <v>76690956</v>
      </c>
      <c r="F1596" s="6" t="s">
        <v>4312</v>
      </c>
      <c r="G1596" s="6" t="s">
        <v>4163</v>
      </c>
      <c r="H1596" s="8" t="s">
        <v>4313</v>
      </c>
      <c r="I1596" s="14">
        <v>45321</v>
      </c>
    </row>
    <row r="1597" spans="1:9" x14ac:dyDescent="0.15">
      <c r="A1597" s="5">
        <v>1596</v>
      </c>
      <c r="B1597" s="6" t="s">
        <v>9</v>
      </c>
      <c r="C1597" s="7">
        <v>1884</v>
      </c>
      <c r="D1597" s="8">
        <v>45402</v>
      </c>
      <c r="E1597" s="9" t="str">
        <f>+HYPERLINK("http://trademark.i-assist.jp/data/china/image_1884th/76691395.pdf", "76691395")</f>
        <v>76691395</v>
      </c>
      <c r="F1597" s="6" t="s">
        <v>4315</v>
      </c>
      <c r="G1597" s="6" t="s">
        <v>4314</v>
      </c>
      <c r="H1597" s="8" t="s">
        <v>4316</v>
      </c>
      <c r="I1597" s="14">
        <v>45321</v>
      </c>
    </row>
    <row r="1598" spans="1:9" x14ac:dyDescent="0.15">
      <c r="A1598" s="5">
        <v>1597</v>
      </c>
      <c r="B1598" s="6" t="s">
        <v>9</v>
      </c>
      <c r="C1598" s="7">
        <v>1884</v>
      </c>
      <c r="D1598" s="8">
        <v>45402</v>
      </c>
      <c r="E1598" s="9" t="str">
        <f>+HYPERLINK("http://trademark.i-assist.jp/data/china/image_1884th/76692248.pdf", "76692248")</f>
        <v>76692248</v>
      </c>
      <c r="F1598" s="6" t="s">
        <v>4318</v>
      </c>
      <c r="G1598" s="6" t="s">
        <v>4317</v>
      </c>
      <c r="H1598" s="8" t="s">
        <v>4319</v>
      </c>
      <c r="I1598" s="14">
        <v>45321</v>
      </c>
    </row>
    <row r="1599" spans="1:9" x14ac:dyDescent="0.15">
      <c r="A1599" s="5">
        <v>1598</v>
      </c>
      <c r="B1599" s="6" t="s">
        <v>9</v>
      </c>
      <c r="C1599" s="7">
        <v>1884</v>
      </c>
      <c r="D1599" s="8">
        <v>45402</v>
      </c>
      <c r="E1599" s="9" t="str">
        <f>+HYPERLINK("http://trademark.i-assist.jp/data/china/image_1884th/76692370.pdf", "76692370")</f>
        <v>76692370</v>
      </c>
      <c r="F1599" s="6" t="s">
        <v>4321</v>
      </c>
      <c r="G1599" s="6" t="s">
        <v>4320</v>
      </c>
      <c r="H1599" s="8" t="s">
        <v>4322</v>
      </c>
      <c r="I1599" s="14">
        <v>45321</v>
      </c>
    </row>
    <row r="1600" spans="1:9" x14ac:dyDescent="0.15">
      <c r="A1600" s="5">
        <v>1599</v>
      </c>
      <c r="B1600" s="6" t="s">
        <v>9</v>
      </c>
      <c r="C1600" s="7">
        <v>1884</v>
      </c>
      <c r="D1600" s="8">
        <v>45402</v>
      </c>
      <c r="E1600" s="9" t="str">
        <f>+HYPERLINK("http://trademark.i-assist.jp/data/china/image_1884th/76693013.pdf", "76693013")</f>
        <v>76693013</v>
      </c>
      <c r="F1600" s="6" t="s">
        <v>4323</v>
      </c>
      <c r="G1600" s="6" t="s">
        <v>4129</v>
      </c>
      <c r="H1600" s="8" t="s">
        <v>4324</v>
      </c>
      <c r="I1600" s="14">
        <v>45321</v>
      </c>
    </row>
    <row r="1601" spans="1:9" x14ac:dyDescent="0.15">
      <c r="A1601" s="5">
        <v>1600</v>
      </c>
      <c r="B1601" s="6" t="s">
        <v>9</v>
      </c>
      <c r="C1601" s="7">
        <v>1884</v>
      </c>
      <c r="D1601" s="8">
        <v>45402</v>
      </c>
      <c r="E1601" s="9" t="str">
        <f>+HYPERLINK("http://trademark.i-assist.jp/data/china/image_1884th/76693397.pdf", "76693397")</f>
        <v>76693397</v>
      </c>
      <c r="F1601" s="6" t="s">
        <v>4325</v>
      </c>
      <c r="G1601" s="6" t="s">
        <v>4123</v>
      </c>
      <c r="H1601" s="8" t="s">
        <v>4125</v>
      </c>
      <c r="I1601" s="14">
        <v>45321</v>
      </c>
    </row>
    <row r="1602" spans="1:9" x14ac:dyDescent="0.15">
      <c r="A1602" s="5">
        <v>1601</v>
      </c>
      <c r="B1602" s="6" t="s">
        <v>9</v>
      </c>
      <c r="C1602" s="7">
        <v>1884</v>
      </c>
      <c r="D1602" s="8">
        <v>45402</v>
      </c>
      <c r="E1602" s="9" t="str">
        <f>+HYPERLINK("http://trademark.i-assist.jp/data/china/image_1884th/76694012.pdf", "76694012")</f>
        <v>76694012</v>
      </c>
      <c r="F1602" s="6" t="s">
        <v>4327</v>
      </c>
      <c r="G1602" s="6" t="s">
        <v>4326</v>
      </c>
      <c r="H1602" s="8" t="s">
        <v>4328</v>
      </c>
      <c r="I1602" s="14">
        <v>45321</v>
      </c>
    </row>
    <row r="1603" spans="1:9" x14ac:dyDescent="0.15">
      <c r="A1603" s="5">
        <v>1602</v>
      </c>
      <c r="B1603" s="6" t="s">
        <v>9</v>
      </c>
      <c r="C1603" s="7">
        <v>1884</v>
      </c>
      <c r="D1603" s="8">
        <v>45402</v>
      </c>
      <c r="E1603" s="9" t="str">
        <f>+HYPERLINK("http://trademark.i-assist.jp/data/china/image_1884th/76694056.pdf", "76694056")</f>
        <v>76694056</v>
      </c>
      <c r="F1603" s="6" t="s">
        <v>4330</v>
      </c>
      <c r="G1603" s="6" t="s">
        <v>4329</v>
      </c>
      <c r="H1603" s="8" t="s">
        <v>4157</v>
      </c>
      <c r="I1603" s="14">
        <v>45321</v>
      </c>
    </row>
    <row r="1604" spans="1:9" x14ac:dyDescent="0.15">
      <c r="A1604" s="5">
        <v>1603</v>
      </c>
      <c r="B1604" s="6" t="s">
        <v>9</v>
      </c>
      <c r="C1604" s="7">
        <v>1884</v>
      </c>
      <c r="D1604" s="8">
        <v>45402</v>
      </c>
      <c r="E1604" s="9" t="str">
        <f>+HYPERLINK("http://trademark.i-assist.jp/data/china/image_1884th/76694317.pdf", "76694317")</f>
        <v>76694317</v>
      </c>
      <c r="F1604" s="6" t="s">
        <v>4332</v>
      </c>
      <c r="G1604" s="6" t="s">
        <v>4331</v>
      </c>
      <c r="H1604" s="8" t="s">
        <v>4333</v>
      </c>
      <c r="I1604" s="14">
        <v>45321</v>
      </c>
    </row>
    <row r="1605" spans="1:9" x14ac:dyDescent="0.15">
      <c r="A1605" s="5">
        <v>1604</v>
      </c>
      <c r="B1605" s="6" t="s">
        <v>9</v>
      </c>
      <c r="C1605" s="7">
        <v>1884</v>
      </c>
      <c r="D1605" s="8">
        <v>45402</v>
      </c>
      <c r="E1605" s="9" t="str">
        <f>+HYPERLINK("http://trademark.i-assist.jp/data/china/image_1884th/76694572.pdf", "76694572")</f>
        <v>76694572</v>
      </c>
      <c r="F1605" s="6" t="s">
        <v>4335</v>
      </c>
      <c r="G1605" s="6" t="s">
        <v>4334</v>
      </c>
      <c r="H1605" s="8" t="s">
        <v>4336</v>
      </c>
      <c r="I1605" s="14">
        <v>45321</v>
      </c>
    </row>
    <row r="1606" spans="1:9" x14ac:dyDescent="0.15">
      <c r="A1606" s="5">
        <v>1605</v>
      </c>
      <c r="B1606" s="6" t="s">
        <v>9</v>
      </c>
      <c r="C1606" s="7">
        <v>1884</v>
      </c>
      <c r="D1606" s="8">
        <v>45402</v>
      </c>
      <c r="E1606" s="9" t="str">
        <f>+HYPERLINK("http://trademark.i-assist.jp/data/china/image_1884th/76694759.pdf", "76694759")</f>
        <v>76694759</v>
      </c>
      <c r="F1606" s="6" t="s">
        <v>4337</v>
      </c>
      <c r="G1606" s="6" t="s">
        <v>4239</v>
      </c>
      <c r="H1606" s="8" t="s">
        <v>4338</v>
      </c>
      <c r="I1606" s="14">
        <v>45321</v>
      </c>
    </row>
    <row r="1607" spans="1:9" x14ac:dyDescent="0.15">
      <c r="A1607" s="5">
        <v>1606</v>
      </c>
      <c r="B1607" s="6" t="s">
        <v>9</v>
      </c>
      <c r="C1607" s="7">
        <v>1884</v>
      </c>
      <c r="D1607" s="8">
        <v>45402</v>
      </c>
      <c r="E1607" s="9" t="str">
        <f>+HYPERLINK("http://trademark.i-assist.jp/data/china/image_1884th/76695156.pdf", "76695156")</f>
        <v>76695156</v>
      </c>
      <c r="F1607" s="6" t="s">
        <v>4340</v>
      </c>
      <c r="G1607" s="6" t="s">
        <v>4339</v>
      </c>
      <c r="H1607" s="8" t="s">
        <v>4341</v>
      </c>
      <c r="I1607" s="14">
        <v>45321</v>
      </c>
    </row>
    <row r="1608" spans="1:9" x14ac:dyDescent="0.15">
      <c r="A1608" s="5">
        <v>1607</v>
      </c>
      <c r="B1608" s="6" t="s">
        <v>9</v>
      </c>
      <c r="C1608" s="7">
        <v>1884</v>
      </c>
      <c r="D1608" s="8">
        <v>45402</v>
      </c>
      <c r="E1608" s="9" t="str">
        <f>+HYPERLINK("http://trademark.i-assist.jp/data/china/image_1884th/76696717.pdf", "76696717")</f>
        <v>76696717</v>
      </c>
      <c r="F1608" s="6" t="s">
        <v>4343</v>
      </c>
      <c r="G1608" s="6" t="s">
        <v>4342</v>
      </c>
      <c r="H1608" s="8" t="s">
        <v>4344</v>
      </c>
      <c r="I1608" s="14">
        <v>45321</v>
      </c>
    </row>
    <row r="1609" spans="1:9" x14ac:dyDescent="0.15">
      <c r="A1609" s="5">
        <v>1608</v>
      </c>
      <c r="B1609" s="6" t="s">
        <v>9</v>
      </c>
      <c r="C1609" s="7">
        <v>1884</v>
      </c>
      <c r="D1609" s="8">
        <v>45402</v>
      </c>
      <c r="E1609" s="9" t="str">
        <f>+HYPERLINK("http://trademark.i-assist.jp/data/china/image_1884th/76697326.pdf", "76697326")</f>
        <v>76697326</v>
      </c>
      <c r="F1609" s="6" t="s">
        <v>4346</v>
      </c>
      <c r="G1609" s="6" t="s">
        <v>4345</v>
      </c>
      <c r="H1609" s="8" t="s">
        <v>4347</v>
      </c>
      <c r="I1609" s="14">
        <v>45321</v>
      </c>
    </row>
    <row r="1610" spans="1:9" x14ac:dyDescent="0.15">
      <c r="A1610" s="5">
        <v>1609</v>
      </c>
      <c r="B1610" s="6" t="s">
        <v>9</v>
      </c>
      <c r="C1610" s="7">
        <v>1884</v>
      </c>
      <c r="D1610" s="8">
        <v>45402</v>
      </c>
      <c r="E1610" s="9" t="str">
        <f>+HYPERLINK("http://trademark.i-assist.jp/data/china/image_1884th/76697349.pdf", "76697349")</f>
        <v>76697349</v>
      </c>
      <c r="F1610" s="6" t="s">
        <v>4349</v>
      </c>
      <c r="G1610" s="6" t="s">
        <v>4348</v>
      </c>
      <c r="H1610" s="8" t="s">
        <v>4350</v>
      </c>
      <c r="I1610" s="14">
        <v>45321</v>
      </c>
    </row>
    <row r="1611" spans="1:9" x14ac:dyDescent="0.15">
      <c r="A1611" s="5">
        <v>1610</v>
      </c>
      <c r="B1611" s="6" t="s">
        <v>9</v>
      </c>
      <c r="C1611" s="7">
        <v>1884</v>
      </c>
      <c r="D1611" s="8">
        <v>45402</v>
      </c>
      <c r="E1611" s="9" t="str">
        <f>+HYPERLINK("http://trademark.i-assist.jp/data/china/image_1884th/76697784.pdf", "76697784")</f>
        <v>76697784</v>
      </c>
      <c r="F1611" s="6" t="s">
        <v>4352</v>
      </c>
      <c r="G1611" s="6" t="s">
        <v>4351</v>
      </c>
      <c r="H1611" s="8" t="s">
        <v>4353</v>
      </c>
      <c r="I1611" s="14">
        <v>45321</v>
      </c>
    </row>
    <row r="1612" spans="1:9" x14ac:dyDescent="0.15">
      <c r="A1612" s="5">
        <v>1611</v>
      </c>
      <c r="B1612" s="6" t="s">
        <v>9</v>
      </c>
      <c r="C1612" s="7">
        <v>1884</v>
      </c>
      <c r="D1612" s="8">
        <v>45402</v>
      </c>
      <c r="E1612" s="9" t="str">
        <f>+HYPERLINK("http://trademark.i-assist.jp/data/china/image_1884th/76697882.pdf", "76697882")</f>
        <v>76697882</v>
      </c>
      <c r="F1612" s="6" t="s">
        <v>167</v>
      </c>
      <c r="G1612" s="6" t="s">
        <v>4354</v>
      </c>
      <c r="H1612" s="8" t="s">
        <v>4355</v>
      </c>
      <c r="I1612" s="14">
        <v>45321</v>
      </c>
    </row>
    <row r="1613" spans="1:9" x14ac:dyDescent="0.15">
      <c r="A1613" s="5">
        <v>1612</v>
      </c>
      <c r="B1613" s="6" t="s">
        <v>9</v>
      </c>
      <c r="C1613" s="7">
        <v>1884</v>
      </c>
      <c r="D1613" s="8">
        <v>45402</v>
      </c>
      <c r="E1613" s="9" t="str">
        <f>+HYPERLINK("http://trademark.i-assist.jp/data/china/image_1884th/76697943.pdf", "76697943")</f>
        <v>76697943</v>
      </c>
      <c r="F1613" s="6" t="s">
        <v>4356</v>
      </c>
      <c r="G1613" s="6" t="s">
        <v>4302</v>
      </c>
      <c r="H1613" s="8" t="s">
        <v>4304</v>
      </c>
      <c r="I1613" s="14">
        <v>45321</v>
      </c>
    </row>
    <row r="1614" spans="1:9" x14ac:dyDescent="0.15">
      <c r="A1614" s="5">
        <v>1613</v>
      </c>
      <c r="B1614" s="6" t="s">
        <v>9</v>
      </c>
      <c r="C1614" s="7">
        <v>1884</v>
      </c>
      <c r="D1614" s="8">
        <v>45402</v>
      </c>
      <c r="E1614" s="9" t="str">
        <f>+HYPERLINK("http://trademark.i-assist.jp/data/china/image_1884th/76698481.pdf", "76698481")</f>
        <v>76698481</v>
      </c>
      <c r="F1614" s="6" t="s">
        <v>4358</v>
      </c>
      <c r="G1614" s="6" t="s">
        <v>4357</v>
      </c>
      <c r="H1614" s="8" t="s">
        <v>4359</v>
      </c>
      <c r="I1614" s="14">
        <v>45321</v>
      </c>
    </row>
    <row r="1615" spans="1:9" x14ac:dyDescent="0.15">
      <c r="A1615" s="5">
        <v>1614</v>
      </c>
      <c r="B1615" s="6" t="s">
        <v>9</v>
      </c>
      <c r="C1615" s="7">
        <v>1884</v>
      </c>
      <c r="D1615" s="8">
        <v>45402</v>
      </c>
      <c r="E1615" s="9" t="str">
        <f>+HYPERLINK("http://trademark.i-assist.jp/data/china/image_1884th/76698501.pdf", "76698501")</f>
        <v>76698501</v>
      </c>
      <c r="F1615" s="6" t="s">
        <v>4361</v>
      </c>
      <c r="G1615" s="6" t="s">
        <v>4360</v>
      </c>
      <c r="H1615" s="8" t="s">
        <v>4362</v>
      </c>
      <c r="I1615" s="14">
        <v>45321</v>
      </c>
    </row>
    <row r="1616" spans="1:9" x14ac:dyDescent="0.15">
      <c r="A1616" s="5">
        <v>1615</v>
      </c>
      <c r="B1616" s="6" t="s">
        <v>9</v>
      </c>
      <c r="C1616" s="7">
        <v>1884</v>
      </c>
      <c r="D1616" s="8">
        <v>45402</v>
      </c>
      <c r="E1616" s="9" t="str">
        <f>+HYPERLINK("http://trademark.i-assist.jp/data/china/image_1884th/76698769.pdf", "76698769")</f>
        <v>76698769</v>
      </c>
      <c r="F1616" s="6" t="s">
        <v>4364</v>
      </c>
      <c r="G1616" s="6" t="s">
        <v>4363</v>
      </c>
      <c r="H1616" s="8" t="s">
        <v>4365</v>
      </c>
      <c r="I1616" s="14">
        <v>45322</v>
      </c>
    </row>
    <row r="1617" spans="1:9" x14ac:dyDescent="0.15">
      <c r="A1617" s="5">
        <v>1616</v>
      </c>
      <c r="B1617" s="6" t="s">
        <v>9</v>
      </c>
      <c r="C1617" s="7">
        <v>1884</v>
      </c>
      <c r="D1617" s="8">
        <v>45402</v>
      </c>
      <c r="E1617" s="9" t="str">
        <f>+HYPERLINK("http://trademark.i-assist.jp/data/china/image_1884th/76699056.pdf", "76699056")</f>
        <v>76699056</v>
      </c>
      <c r="F1617" s="6" t="s">
        <v>4367</v>
      </c>
      <c r="G1617" s="6" t="s">
        <v>4366</v>
      </c>
      <c r="H1617" s="8" t="s">
        <v>4368</v>
      </c>
      <c r="I1617" s="14">
        <v>45322</v>
      </c>
    </row>
    <row r="1618" spans="1:9" x14ac:dyDescent="0.15">
      <c r="A1618" s="5">
        <v>1617</v>
      </c>
      <c r="B1618" s="6" t="s">
        <v>9</v>
      </c>
      <c r="C1618" s="7">
        <v>1884</v>
      </c>
      <c r="D1618" s="8">
        <v>45402</v>
      </c>
      <c r="E1618" s="9" t="str">
        <f>+HYPERLINK("http://trademark.i-assist.jp/data/china/image_1884th/76699121.pdf", "76699121")</f>
        <v>76699121</v>
      </c>
      <c r="F1618" s="6" t="s">
        <v>4370</v>
      </c>
      <c r="G1618" s="6" t="s">
        <v>4369</v>
      </c>
      <c r="H1618" s="8" t="s">
        <v>4371</v>
      </c>
      <c r="I1618" s="14">
        <v>45322</v>
      </c>
    </row>
    <row r="1619" spans="1:9" x14ac:dyDescent="0.15">
      <c r="A1619" s="5">
        <v>1618</v>
      </c>
      <c r="B1619" s="6" t="s">
        <v>9</v>
      </c>
      <c r="C1619" s="7">
        <v>1884</v>
      </c>
      <c r="D1619" s="8">
        <v>45402</v>
      </c>
      <c r="E1619" s="9" t="str">
        <f>+HYPERLINK("http://trademark.i-assist.jp/data/china/image_1884th/76699136.pdf", "76699136")</f>
        <v>76699136</v>
      </c>
      <c r="F1619" s="6" t="s">
        <v>4373</v>
      </c>
      <c r="G1619" s="6" t="s">
        <v>4372</v>
      </c>
      <c r="H1619" s="8" t="s">
        <v>4374</v>
      </c>
      <c r="I1619" s="14">
        <v>45322</v>
      </c>
    </row>
    <row r="1620" spans="1:9" x14ac:dyDescent="0.15">
      <c r="A1620" s="5">
        <v>1619</v>
      </c>
      <c r="B1620" s="6" t="s">
        <v>9</v>
      </c>
      <c r="C1620" s="7">
        <v>1884</v>
      </c>
      <c r="D1620" s="8">
        <v>45402</v>
      </c>
      <c r="E1620" s="9" t="str">
        <f>+HYPERLINK("http://trademark.i-assist.jp/data/china/image_1884th/76699160.pdf", "76699160")</f>
        <v>76699160</v>
      </c>
      <c r="F1620" s="6" t="s">
        <v>4376</v>
      </c>
      <c r="G1620" s="6" t="s">
        <v>4375</v>
      </c>
      <c r="H1620" s="8" t="s">
        <v>4377</v>
      </c>
      <c r="I1620" s="14">
        <v>45322</v>
      </c>
    </row>
    <row r="1621" spans="1:9" x14ac:dyDescent="0.15">
      <c r="A1621" s="5">
        <v>1620</v>
      </c>
      <c r="B1621" s="6" t="s">
        <v>9</v>
      </c>
      <c r="C1621" s="7">
        <v>1884</v>
      </c>
      <c r="D1621" s="8">
        <v>45402</v>
      </c>
      <c r="E1621" s="9" t="str">
        <f>+HYPERLINK("http://trademark.i-assist.jp/data/china/image_1884th/76699185.pdf", "76699185")</f>
        <v>76699185</v>
      </c>
      <c r="F1621" s="6" t="s">
        <v>4379</v>
      </c>
      <c r="G1621" s="6" t="s">
        <v>4378</v>
      </c>
      <c r="H1621" s="8" t="s">
        <v>4380</v>
      </c>
      <c r="I1621" s="14">
        <v>45322</v>
      </c>
    </row>
    <row r="1622" spans="1:9" x14ac:dyDescent="0.15">
      <c r="A1622" s="5">
        <v>1621</v>
      </c>
      <c r="B1622" s="6" t="s">
        <v>9</v>
      </c>
      <c r="C1622" s="7">
        <v>1884</v>
      </c>
      <c r="D1622" s="8">
        <v>45402</v>
      </c>
      <c r="E1622" s="9" t="str">
        <f>+HYPERLINK("http://trademark.i-assist.jp/data/china/image_1884th/76699263.pdf", "76699263")</f>
        <v>76699263</v>
      </c>
      <c r="F1622" s="6" t="s">
        <v>4381</v>
      </c>
      <c r="G1622" s="6" t="s">
        <v>1105</v>
      </c>
      <c r="H1622" s="8" t="s">
        <v>4382</v>
      </c>
      <c r="I1622" s="14">
        <v>45322</v>
      </c>
    </row>
    <row r="1623" spans="1:9" x14ac:dyDescent="0.15">
      <c r="A1623" s="5">
        <v>1622</v>
      </c>
      <c r="B1623" s="6" t="s">
        <v>9</v>
      </c>
      <c r="C1623" s="7">
        <v>1884</v>
      </c>
      <c r="D1623" s="8">
        <v>45402</v>
      </c>
      <c r="E1623" s="9" t="str">
        <f>+HYPERLINK("http://trademark.i-assist.jp/data/china/image_1884th/76699428.pdf", "76699428")</f>
        <v>76699428</v>
      </c>
      <c r="F1623" s="6" t="s">
        <v>4384</v>
      </c>
      <c r="G1623" s="6" t="s">
        <v>4383</v>
      </c>
      <c r="H1623" s="8" t="s">
        <v>4385</v>
      </c>
      <c r="I1623" s="14">
        <v>45322</v>
      </c>
    </row>
    <row r="1624" spans="1:9" x14ac:dyDescent="0.15">
      <c r="A1624" s="5">
        <v>1623</v>
      </c>
      <c r="B1624" s="6" t="s">
        <v>9</v>
      </c>
      <c r="C1624" s="7">
        <v>1884</v>
      </c>
      <c r="D1624" s="8">
        <v>45402</v>
      </c>
      <c r="E1624" s="9" t="str">
        <f>+HYPERLINK("http://trademark.i-assist.jp/data/china/image_1884th/76699499.pdf", "76699499")</f>
        <v>76699499</v>
      </c>
      <c r="F1624" s="6" t="s">
        <v>4386</v>
      </c>
      <c r="G1624" s="6" t="s">
        <v>26</v>
      </c>
      <c r="H1624" s="8" t="s">
        <v>4387</v>
      </c>
      <c r="I1624" s="14">
        <v>45322</v>
      </c>
    </row>
    <row r="1625" spans="1:9" x14ac:dyDescent="0.15">
      <c r="A1625" s="5">
        <v>1624</v>
      </c>
      <c r="B1625" s="6" t="s">
        <v>9</v>
      </c>
      <c r="C1625" s="7">
        <v>1884</v>
      </c>
      <c r="D1625" s="8">
        <v>45402</v>
      </c>
      <c r="E1625" s="9" t="str">
        <f>+HYPERLINK("http://trademark.i-assist.jp/data/china/image_1884th/76700011.pdf", "76700011")</f>
        <v>76700011</v>
      </c>
      <c r="F1625" s="6" t="s">
        <v>4389</v>
      </c>
      <c r="G1625" s="6" t="s">
        <v>4388</v>
      </c>
      <c r="H1625" s="8" t="s">
        <v>4390</v>
      </c>
      <c r="I1625" s="14">
        <v>45322</v>
      </c>
    </row>
    <row r="1626" spans="1:9" x14ac:dyDescent="0.15">
      <c r="A1626" s="5">
        <v>1625</v>
      </c>
      <c r="B1626" s="6" t="s">
        <v>9</v>
      </c>
      <c r="C1626" s="7">
        <v>1884</v>
      </c>
      <c r="D1626" s="8">
        <v>45402</v>
      </c>
      <c r="E1626" s="9" t="str">
        <f>+HYPERLINK("http://trademark.i-assist.jp/data/china/image_1884th/76700139.pdf", "76700139")</f>
        <v>76700139</v>
      </c>
      <c r="F1626" s="6" t="s">
        <v>4391</v>
      </c>
      <c r="G1626" s="6" t="s">
        <v>11</v>
      </c>
      <c r="H1626" s="8" t="s">
        <v>4392</v>
      </c>
      <c r="I1626" s="14">
        <v>45322</v>
      </c>
    </row>
    <row r="1627" spans="1:9" x14ac:dyDescent="0.15">
      <c r="A1627" s="5">
        <v>1626</v>
      </c>
      <c r="B1627" s="6" t="s">
        <v>9</v>
      </c>
      <c r="C1627" s="7">
        <v>1884</v>
      </c>
      <c r="D1627" s="8">
        <v>45402</v>
      </c>
      <c r="E1627" s="9" t="str">
        <f>+HYPERLINK("http://trademark.i-assist.jp/data/china/image_1884th/76700223.pdf", "76700223")</f>
        <v>76700223</v>
      </c>
      <c r="F1627" s="6" t="s">
        <v>4394</v>
      </c>
      <c r="G1627" s="6" t="s">
        <v>4393</v>
      </c>
      <c r="H1627" s="8" t="s">
        <v>4395</v>
      </c>
      <c r="I1627" s="14">
        <v>45322</v>
      </c>
    </row>
    <row r="1628" spans="1:9" x14ac:dyDescent="0.15">
      <c r="A1628" s="5">
        <v>1627</v>
      </c>
      <c r="B1628" s="6" t="s">
        <v>9</v>
      </c>
      <c r="C1628" s="7">
        <v>1884</v>
      </c>
      <c r="D1628" s="8">
        <v>45402</v>
      </c>
      <c r="E1628" s="9" t="str">
        <f>+HYPERLINK("http://trademark.i-assist.jp/data/china/image_1884th/76700231.pdf", "76700231")</f>
        <v>76700231</v>
      </c>
      <c r="F1628" s="6" t="s">
        <v>4397</v>
      </c>
      <c r="G1628" s="6" t="s">
        <v>4396</v>
      </c>
      <c r="H1628" s="8" t="s">
        <v>4398</v>
      </c>
      <c r="I1628" s="14">
        <v>45322</v>
      </c>
    </row>
    <row r="1629" spans="1:9" x14ac:dyDescent="0.15">
      <c r="A1629" s="5">
        <v>1628</v>
      </c>
      <c r="B1629" s="6" t="s">
        <v>9</v>
      </c>
      <c r="C1629" s="7">
        <v>1884</v>
      </c>
      <c r="D1629" s="8">
        <v>45402</v>
      </c>
      <c r="E1629" s="9" t="str">
        <f>+HYPERLINK("http://trademark.i-assist.jp/data/china/image_1884th/76700288.pdf", "76700288")</f>
        <v>76700288</v>
      </c>
      <c r="F1629" s="6" t="s">
        <v>4400</v>
      </c>
      <c r="G1629" s="6" t="s">
        <v>4399</v>
      </c>
      <c r="H1629" s="8" t="s">
        <v>4401</v>
      </c>
      <c r="I1629" s="14">
        <v>45322</v>
      </c>
    </row>
    <row r="1630" spans="1:9" x14ac:dyDescent="0.15">
      <c r="A1630" s="5">
        <v>1629</v>
      </c>
      <c r="B1630" s="6" t="s">
        <v>9</v>
      </c>
      <c r="C1630" s="7">
        <v>1884</v>
      </c>
      <c r="D1630" s="8">
        <v>45402</v>
      </c>
      <c r="E1630" s="9" t="str">
        <f>+HYPERLINK("http://trademark.i-assist.jp/data/china/image_1884th/76700493.pdf", "76700493")</f>
        <v>76700493</v>
      </c>
      <c r="F1630" s="6" t="s">
        <v>4403</v>
      </c>
      <c r="G1630" s="6" t="s">
        <v>4402</v>
      </c>
      <c r="H1630" s="8" t="s">
        <v>4404</v>
      </c>
      <c r="I1630" s="14">
        <v>45322</v>
      </c>
    </row>
    <row r="1631" spans="1:9" x14ac:dyDescent="0.15">
      <c r="A1631" s="5">
        <v>1630</v>
      </c>
      <c r="B1631" s="6" t="s">
        <v>9</v>
      </c>
      <c r="C1631" s="7">
        <v>1884</v>
      </c>
      <c r="D1631" s="8">
        <v>45402</v>
      </c>
      <c r="E1631" s="9" t="str">
        <f>+HYPERLINK("http://trademark.i-assist.jp/data/china/image_1884th/76700514.pdf", "76700514")</f>
        <v>76700514</v>
      </c>
      <c r="F1631" s="6" t="s">
        <v>4406</v>
      </c>
      <c r="G1631" s="6" t="s">
        <v>4405</v>
      </c>
      <c r="H1631" s="8" t="s">
        <v>4407</v>
      </c>
      <c r="I1631" s="14">
        <v>45322</v>
      </c>
    </row>
    <row r="1632" spans="1:9" x14ac:dyDescent="0.15">
      <c r="A1632" s="5">
        <v>1631</v>
      </c>
      <c r="B1632" s="6" t="s">
        <v>9</v>
      </c>
      <c r="C1632" s="7">
        <v>1884</v>
      </c>
      <c r="D1632" s="8">
        <v>45402</v>
      </c>
      <c r="E1632" s="9" t="str">
        <f>+HYPERLINK("http://trademark.i-assist.jp/data/china/image_1884th/76700620.pdf", "76700620")</f>
        <v>76700620</v>
      </c>
      <c r="F1632" s="6" t="s">
        <v>4409</v>
      </c>
      <c r="G1632" s="6" t="s">
        <v>4408</v>
      </c>
      <c r="H1632" s="8" t="s">
        <v>4410</v>
      </c>
      <c r="I1632" s="14">
        <v>45322</v>
      </c>
    </row>
    <row r="1633" spans="1:9" x14ac:dyDescent="0.15">
      <c r="A1633" s="5">
        <v>1632</v>
      </c>
      <c r="B1633" s="6" t="s">
        <v>9</v>
      </c>
      <c r="C1633" s="7">
        <v>1884</v>
      </c>
      <c r="D1633" s="8">
        <v>45402</v>
      </c>
      <c r="E1633" s="9" t="str">
        <f>+HYPERLINK("http://trademark.i-assist.jp/data/china/image_1884th/76700638.pdf", "76700638")</f>
        <v>76700638</v>
      </c>
      <c r="F1633" s="6" t="s">
        <v>4412</v>
      </c>
      <c r="G1633" s="6" t="s">
        <v>4411</v>
      </c>
      <c r="H1633" s="8" t="s">
        <v>3126</v>
      </c>
      <c r="I1633" s="14">
        <v>45322</v>
      </c>
    </row>
    <row r="1634" spans="1:9" x14ac:dyDescent="0.15">
      <c r="A1634" s="5">
        <v>1633</v>
      </c>
      <c r="B1634" s="6" t="s">
        <v>9</v>
      </c>
      <c r="C1634" s="7">
        <v>1884</v>
      </c>
      <c r="D1634" s="8">
        <v>45402</v>
      </c>
      <c r="E1634" s="9" t="str">
        <f>+HYPERLINK("http://trademark.i-assist.jp/data/china/image_1884th/76700693.pdf", "76700693")</f>
        <v>76700693</v>
      </c>
      <c r="F1634" s="6" t="s">
        <v>4414</v>
      </c>
      <c r="G1634" s="6" t="s">
        <v>4413</v>
      </c>
      <c r="H1634" s="8" t="s">
        <v>4415</v>
      </c>
      <c r="I1634" s="14">
        <v>45322</v>
      </c>
    </row>
    <row r="1635" spans="1:9" x14ac:dyDescent="0.15">
      <c r="A1635" s="5">
        <v>1634</v>
      </c>
      <c r="B1635" s="6" t="s">
        <v>9</v>
      </c>
      <c r="C1635" s="7">
        <v>1884</v>
      </c>
      <c r="D1635" s="8">
        <v>45402</v>
      </c>
      <c r="E1635" s="9" t="str">
        <f>+HYPERLINK("http://trademark.i-assist.jp/data/china/image_1884th/76700980.pdf", "76700980")</f>
        <v>76700980</v>
      </c>
      <c r="F1635" s="6" t="s">
        <v>167</v>
      </c>
      <c r="G1635" s="6" t="s">
        <v>4416</v>
      </c>
      <c r="H1635" s="8" t="s">
        <v>4417</v>
      </c>
      <c r="I1635" s="14">
        <v>45322</v>
      </c>
    </row>
    <row r="1636" spans="1:9" x14ac:dyDescent="0.15">
      <c r="A1636" s="5">
        <v>1635</v>
      </c>
      <c r="B1636" s="6" t="s">
        <v>9</v>
      </c>
      <c r="C1636" s="7">
        <v>1884</v>
      </c>
      <c r="D1636" s="8">
        <v>45402</v>
      </c>
      <c r="E1636" s="9" t="str">
        <f>+HYPERLINK("http://trademark.i-assist.jp/data/china/image_1884th/76701298.pdf", "76701298")</f>
        <v>76701298</v>
      </c>
      <c r="F1636" s="6" t="s">
        <v>4419</v>
      </c>
      <c r="G1636" s="6" t="s">
        <v>4418</v>
      </c>
      <c r="H1636" s="8" t="s">
        <v>4420</v>
      </c>
      <c r="I1636" s="14">
        <v>45322</v>
      </c>
    </row>
    <row r="1637" spans="1:9" x14ac:dyDescent="0.15">
      <c r="A1637" s="5">
        <v>1636</v>
      </c>
      <c r="B1637" s="6" t="s">
        <v>9</v>
      </c>
      <c r="C1637" s="7">
        <v>1884</v>
      </c>
      <c r="D1637" s="8">
        <v>45402</v>
      </c>
      <c r="E1637" s="9" t="str">
        <f>+HYPERLINK("http://trademark.i-assist.jp/data/china/image_1884th/76701981.pdf", "76701981")</f>
        <v>76701981</v>
      </c>
      <c r="F1637" s="6" t="s">
        <v>4422</v>
      </c>
      <c r="G1637" s="6" t="s">
        <v>4421</v>
      </c>
      <c r="H1637" s="8" t="s">
        <v>4423</v>
      </c>
      <c r="I1637" s="14">
        <v>45322</v>
      </c>
    </row>
    <row r="1638" spans="1:9" x14ac:dyDescent="0.15">
      <c r="A1638" s="5">
        <v>1637</v>
      </c>
      <c r="B1638" s="6" t="s">
        <v>9</v>
      </c>
      <c r="C1638" s="7">
        <v>1884</v>
      </c>
      <c r="D1638" s="8">
        <v>45402</v>
      </c>
      <c r="E1638" s="9" t="str">
        <f>+HYPERLINK("http://trademark.i-assist.jp/data/china/image_1884th/76702012.pdf", "76702012")</f>
        <v>76702012</v>
      </c>
      <c r="F1638" s="6" t="s">
        <v>4425</v>
      </c>
      <c r="G1638" s="6" t="s">
        <v>4424</v>
      </c>
      <c r="H1638" s="8" t="s">
        <v>4426</v>
      </c>
      <c r="I1638" s="14">
        <v>45322</v>
      </c>
    </row>
    <row r="1639" spans="1:9" x14ac:dyDescent="0.15">
      <c r="A1639" s="5">
        <v>1638</v>
      </c>
      <c r="B1639" s="6" t="s">
        <v>9</v>
      </c>
      <c r="C1639" s="7">
        <v>1884</v>
      </c>
      <c r="D1639" s="8">
        <v>45402</v>
      </c>
      <c r="E1639" s="9" t="str">
        <f>+HYPERLINK("http://trademark.i-assist.jp/data/china/image_1884th/76702224.pdf", "76702224")</f>
        <v>76702224</v>
      </c>
      <c r="F1639" s="6" t="s">
        <v>4427</v>
      </c>
      <c r="G1639" s="6" t="s">
        <v>4375</v>
      </c>
      <c r="H1639" s="8" t="s">
        <v>4428</v>
      </c>
      <c r="I1639" s="14">
        <v>45322</v>
      </c>
    </row>
    <row r="1640" spans="1:9" x14ac:dyDescent="0.15">
      <c r="A1640" s="5">
        <v>1639</v>
      </c>
      <c r="B1640" s="6" t="s">
        <v>9</v>
      </c>
      <c r="C1640" s="7">
        <v>1884</v>
      </c>
      <c r="D1640" s="8">
        <v>45402</v>
      </c>
      <c r="E1640" s="9" t="str">
        <f>+HYPERLINK("http://trademark.i-assist.jp/data/china/image_1884th/76702312.pdf", "76702312")</f>
        <v>76702312</v>
      </c>
      <c r="F1640" s="6" t="s">
        <v>4429</v>
      </c>
      <c r="G1640" s="6" t="s">
        <v>1105</v>
      </c>
      <c r="H1640" s="8" t="s">
        <v>4430</v>
      </c>
      <c r="I1640" s="14">
        <v>45322</v>
      </c>
    </row>
    <row r="1641" spans="1:9" x14ac:dyDescent="0.15">
      <c r="A1641" s="5">
        <v>1640</v>
      </c>
      <c r="B1641" s="6" t="s">
        <v>9</v>
      </c>
      <c r="C1641" s="7">
        <v>1884</v>
      </c>
      <c r="D1641" s="8">
        <v>45402</v>
      </c>
      <c r="E1641" s="9" t="str">
        <f>+HYPERLINK("http://trademark.i-assist.jp/data/china/image_1884th/76702381.pdf", "76702381")</f>
        <v>76702381</v>
      </c>
      <c r="F1641" s="6" t="s">
        <v>4432</v>
      </c>
      <c r="G1641" s="6" t="s">
        <v>4431</v>
      </c>
      <c r="H1641" s="8" t="s">
        <v>4433</v>
      </c>
      <c r="I1641" s="14">
        <v>45322</v>
      </c>
    </row>
    <row r="1642" spans="1:9" x14ac:dyDescent="0.15">
      <c r="A1642" s="5">
        <v>1641</v>
      </c>
      <c r="B1642" s="6" t="s">
        <v>9</v>
      </c>
      <c r="C1642" s="7">
        <v>1884</v>
      </c>
      <c r="D1642" s="8">
        <v>45402</v>
      </c>
      <c r="E1642" s="9" t="str">
        <f>+HYPERLINK("http://trademark.i-assist.jp/data/china/image_1884th/76702549.pdf", "76702549")</f>
        <v>76702549</v>
      </c>
      <c r="F1642" s="6" t="s">
        <v>4435</v>
      </c>
      <c r="G1642" s="6" t="s">
        <v>4434</v>
      </c>
      <c r="H1642" s="8" t="s">
        <v>4436</v>
      </c>
      <c r="I1642" s="14">
        <v>45322</v>
      </c>
    </row>
    <row r="1643" spans="1:9" x14ac:dyDescent="0.15">
      <c r="A1643" s="5">
        <v>1642</v>
      </c>
      <c r="B1643" s="6" t="s">
        <v>9</v>
      </c>
      <c r="C1643" s="7">
        <v>1884</v>
      </c>
      <c r="D1643" s="8">
        <v>45402</v>
      </c>
      <c r="E1643" s="9" t="str">
        <f>+HYPERLINK("http://trademark.i-assist.jp/data/china/image_1884th/76702776.pdf", "76702776")</f>
        <v>76702776</v>
      </c>
      <c r="F1643" s="6" t="s">
        <v>4438</v>
      </c>
      <c r="G1643" s="6" t="s">
        <v>4437</v>
      </c>
      <c r="H1643" s="8" t="s">
        <v>4341</v>
      </c>
      <c r="I1643" s="14">
        <v>45321</v>
      </c>
    </row>
    <row r="1644" spans="1:9" x14ac:dyDescent="0.15">
      <c r="A1644" s="5">
        <v>1643</v>
      </c>
      <c r="B1644" s="6" t="s">
        <v>9</v>
      </c>
      <c r="C1644" s="7">
        <v>1884</v>
      </c>
      <c r="D1644" s="8">
        <v>45402</v>
      </c>
      <c r="E1644" s="9" t="str">
        <f>+HYPERLINK("http://trademark.i-assist.jp/data/china/image_1884th/76702826.pdf", "76702826")</f>
        <v>76702826</v>
      </c>
      <c r="F1644" s="6" t="s">
        <v>4439</v>
      </c>
      <c r="G1644" s="6" t="s">
        <v>4383</v>
      </c>
      <c r="H1644" s="8" t="s">
        <v>4385</v>
      </c>
      <c r="I1644" s="14">
        <v>45322</v>
      </c>
    </row>
    <row r="1645" spans="1:9" x14ac:dyDescent="0.15">
      <c r="A1645" s="5">
        <v>1644</v>
      </c>
      <c r="B1645" s="6" t="s">
        <v>9</v>
      </c>
      <c r="C1645" s="7">
        <v>1884</v>
      </c>
      <c r="D1645" s="8">
        <v>45402</v>
      </c>
      <c r="E1645" s="9" t="str">
        <f>+HYPERLINK("http://trademark.i-assist.jp/data/china/image_1884th/76702827.pdf", "76702827")</f>
        <v>76702827</v>
      </c>
      <c r="F1645" s="6" t="s">
        <v>4441</v>
      </c>
      <c r="G1645" s="6" t="s">
        <v>4440</v>
      </c>
      <c r="H1645" s="8" t="s">
        <v>4442</v>
      </c>
      <c r="I1645" s="14">
        <v>45322</v>
      </c>
    </row>
    <row r="1646" spans="1:9" x14ac:dyDescent="0.15">
      <c r="A1646" s="5">
        <v>1645</v>
      </c>
      <c r="B1646" s="6" t="s">
        <v>9</v>
      </c>
      <c r="C1646" s="7">
        <v>1884</v>
      </c>
      <c r="D1646" s="8">
        <v>45402</v>
      </c>
      <c r="E1646" s="9" t="str">
        <f>+HYPERLINK("http://trademark.i-assist.jp/data/china/image_1884th/76702918.pdf", "76702918")</f>
        <v>76702918</v>
      </c>
      <c r="F1646" s="6" t="s">
        <v>4443</v>
      </c>
      <c r="G1646" s="6" t="s">
        <v>21</v>
      </c>
      <c r="H1646" s="8" t="s">
        <v>4444</v>
      </c>
      <c r="I1646" s="14">
        <v>45322</v>
      </c>
    </row>
    <row r="1647" spans="1:9" x14ac:dyDescent="0.15">
      <c r="A1647" s="5">
        <v>1646</v>
      </c>
      <c r="B1647" s="6" t="s">
        <v>9</v>
      </c>
      <c r="C1647" s="7">
        <v>1884</v>
      </c>
      <c r="D1647" s="8">
        <v>45402</v>
      </c>
      <c r="E1647" s="9" t="str">
        <f>+HYPERLINK("http://trademark.i-assist.jp/data/china/image_1884th/76703053.pdf", "76703053")</f>
        <v>76703053</v>
      </c>
      <c r="F1647" s="6" t="s">
        <v>4445</v>
      </c>
      <c r="G1647" s="6" t="s">
        <v>1105</v>
      </c>
      <c r="H1647" s="8" t="s">
        <v>4446</v>
      </c>
      <c r="I1647" s="14">
        <v>45322</v>
      </c>
    </row>
    <row r="1648" spans="1:9" x14ac:dyDescent="0.15">
      <c r="A1648" s="5">
        <v>1647</v>
      </c>
      <c r="B1648" s="6" t="s">
        <v>9</v>
      </c>
      <c r="C1648" s="7">
        <v>1884</v>
      </c>
      <c r="D1648" s="8">
        <v>45402</v>
      </c>
      <c r="E1648" s="9" t="str">
        <f>+HYPERLINK("http://trademark.i-assist.jp/data/china/image_1884th/76703390.pdf", "76703390")</f>
        <v>76703390</v>
      </c>
      <c r="F1648" s="6" t="s">
        <v>4448</v>
      </c>
      <c r="G1648" s="6" t="s">
        <v>4447</v>
      </c>
      <c r="H1648" s="8" t="s">
        <v>4449</v>
      </c>
      <c r="I1648" s="14">
        <v>45322</v>
      </c>
    </row>
    <row r="1649" spans="1:9" x14ac:dyDescent="0.15">
      <c r="A1649" s="5">
        <v>1648</v>
      </c>
      <c r="B1649" s="6" t="s">
        <v>9</v>
      </c>
      <c r="C1649" s="7">
        <v>1884</v>
      </c>
      <c r="D1649" s="8">
        <v>45402</v>
      </c>
      <c r="E1649" s="9" t="str">
        <f>+HYPERLINK("http://trademark.i-assist.jp/data/china/image_1884th/76703451.pdf", "76703451")</f>
        <v>76703451</v>
      </c>
      <c r="F1649" s="6" t="s">
        <v>4451</v>
      </c>
      <c r="G1649" s="6" t="s">
        <v>4450</v>
      </c>
      <c r="H1649" s="8" t="s">
        <v>4452</v>
      </c>
      <c r="I1649" s="14">
        <v>45322</v>
      </c>
    </row>
    <row r="1650" spans="1:9" x14ac:dyDescent="0.15">
      <c r="A1650" s="5">
        <v>1649</v>
      </c>
      <c r="B1650" s="6" t="s">
        <v>9</v>
      </c>
      <c r="C1650" s="7">
        <v>1884</v>
      </c>
      <c r="D1650" s="8">
        <v>45402</v>
      </c>
      <c r="E1650" s="9" t="str">
        <f>+HYPERLINK("http://trademark.i-assist.jp/data/china/image_1884th/76703586.pdf", "76703586")</f>
        <v>76703586</v>
      </c>
      <c r="F1650" s="6" t="s">
        <v>4454</v>
      </c>
      <c r="G1650" s="6" t="s">
        <v>4453</v>
      </c>
      <c r="H1650" s="8" t="s">
        <v>4455</v>
      </c>
      <c r="I1650" s="14">
        <v>45322</v>
      </c>
    </row>
    <row r="1651" spans="1:9" x14ac:dyDescent="0.15">
      <c r="A1651" s="5">
        <v>1650</v>
      </c>
      <c r="B1651" s="6" t="s">
        <v>9</v>
      </c>
      <c r="C1651" s="7">
        <v>1884</v>
      </c>
      <c r="D1651" s="8">
        <v>45402</v>
      </c>
      <c r="E1651" s="9" t="str">
        <f>+HYPERLINK("http://trademark.i-assist.jp/data/china/image_1884th/76703930.pdf", "76703930")</f>
        <v>76703930</v>
      </c>
      <c r="F1651" s="6" t="s">
        <v>4457</v>
      </c>
      <c r="G1651" s="6" t="s">
        <v>4456</v>
      </c>
      <c r="H1651" s="8" t="s">
        <v>4458</v>
      </c>
      <c r="I1651" s="14">
        <v>45322</v>
      </c>
    </row>
    <row r="1652" spans="1:9" x14ac:dyDescent="0.15">
      <c r="A1652" s="5">
        <v>1651</v>
      </c>
      <c r="B1652" s="6" t="s">
        <v>9</v>
      </c>
      <c r="C1652" s="7">
        <v>1884</v>
      </c>
      <c r="D1652" s="8">
        <v>45402</v>
      </c>
      <c r="E1652" s="9" t="str">
        <f>+HYPERLINK("http://trademark.i-assist.jp/data/china/image_1884th/76703933.pdf", "76703933")</f>
        <v>76703933</v>
      </c>
      <c r="F1652" s="6" t="s">
        <v>4460</v>
      </c>
      <c r="G1652" s="6" t="s">
        <v>4459</v>
      </c>
      <c r="H1652" s="8" t="s">
        <v>4461</v>
      </c>
      <c r="I1652" s="14">
        <v>45322</v>
      </c>
    </row>
    <row r="1653" spans="1:9" x14ac:dyDescent="0.15">
      <c r="A1653" s="5">
        <v>1652</v>
      </c>
      <c r="B1653" s="6" t="s">
        <v>9</v>
      </c>
      <c r="C1653" s="7">
        <v>1884</v>
      </c>
      <c r="D1653" s="8">
        <v>45402</v>
      </c>
      <c r="E1653" s="9" t="str">
        <f>+HYPERLINK("http://trademark.i-assist.jp/data/china/image_1884th/76704150.pdf", "76704150")</f>
        <v>76704150</v>
      </c>
      <c r="F1653" s="6" t="s">
        <v>4463</v>
      </c>
      <c r="G1653" s="6" t="s">
        <v>4462</v>
      </c>
      <c r="H1653" s="8" t="s">
        <v>4464</v>
      </c>
      <c r="I1653" s="14">
        <v>45322</v>
      </c>
    </row>
    <row r="1654" spans="1:9" x14ac:dyDescent="0.15">
      <c r="A1654" s="5">
        <v>1653</v>
      </c>
      <c r="B1654" s="6" t="s">
        <v>9</v>
      </c>
      <c r="C1654" s="7">
        <v>1884</v>
      </c>
      <c r="D1654" s="8">
        <v>45402</v>
      </c>
      <c r="E1654" s="9" t="str">
        <f>+HYPERLINK("http://trademark.i-assist.jp/data/china/image_1884th/76704664.pdf", "76704664")</f>
        <v>76704664</v>
      </c>
      <c r="F1654" s="6" t="s">
        <v>4466</v>
      </c>
      <c r="G1654" s="6" t="s">
        <v>4465</v>
      </c>
      <c r="H1654" s="8" t="s">
        <v>4467</v>
      </c>
      <c r="I1654" s="14">
        <v>45322</v>
      </c>
    </row>
    <row r="1655" spans="1:9" x14ac:dyDescent="0.15">
      <c r="A1655" s="5">
        <v>1654</v>
      </c>
      <c r="B1655" s="6" t="s">
        <v>9</v>
      </c>
      <c r="C1655" s="7">
        <v>1884</v>
      </c>
      <c r="D1655" s="8">
        <v>45402</v>
      </c>
      <c r="E1655" s="9" t="str">
        <f>+HYPERLINK("http://trademark.i-assist.jp/data/china/image_1884th/76704859.pdf", "76704859")</f>
        <v>76704859</v>
      </c>
      <c r="F1655" s="6" t="s">
        <v>4469</v>
      </c>
      <c r="G1655" s="6" t="s">
        <v>4468</v>
      </c>
      <c r="H1655" s="8" t="s">
        <v>4470</v>
      </c>
      <c r="I1655" s="14">
        <v>45322</v>
      </c>
    </row>
    <row r="1656" spans="1:9" x14ac:dyDescent="0.15">
      <c r="A1656" s="5">
        <v>1655</v>
      </c>
      <c r="B1656" s="6" t="s">
        <v>9</v>
      </c>
      <c r="C1656" s="7">
        <v>1884</v>
      </c>
      <c r="D1656" s="8">
        <v>45402</v>
      </c>
      <c r="E1656" s="9" t="str">
        <f>+HYPERLINK("http://trademark.i-assist.jp/data/china/image_1884th/76705090.pdf", "76705090")</f>
        <v>76705090</v>
      </c>
      <c r="F1656" s="6" t="s">
        <v>4472</v>
      </c>
      <c r="G1656" s="6" t="s">
        <v>4471</v>
      </c>
      <c r="H1656" s="8" t="s">
        <v>4473</v>
      </c>
      <c r="I1656" s="14">
        <v>45322</v>
      </c>
    </row>
    <row r="1657" spans="1:9" x14ac:dyDescent="0.15">
      <c r="A1657" s="5">
        <v>1656</v>
      </c>
      <c r="B1657" s="6" t="s">
        <v>9</v>
      </c>
      <c r="C1657" s="7">
        <v>1884</v>
      </c>
      <c r="D1657" s="8">
        <v>45402</v>
      </c>
      <c r="E1657" s="9" t="str">
        <f>+HYPERLINK("http://trademark.i-assist.jp/data/china/image_1884th/76705396.pdf", "76705396")</f>
        <v>76705396</v>
      </c>
      <c r="F1657" s="6" t="s">
        <v>4474</v>
      </c>
      <c r="G1657" s="6" t="s">
        <v>20</v>
      </c>
      <c r="H1657" s="8" t="s">
        <v>4475</v>
      </c>
      <c r="I1657" s="14">
        <v>45322</v>
      </c>
    </row>
    <row r="1658" spans="1:9" x14ac:dyDescent="0.15">
      <c r="A1658" s="5">
        <v>1657</v>
      </c>
      <c r="B1658" s="6" t="s">
        <v>9</v>
      </c>
      <c r="C1658" s="7">
        <v>1884</v>
      </c>
      <c r="D1658" s="8">
        <v>45402</v>
      </c>
      <c r="E1658" s="9" t="str">
        <f>+HYPERLINK("http://trademark.i-assist.jp/data/china/image_1884th/76705877.pdf", "76705877")</f>
        <v>76705877</v>
      </c>
      <c r="F1658" s="6" t="s">
        <v>4477</v>
      </c>
      <c r="G1658" s="6" t="s">
        <v>4476</v>
      </c>
      <c r="H1658" s="8" t="s">
        <v>4478</v>
      </c>
      <c r="I1658" s="14">
        <v>45322</v>
      </c>
    </row>
    <row r="1659" spans="1:9" x14ac:dyDescent="0.15">
      <c r="A1659" s="5">
        <v>1658</v>
      </c>
      <c r="B1659" s="6" t="s">
        <v>9</v>
      </c>
      <c r="C1659" s="7">
        <v>1884</v>
      </c>
      <c r="D1659" s="8">
        <v>45402</v>
      </c>
      <c r="E1659" s="9" t="str">
        <f>+HYPERLINK("http://trademark.i-assist.jp/data/china/image_1884th/76706132.pdf", "76706132")</f>
        <v>76706132</v>
      </c>
      <c r="F1659" s="6" t="s">
        <v>4480</v>
      </c>
      <c r="G1659" s="6" t="s">
        <v>4479</v>
      </c>
      <c r="H1659" s="8" t="s">
        <v>4481</v>
      </c>
      <c r="I1659" s="14">
        <v>45322</v>
      </c>
    </row>
    <row r="1660" spans="1:9" x14ac:dyDescent="0.15">
      <c r="A1660" s="5">
        <v>1659</v>
      </c>
      <c r="B1660" s="6" t="s">
        <v>9</v>
      </c>
      <c r="C1660" s="7">
        <v>1884</v>
      </c>
      <c r="D1660" s="8">
        <v>45402</v>
      </c>
      <c r="E1660" s="9" t="str">
        <f>+HYPERLINK("http://trademark.i-assist.jp/data/china/image_1884th/76706195.pdf", "76706195")</f>
        <v>76706195</v>
      </c>
      <c r="F1660" s="6" t="s">
        <v>4482</v>
      </c>
      <c r="G1660" s="6" t="s">
        <v>3709</v>
      </c>
      <c r="H1660" s="8" t="s">
        <v>4483</v>
      </c>
      <c r="I1660" s="14">
        <v>45322</v>
      </c>
    </row>
    <row r="1661" spans="1:9" x14ac:dyDescent="0.15">
      <c r="A1661" s="5">
        <v>1660</v>
      </c>
      <c r="B1661" s="6" t="s">
        <v>9</v>
      </c>
      <c r="C1661" s="7">
        <v>1884</v>
      </c>
      <c r="D1661" s="8">
        <v>45402</v>
      </c>
      <c r="E1661" s="9" t="str">
        <f>+HYPERLINK("http://trademark.i-assist.jp/data/china/image_1884th/76707476.pdf", "76707476")</f>
        <v>76707476</v>
      </c>
      <c r="F1661" s="6" t="s">
        <v>4484</v>
      </c>
      <c r="G1661" s="6" t="s">
        <v>4393</v>
      </c>
      <c r="H1661" s="8" t="s">
        <v>4395</v>
      </c>
      <c r="I1661" s="14">
        <v>45322</v>
      </c>
    </row>
    <row r="1662" spans="1:9" x14ac:dyDescent="0.15">
      <c r="A1662" s="5">
        <v>1661</v>
      </c>
      <c r="B1662" s="6" t="s">
        <v>9</v>
      </c>
      <c r="C1662" s="7">
        <v>1884</v>
      </c>
      <c r="D1662" s="8">
        <v>45402</v>
      </c>
      <c r="E1662" s="9" t="str">
        <f>+HYPERLINK("http://trademark.i-assist.jp/data/china/image_1884th/76707520.pdf", "76707520")</f>
        <v>76707520</v>
      </c>
      <c r="F1662" s="6" t="s">
        <v>4485</v>
      </c>
      <c r="G1662" s="6" t="s">
        <v>4405</v>
      </c>
      <c r="H1662" s="8" t="s">
        <v>4486</v>
      </c>
      <c r="I1662" s="14">
        <v>45322</v>
      </c>
    </row>
    <row r="1663" spans="1:9" x14ac:dyDescent="0.15">
      <c r="A1663" s="5">
        <v>1662</v>
      </c>
      <c r="B1663" s="6" t="s">
        <v>9</v>
      </c>
      <c r="C1663" s="7">
        <v>1884</v>
      </c>
      <c r="D1663" s="8">
        <v>45402</v>
      </c>
      <c r="E1663" s="9" t="str">
        <f>+HYPERLINK("http://trademark.i-assist.jp/data/china/image_1884th/76707733.pdf", "76707733")</f>
        <v>76707733</v>
      </c>
      <c r="F1663" s="6" t="s">
        <v>4488</v>
      </c>
      <c r="G1663" s="6" t="s">
        <v>4487</v>
      </c>
      <c r="H1663" s="8" t="s">
        <v>4489</v>
      </c>
      <c r="I1663" s="14">
        <v>45322</v>
      </c>
    </row>
    <row r="1664" spans="1:9" x14ac:dyDescent="0.15">
      <c r="A1664" s="5">
        <v>1663</v>
      </c>
      <c r="B1664" s="6" t="s">
        <v>9</v>
      </c>
      <c r="C1664" s="7">
        <v>1884</v>
      </c>
      <c r="D1664" s="8">
        <v>45402</v>
      </c>
      <c r="E1664" s="9" t="str">
        <f>+HYPERLINK("http://trademark.i-assist.jp/data/china/image_1884th/76707779.pdf", "76707779")</f>
        <v>76707779</v>
      </c>
      <c r="F1664" s="6" t="s">
        <v>4491</v>
      </c>
      <c r="G1664" s="6" t="s">
        <v>4490</v>
      </c>
      <c r="H1664" s="8" t="s">
        <v>4492</v>
      </c>
      <c r="I1664" s="14">
        <v>45322</v>
      </c>
    </row>
    <row r="1665" spans="1:9" x14ac:dyDescent="0.15">
      <c r="A1665" s="5">
        <v>1664</v>
      </c>
      <c r="B1665" s="6" t="s">
        <v>9</v>
      </c>
      <c r="C1665" s="7">
        <v>1884</v>
      </c>
      <c r="D1665" s="8">
        <v>45402</v>
      </c>
      <c r="E1665" s="9" t="str">
        <f>+HYPERLINK("http://trademark.i-assist.jp/data/china/image_1884th/76707890.pdf", "76707890")</f>
        <v>76707890</v>
      </c>
      <c r="F1665" s="6" t="s">
        <v>4494</v>
      </c>
      <c r="G1665" s="6" t="s">
        <v>4493</v>
      </c>
      <c r="H1665" s="8" t="s">
        <v>4495</v>
      </c>
      <c r="I1665" s="14">
        <v>45322</v>
      </c>
    </row>
    <row r="1666" spans="1:9" x14ac:dyDescent="0.15">
      <c r="A1666" s="5">
        <v>1665</v>
      </c>
      <c r="B1666" s="6" t="s">
        <v>9</v>
      </c>
      <c r="C1666" s="7">
        <v>1884</v>
      </c>
      <c r="D1666" s="8">
        <v>45402</v>
      </c>
      <c r="E1666" s="9" t="str">
        <f>+HYPERLINK("http://trademark.i-assist.jp/data/china/image_1884th/76708005.pdf", "76708005")</f>
        <v>76708005</v>
      </c>
      <c r="F1666" s="6" t="s">
        <v>4496</v>
      </c>
      <c r="G1666" s="6" t="s">
        <v>1105</v>
      </c>
      <c r="H1666" s="8" t="s">
        <v>4382</v>
      </c>
      <c r="I1666" s="14">
        <v>45322</v>
      </c>
    </row>
    <row r="1667" spans="1:9" x14ac:dyDescent="0.15">
      <c r="A1667" s="5">
        <v>1666</v>
      </c>
      <c r="B1667" s="6" t="s">
        <v>9</v>
      </c>
      <c r="C1667" s="7">
        <v>1884</v>
      </c>
      <c r="D1667" s="8">
        <v>45402</v>
      </c>
      <c r="E1667" s="9" t="str">
        <f>+HYPERLINK("http://trademark.i-assist.jp/data/china/image_1884th/76708564.pdf", "76708564")</f>
        <v>76708564</v>
      </c>
      <c r="F1667" s="6" t="s">
        <v>4498</v>
      </c>
      <c r="G1667" s="6" t="s">
        <v>4497</v>
      </c>
      <c r="H1667" s="8" t="s">
        <v>2252</v>
      </c>
      <c r="I1667" s="14">
        <v>45322</v>
      </c>
    </row>
    <row r="1668" spans="1:9" x14ac:dyDescent="0.15">
      <c r="A1668" s="5">
        <v>1667</v>
      </c>
      <c r="B1668" s="6" t="s">
        <v>9</v>
      </c>
      <c r="C1668" s="7">
        <v>1884</v>
      </c>
      <c r="D1668" s="8">
        <v>45402</v>
      </c>
      <c r="E1668" s="9" t="str">
        <f>+HYPERLINK("http://trademark.i-assist.jp/data/china/image_1884th/76709074.pdf", "76709074")</f>
        <v>76709074</v>
      </c>
      <c r="F1668" s="6" t="s">
        <v>4500</v>
      </c>
      <c r="G1668" s="6" t="s">
        <v>4499</v>
      </c>
      <c r="H1668" s="8" t="s">
        <v>4501</v>
      </c>
      <c r="I1668" s="14">
        <v>45322</v>
      </c>
    </row>
    <row r="1669" spans="1:9" x14ac:dyDescent="0.15">
      <c r="A1669" s="5">
        <v>1668</v>
      </c>
      <c r="B1669" s="6" t="s">
        <v>9</v>
      </c>
      <c r="C1669" s="7">
        <v>1884</v>
      </c>
      <c r="D1669" s="8">
        <v>45402</v>
      </c>
      <c r="E1669" s="9" t="str">
        <f>+HYPERLINK("http://trademark.i-assist.jp/data/china/image_1884th/76709169.pdf", "76709169")</f>
        <v>76709169</v>
      </c>
      <c r="F1669" s="6" t="s">
        <v>4503</v>
      </c>
      <c r="G1669" s="6" t="s">
        <v>4502</v>
      </c>
      <c r="H1669" s="8" t="s">
        <v>4504</v>
      </c>
      <c r="I1669" s="14">
        <v>45322</v>
      </c>
    </row>
    <row r="1670" spans="1:9" x14ac:dyDescent="0.15">
      <c r="A1670" s="5">
        <v>1669</v>
      </c>
      <c r="B1670" s="6" t="s">
        <v>9</v>
      </c>
      <c r="C1670" s="7">
        <v>1884</v>
      </c>
      <c r="D1670" s="8">
        <v>45402</v>
      </c>
      <c r="E1670" s="9" t="str">
        <f>+HYPERLINK("http://trademark.i-assist.jp/data/china/image_1884th/76709213.pdf", "76709213")</f>
        <v>76709213</v>
      </c>
      <c r="F1670" s="6" t="s">
        <v>4506</v>
      </c>
      <c r="G1670" s="6" t="s">
        <v>4505</v>
      </c>
      <c r="H1670" s="8" t="s">
        <v>4507</v>
      </c>
      <c r="I1670" s="14">
        <v>45322</v>
      </c>
    </row>
    <row r="1671" spans="1:9" x14ac:dyDescent="0.15">
      <c r="A1671" s="5">
        <v>1670</v>
      </c>
      <c r="B1671" s="6" t="s">
        <v>9</v>
      </c>
      <c r="C1671" s="7">
        <v>1884</v>
      </c>
      <c r="D1671" s="8">
        <v>45402</v>
      </c>
      <c r="E1671" s="9" t="str">
        <f>+HYPERLINK("http://trademark.i-assist.jp/data/china/image_1884th/76709275.pdf", "76709275")</f>
        <v>76709275</v>
      </c>
      <c r="F1671" s="6" t="s">
        <v>4509</v>
      </c>
      <c r="G1671" s="6" t="s">
        <v>4508</v>
      </c>
      <c r="H1671" s="8" t="s">
        <v>4510</v>
      </c>
      <c r="I1671" s="14">
        <v>45322</v>
      </c>
    </row>
    <row r="1672" spans="1:9" x14ac:dyDescent="0.15">
      <c r="A1672" s="5">
        <v>1671</v>
      </c>
      <c r="B1672" s="6" t="s">
        <v>9</v>
      </c>
      <c r="C1672" s="7">
        <v>1884</v>
      </c>
      <c r="D1672" s="8">
        <v>45402</v>
      </c>
      <c r="E1672" s="9" t="str">
        <f>+HYPERLINK("http://trademark.i-assist.jp/data/china/image_1884th/76709659.pdf", "76709659")</f>
        <v>76709659</v>
      </c>
      <c r="F1672" s="6" t="s">
        <v>4512</v>
      </c>
      <c r="G1672" s="6" t="s">
        <v>4511</v>
      </c>
      <c r="H1672" s="8" t="s">
        <v>4513</v>
      </c>
      <c r="I1672" s="14">
        <v>45322</v>
      </c>
    </row>
    <row r="1673" spans="1:9" x14ac:dyDescent="0.15">
      <c r="A1673" s="5">
        <v>1672</v>
      </c>
      <c r="B1673" s="6" t="s">
        <v>9</v>
      </c>
      <c r="C1673" s="7">
        <v>1884</v>
      </c>
      <c r="D1673" s="8">
        <v>45402</v>
      </c>
      <c r="E1673" s="9" t="str">
        <f>+HYPERLINK("http://trademark.i-assist.jp/data/china/image_1884th/76709960.pdf", "76709960")</f>
        <v>76709960</v>
      </c>
      <c r="F1673" s="6" t="s">
        <v>4515</v>
      </c>
      <c r="G1673" s="6" t="s">
        <v>4514</v>
      </c>
      <c r="H1673" s="8" t="s">
        <v>4516</v>
      </c>
      <c r="I1673" s="14">
        <v>45322</v>
      </c>
    </row>
    <row r="1674" spans="1:9" x14ac:dyDescent="0.15">
      <c r="A1674" s="5">
        <v>1673</v>
      </c>
      <c r="B1674" s="6" t="s">
        <v>9</v>
      </c>
      <c r="C1674" s="7">
        <v>1884</v>
      </c>
      <c r="D1674" s="8">
        <v>45402</v>
      </c>
      <c r="E1674" s="9" t="str">
        <f>+HYPERLINK("http://trademark.i-assist.jp/data/china/image_1884th/76710032.pdf", "76710032")</f>
        <v>76710032</v>
      </c>
      <c r="F1674" s="6" t="s">
        <v>4517</v>
      </c>
      <c r="G1674" s="6" t="s">
        <v>4405</v>
      </c>
      <c r="H1674" s="8" t="s">
        <v>4486</v>
      </c>
      <c r="I1674" s="14">
        <v>45322</v>
      </c>
    </row>
    <row r="1675" spans="1:9" x14ac:dyDescent="0.15">
      <c r="A1675" s="5">
        <v>1674</v>
      </c>
      <c r="B1675" s="6" t="s">
        <v>9</v>
      </c>
      <c r="C1675" s="7">
        <v>1884</v>
      </c>
      <c r="D1675" s="8">
        <v>45402</v>
      </c>
      <c r="E1675" s="9" t="str">
        <f>+HYPERLINK("http://trademark.i-assist.jp/data/china/image_1884th/76710434.pdf", "76710434")</f>
        <v>76710434</v>
      </c>
      <c r="F1675" s="6" t="s">
        <v>4518</v>
      </c>
      <c r="G1675" s="6" t="s">
        <v>4399</v>
      </c>
      <c r="H1675" s="8" t="s">
        <v>4401</v>
      </c>
      <c r="I1675" s="14">
        <v>45322</v>
      </c>
    </row>
    <row r="1676" spans="1:9" x14ac:dyDescent="0.15">
      <c r="A1676" s="5">
        <v>1675</v>
      </c>
      <c r="B1676" s="6" t="s">
        <v>9</v>
      </c>
      <c r="C1676" s="7">
        <v>1884</v>
      </c>
      <c r="D1676" s="8">
        <v>45402</v>
      </c>
      <c r="E1676" s="9" t="str">
        <f>+HYPERLINK("http://trademark.i-assist.jp/data/china/image_1884th/76710739.pdf", "76710739")</f>
        <v>76710739</v>
      </c>
      <c r="F1676" s="6" t="s">
        <v>4520</v>
      </c>
      <c r="G1676" s="6" t="s">
        <v>4519</v>
      </c>
      <c r="H1676" s="8" t="s">
        <v>4521</v>
      </c>
      <c r="I1676" s="14">
        <v>45322</v>
      </c>
    </row>
    <row r="1677" spans="1:9" x14ac:dyDescent="0.15">
      <c r="A1677" s="5">
        <v>1676</v>
      </c>
      <c r="B1677" s="6" t="s">
        <v>9</v>
      </c>
      <c r="C1677" s="7">
        <v>1884</v>
      </c>
      <c r="D1677" s="8">
        <v>45402</v>
      </c>
      <c r="E1677" s="9" t="str">
        <f>+HYPERLINK("http://trademark.i-assist.jp/data/china/image_1884th/76710766.pdf", "76710766")</f>
        <v>76710766</v>
      </c>
      <c r="F1677" s="6" t="s">
        <v>4522</v>
      </c>
      <c r="G1677" s="6" t="s">
        <v>4399</v>
      </c>
      <c r="H1677" s="8" t="s">
        <v>4401</v>
      </c>
      <c r="I1677" s="14">
        <v>45322</v>
      </c>
    </row>
    <row r="1678" spans="1:9" x14ac:dyDescent="0.15">
      <c r="A1678" s="5">
        <v>1677</v>
      </c>
      <c r="B1678" s="6" t="s">
        <v>9</v>
      </c>
      <c r="C1678" s="7">
        <v>1884</v>
      </c>
      <c r="D1678" s="8">
        <v>45402</v>
      </c>
      <c r="E1678" s="9" t="str">
        <f>+HYPERLINK("http://trademark.i-assist.jp/data/china/image_1884th/76710824.pdf", "76710824")</f>
        <v>76710824</v>
      </c>
      <c r="F1678" s="6" t="s">
        <v>4523</v>
      </c>
      <c r="G1678" s="6" t="s">
        <v>4468</v>
      </c>
      <c r="H1678" s="8" t="s">
        <v>4470</v>
      </c>
      <c r="I1678" s="14">
        <v>45322</v>
      </c>
    </row>
    <row r="1679" spans="1:9" x14ac:dyDescent="0.15">
      <c r="A1679" s="5">
        <v>1678</v>
      </c>
      <c r="B1679" s="6" t="s">
        <v>9</v>
      </c>
      <c r="C1679" s="7">
        <v>1884</v>
      </c>
      <c r="D1679" s="8">
        <v>45402</v>
      </c>
      <c r="E1679" s="9" t="str">
        <f>+HYPERLINK("http://trademark.i-assist.jp/data/china/image_1884th/76711490.pdf", "76711490")</f>
        <v>76711490</v>
      </c>
      <c r="F1679" s="6" t="s">
        <v>4525</v>
      </c>
      <c r="G1679" s="6" t="s">
        <v>4524</v>
      </c>
      <c r="H1679" s="8" t="s">
        <v>4526</v>
      </c>
      <c r="I1679" s="14">
        <v>45322</v>
      </c>
    </row>
    <row r="1680" spans="1:9" x14ac:dyDescent="0.15">
      <c r="A1680" s="5">
        <v>1679</v>
      </c>
      <c r="B1680" s="6" t="s">
        <v>9</v>
      </c>
      <c r="C1680" s="7">
        <v>1884</v>
      </c>
      <c r="D1680" s="8">
        <v>45402</v>
      </c>
      <c r="E1680" s="9" t="str">
        <f>+HYPERLINK("http://trademark.i-assist.jp/data/china/image_1884th/76711769.pdf", "76711769")</f>
        <v>76711769</v>
      </c>
      <c r="F1680" s="6" t="s">
        <v>4528</v>
      </c>
      <c r="G1680" s="6" t="s">
        <v>4527</v>
      </c>
      <c r="H1680" s="8" t="s">
        <v>4529</v>
      </c>
      <c r="I1680" s="14">
        <v>45322</v>
      </c>
    </row>
    <row r="1681" spans="1:9" x14ac:dyDescent="0.15">
      <c r="A1681" s="5">
        <v>1680</v>
      </c>
      <c r="B1681" s="6" t="s">
        <v>9</v>
      </c>
      <c r="C1681" s="7">
        <v>1884</v>
      </c>
      <c r="D1681" s="8">
        <v>45402</v>
      </c>
      <c r="E1681" s="9" t="str">
        <f>+HYPERLINK("http://trademark.i-assist.jp/data/china/image_1884th/76711950.pdf", "76711950")</f>
        <v>76711950</v>
      </c>
      <c r="F1681" s="6" t="s">
        <v>4531</v>
      </c>
      <c r="G1681" s="6" t="s">
        <v>4530</v>
      </c>
      <c r="H1681" s="8" t="s">
        <v>4532</v>
      </c>
      <c r="I1681" s="14">
        <v>45322</v>
      </c>
    </row>
    <row r="1682" spans="1:9" x14ac:dyDescent="0.15">
      <c r="A1682" s="5">
        <v>1681</v>
      </c>
      <c r="B1682" s="6" t="s">
        <v>9</v>
      </c>
      <c r="C1682" s="7">
        <v>1884</v>
      </c>
      <c r="D1682" s="8">
        <v>45402</v>
      </c>
      <c r="E1682" s="9" t="str">
        <f>+HYPERLINK("http://trademark.i-assist.jp/data/china/image_1884th/76711957.pdf", "76711957")</f>
        <v>76711957</v>
      </c>
      <c r="F1682" s="6" t="s">
        <v>4533</v>
      </c>
      <c r="G1682" s="6" t="s">
        <v>1105</v>
      </c>
      <c r="H1682" s="8" t="s">
        <v>4382</v>
      </c>
      <c r="I1682" s="14">
        <v>45322</v>
      </c>
    </row>
    <row r="1683" spans="1:9" x14ac:dyDescent="0.15">
      <c r="A1683" s="5">
        <v>1682</v>
      </c>
      <c r="B1683" s="6" t="s">
        <v>9</v>
      </c>
      <c r="C1683" s="7">
        <v>1884</v>
      </c>
      <c r="D1683" s="8">
        <v>45402</v>
      </c>
      <c r="E1683" s="9" t="str">
        <f>+HYPERLINK("http://trademark.i-assist.jp/data/china/image_1884th/76712113.pdf", "76712113")</f>
        <v>76712113</v>
      </c>
      <c r="F1683" s="6" t="s">
        <v>4535</v>
      </c>
      <c r="G1683" s="6" t="s">
        <v>4534</v>
      </c>
      <c r="H1683" s="8" t="s">
        <v>2949</v>
      </c>
      <c r="I1683" s="14">
        <v>45322</v>
      </c>
    </row>
    <row r="1684" spans="1:9" x14ac:dyDescent="0.15">
      <c r="A1684" s="5">
        <v>1683</v>
      </c>
      <c r="B1684" s="6" t="s">
        <v>9</v>
      </c>
      <c r="C1684" s="7">
        <v>1884</v>
      </c>
      <c r="D1684" s="8">
        <v>45402</v>
      </c>
      <c r="E1684" s="9" t="str">
        <f>+HYPERLINK("http://trademark.i-assist.jp/data/china/image_1884th/76712475.pdf", "76712475")</f>
        <v>76712475</v>
      </c>
      <c r="F1684" s="6" t="s">
        <v>4537</v>
      </c>
      <c r="G1684" s="6" t="s">
        <v>4536</v>
      </c>
      <c r="H1684" s="8" t="s">
        <v>4538</v>
      </c>
      <c r="I1684" s="14">
        <v>45322</v>
      </c>
    </row>
    <row r="1685" spans="1:9" x14ac:dyDescent="0.15">
      <c r="A1685" s="5">
        <v>1684</v>
      </c>
      <c r="B1685" s="6" t="s">
        <v>9</v>
      </c>
      <c r="C1685" s="7">
        <v>1884</v>
      </c>
      <c r="D1685" s="8">
        <v>45402</v>
      </c>
      <c r="E1685" s="9" t="str">
        <f>+HYPERLINK("http://trademark.i-assist.jp/data/china/image_1884th/76712748.pdf", "76712748")</f>
        <v>76712748</v>
      </c>
      <c r="F1685" s="6" t="s">
        <v>4539</v>
      </c>
      <c r="G1685" s="6" t="s">
        <v>1105</v>
      </c>
      <c r="H1685" s="8" t="s">
        <v>4382</v>
      </c>
      <c r="I1685" s="14">
        <v>45322</v>
      </c>
    </row>
    <row r="1686" spans="1:9" x14ac:dyDescent="0.15">
      <c r="A1686" s="5">
        <v>1685</v>
      </c>
      <c r="B1686" s="6" t="s">
        <v>9</v>
      </c>
      <c r="C1686" s="7">
        <v>1884</v>
      </c>
      <c r="D1686" s="8">
        <v>45402</v>
      </c>
      <c r="E1686" s="9" t="str">
        <f>+HYPERLINK("http://trademark.i-assist.jp/data/china/image_1884th/76712769.pdf", "76712769")</f>
        <v>76712769</v>
      </c>
      <c r="F1686" s="6" t="s">
        <v>4540</v>
      </c>
      <c r="G1686" s="6" t="s">
        <v>1105</v>
      </c>
      <c r="H1686" s="8" t="s">
        <v>4382</v>
      </c>
      <c r="I1686" s="14">
        <v>45322</v>
      </c>
    </row>
    <row r="1687" spans="1:9" x14ac:dyDescent="0.15">
      <c r="A1687" s="5">
        <v>1686</v>
      </c>
      <c r="B1687" s="6" t="s">
        <v>9</v>
      </c>
      <c r="C1687" s="7">
        <v>1884</v>
      </c>
      <c r="D1687" s="8">
        <v>45402</v>
      </c>
      <c r="E1687" s="9" t="str">
        <f>+HYPERLINK("http://trademark.i-assist.jp/data/china/image_1884th/76713151.pdf", "76713151")</f>
        <v>76713151</v>
      </c>
      <c r="F1687" s="6" t="s">
        <v>4542</v>
      </c>
      <c r="G1687" s="6" t="s">
        <v>4541</v>
      </c>
      <c r="H1687" s="8" t="s">
        <v>4543</v>
      </c>
      <c r="I1687" s="14">
        <v>45322</v>
      </c>
    </row>
    <row r="1688" spans="1:9" x14ac:dyDescent="0.15">
      <c r="A1688" s="5">
        <v>1687</v>
      </c>
      <c r="B1688" s="6" t="s">
        <v>9</v>
      </c>
      <c r="C1688" s="7">
        <v>1884</v>
      </c>
      <c r="D1688" s="8">
        <v>45402</v>
      </c>
      <c r="E1688" s="9" t="str">
        <f>+HYPERLINK("http://trademark.i-assist.jp/data/china/image_1884th/76713492.pdf", "76713492")</f>
        <v>76713492</v>
      </c>
      <c r="F1688" s="6" t="s">
        <v>4545</v>
      </c>
      <c r="G1688" s="6" t="s">
        <v>4544</v>
      </c>
      <c r="H1688" s="8" t="s">
        <v>4546</v>
      </c>
      <c r="I1688" s="14">
        <v>45322</v>
      </c>
    </row>
    <row r="1689" spans="1:9" x14ac:dyDescent="0.15">
      <c r="A1689" s="5">
        <v>1688</v>
      </c>
      <c r="B1689" s="6" t="s">
        <v>9</v>
      </c>
      <c r="C1689" s="7">
        <v>1884</v>
      </c>
      <c r="D1689" s="8">
        <v>45402</v>
      </c>
      <c r="E1689" s="9" t="str">
        <f>+HYPERLINK("http://trademark.i-assist.jp/data/china/image_1884th/76713876.pdf", "76713876")</f>
        <v>76713876</v>
      </c>
      <c r="F1689" s="6" t="s">
        <v>4548</v>
      </c>
      <c r="G1689" s="6" t="s">
        <v>4547</v>
      </c>
      <c r="H1689" s="8" t="s">
        <v>4549</v>
      </c>
      <c r="I1689" s="14">
        <v>45322</v>
      </c>
    </row>
    <row r="1690" spans="1:9" x14ac:dyDescent="0.15">
      <c r="A1690" s="5">
        <v>1689</v>
      </c>
      <c r="B1690" s="6" t="s">
        <v>9</v>
      </c>
      <c r="C1690" s="7">
        <v>1884</v>
      </c>
      <c r="D1690" s="8">
        <v>45402</v>
      </c>
      <c r="E1690" s="9" t="str">
        <f>+HYPERLINK("http://trademark.i-assist.jp/data/china/image_1884th/76714762.pdf", "76714762")</f>
        <v>76714762</v>
      </c>
      <c r="F1690" s="6" t="s">
        <v>4551</v>
      </c>
      <c r="G1690" s="6" t="s">
        <v>4550</v>
      </c>
      <c r="H1690" s="8" t="s">
        <v>4552</v>
      </c>
      <c r="I1690" s="14">
        <v>45322</v>
      </c>
    </row>
    <row r="1691" spans="1:9" x14ac:dyDescent="0.15">
      <c r="A1691" s="5">
        <v>1690</v>
      </c>
      <c r="B1691" s="6" t="s">
        <v>9</v>
      </c>
      <c r="C1691" s="7">
        <v>1884</v>
      </c>
      <c r="D1691" s="8">
        <v>45402</v>
      </c>
      <c r="E1691" s="9" t="str">
        <f>+HYPERLINK("http://trademark.i-assist.jp/data/china/image_1884th/76715090.pdf", "76715090")</f>
        <v>76715090</v>
      </c>
      <c r="F1691" s="6" t="s">
        <v>4553</v>
      </c>
      <c r="G1691" s="6" t="s">
        <v>11</v>
      </c>
      <c r="H1691" s="8" t="s">
        <v>4475</v>
      </c>
      <c r="I1691" s="14">
        <v>45322</v>
      </c>
    </row>
    <row r="1692" spans="1:9" x14ac:dyDescent="0.15">
      <c r="A1692" s="5">
        <v>1691</v>
      </c>
      <c r="B1692" s="6" t="s">
        <v>9</v>
      </c>
      <c r="C1692" s="7">
        <v>1884</v>
      </c>
      <c r="D1692" s="8">
        <v>45402</v>
      </c>
      <c r="E1692" s="9" t="str">
        <f>+HYPERLINK("http://trademark.i-assist.jp/data/china/image_1884th/76715175.pdf", "76715175")</f>
        <v>76715175</v>
      </c>
      <c r="F1692" s="6" t="s">
        <v>4554</v>
      </c>
      <c r="G1692" s="6" t="s">
        <v>4396</v>
      </c>
      <c r="H1692" s="8" t="s">
        <v>4555</v>
      </c>
      <c r="I1692" s="14">
        <v>45322</v>
      </c>
    </row>
    <row r="1693" spans="1:9" x14ac:dyDescent="0.15">
      <c r="A1693" s="5">
        <v>1692</v>
      </c>
      <c r="B1693" s="6" t="s">
        <v>9</v>
      </c>
      <c r="C1693" s="7">
        <v>1884</v>
      </c>
      <c r="D1693" s="8">
        <v>45402</v>
      </c>
      <c r="E1693" s="9" t="str">
        <f>+HYPERLINK("http://trademark.i-assist.jp/data/china/image_1884th/76715210.pdf", "76715210")</f>
        <v>76715210</v>
      </c>
      <c r="F1693" s="6" t="s">
        <v>4556</v>
      </c>
      <c r="G1693" s="6" t="s">
        <v>4399</v>
      </c>
      <c r="H1693" s="8" t="s">
        <v>4401</v>
      </c>
      <c r="I1693" s="14">
        <v>45322</v>
      </c>
    </row>
    <row r="1694" spans="1:9" x14ac:dyDescent="0.15">
      <c r="A1694" s="5">
        <v>1693</v>
      </c>
      <c r="B1694" s="6" t="s">
        <v>9</v>
      </c>
      <c r="C1694" s="7">
        <v>1884</v>
      </c>
      <c r="D1694" s="8">
        <v>45402</v>
      </c>
      <c r="E1694" s="9" t="str">
        <f>+HYPERLINK("http://trademark.i-assist.jp/data/china/image_1884th/76715748.pdf", "76715748")</f>
        <v>76715748</v>
      </c>
      <c r="F1694" s="6" t="s">
        <v>4558</v>
      </c>
      <c r="G1694" s="6" t="s">
        <v>4557</v>
      </c>
      <c r="H1694" s="8" t="s">
        <v>4559</v>
      </c>
      <c r="I1694" s="14">
        <v>45322</v>
      </c>
    </row>
    <row r="1695" spans="1:9" x14ac:dyDescent="0.15">
      <c r="A1695" s="5">
        <v>1694</v>
      </c>
      <c r="B1695" s="6" t="s">
        <v>9</v>
      </c>
      <c r="C1695" s="7">
        <v>1884</v>
      </c>
      <c r="D1695" s="8">
        <v>45402</v>
      </c>
      <c r="E1695" s="9" t="str">
        <f>+HYPERLINK("http://trademark.i-assist.jp/data/china/image_1884th/76716081.pdf", "76716081")</f>
        <v>76716081</v>
      </c>
      <c r="F1695" s="6" t="s">
        <v>4560</v>
      </c>
      <c r="G1695" s="6" t="s">
        <v>1105</v>
      </c>
      <c r="H1695" s="8" t="s">
        <v>4561</v>
      </c>
      <c r="I1695" s="14">
        <v>45322</v>
      </c>
    </row>
    <row r="1696" spans="1:9" x14ac:dyDescent="0.15">
      <c r="A1696" s="5">
        <v>1695</v>
      </c>
      <c r="B1696" s="6" t="s">
        <v>9</v>
      </c>
      <c r="C1696" s="7">
        <v>1884</v>
      </c>
      <c r="D1696" s="8">
        <v>45402</v>
      </c>
      <c r="E1696" s="9" t="str">
        <f>+HYPERLINK("http://trademark.i-assist.jp/data/china/image_1884th/76716229.pdf", "76716229")</f>
        <v>76716229</v>
      </c>
      <c r="F1696" s="6" t="s">
        <v>4563</v>
      </c>
      <c r="G1696" s="6" t="s">
        <v>4562</v>
      </c>
      <c r="H1696" s="8" t="s">
        <v>4564</v>
      </c>
      <c r="I1696" s="14">
        <v>45322</v>
      </c>
    </row>
    <row r="1697" spans="1:9" x14ac:dyDescent="0.15">
      <c r="A1697" s="5">
        <v>1696</v>
      </c>
      <c r="B1697" s="6" t="s">
        <v>9</v>
      </c>
      <c r="C1697" s="7">
        <v>1884</v>
      </c>
      <c r="D1697" s="8">
        <v>45402</v>
      </c>
      <c r="E1697" s="9" t="str">
        <f>+HYPERLINK("http://trademark.i-assist.jp/data/china/image_1884th/76716231.pdf", "76716231")</f>
        <v>76716231</v>
      </c>
      <c r="F1697" s="6" t="s">
        <v>4566</v>
      </c>
      <c r="G1697" s="6" t="s">
        <v>4565</v>
      </c>
      <c r="H1697" s="8" t="s">
        <v>4492</v>
      </c>
      <c r="I1697" s="14">
        <v>45322</v>
      </c>
    </row>
    <row r="1698" spans="1:9" x14ac:dyDescent="0.15">
      <c r="A1698" s="5">
        <v>1697</v>
      </c>
      <c r="B1698" s="6" t="s">
        <v>9</v>
      </c>
      <c r="C1698" s="7">
        <v>1884</v>
      </c>
      <c r="D1698" s="8">
        <v>45402</v>
      </c>
      <c r="E1698" s="9" t="str">
        <f>+HYPERLINK("http://trademark.i-assist.jp/data/china/image_1884th/76716515.pdf", "76716515")</f>
        <v>76716515</v>
      </c>
      <c r="F1698" s="6" t="s">
        <v>4567</v>
      </c>
      <c r="G1698" s="6" t="s">
        <v>20</v>
      </c>
      <c r="H1698" s="8" t="s">
        <v>4475</v>
      </c>
      <c r="I1698" s="14">
        <v>45322</v>
      </c>
    </row>
    <row r="1699" spans="1:9" x14ac:dyDescent="0.15">
      <c r="A1699" s="5">
        <v>1698</v>
      </c>
      <c r="B1699" s="6" t="s">
        <v>9</v>
      </c>
      <c r="C1699" s="7">
        <v>1884</v>
      </c>
      <c r="D1699" s="8">
        <v>45402</v>
      </c>
      <c r="E1699" s="9" t="str">
        <f>+HYPERLINK("http://trademark.i-assist.jp/data/china/image_1884th/76716707.pdf", "76716707")</f>
        <v>76716707</v>
      </c>
      <c r="F1699" s="6" t="s">
        <v>4569</v>
      </c>
      <c r="G1699" s="6" t="s">
        <v>4568</v>
      </c>
      <c r="H1699" s="8" t="s">
        <v>4570</v>
      </c>
      <c r="I1699" s="14">
        <v>45322</v>
      </c>
    </row>
    <row r="1700" spans="1:9" x14ac:dyDescent="0.15">
      <c r="A1700" s="5">
        <v>1699</v>
      </c>
      <c r="B1700" s="6" t="s">
        <v>9</v>
      </c>
      <c r="C1700" s="7">
        <v>1884</v>
      </c>
      <c r="D1700" s="8">
        <v>45402</v>
      </c>
      <c r="E1700" s="9" t="str">
        <f>+HYPERLINK("http://trademark.i-assist.jp/data/china/image_1884th/76716882.pdf", "76716882")</f>
        <v>76716882</v>
      </c>
      <c r="F1700" s="6" t="s">
        <v>4572</v>
      </c>
      <c r="G1700" s="6" t="s">
        <v>4571</v>
      </c>
      <c r="H1700" s="8" t="s">
        <v>4573</v>
      </c>
      <c r="I1700" s="14">
        <v>45322</v>
      </c>
    </row>
    <row r="1701" spans="1:9" x14ac:dyDescent="0.15">
      <c r="A1701" s="5">
        <v>1700</v>
      </c>
      <c r="B1701" s="6" t="s">
        <v>9</v>
      </c>
      <c r="C1701" s="7">
        <v>1884</v>
      </c>
      <c r="D1701" s="8">
        <v>45402</v>
      </c>
      <c r="E1701" s="9" t="str">
        <f>+HYPERLINK("http://trademark.i-assist.jp/data/china/image_1884th/76717377.pdf", "76717377")</f>
        <v>76717377</v>
      </c>
      <c r="F1701" s="6" t="s">
        <v>4574</v>
      </c>
      <c r="G1701" s="6" t="s">
        <v>20</v>
      </c>
      <c r="H1701" s="8" t="s">
        <v>4475</v>
      </c>
      <c r="I1701" s="14">
        <v>45322</v>
      </c>
    </row>
    <row r="1702" spans="1:9" x14ac:dyDescent="0.15">
      <c r="A1702" s="5">
        <v>1701</v>
      </c>
      <c r="B1702" s="6" t="s">
        <v>9</v>
      </c>
      <c r="C1702" s="7">
        <v>1884</v>
      </c>
      <c r="D1702" s="8">
        <v>45402</v>
      </c>
      <c r="E1702" s="9" t="str">
        <f>+HYPERLINK("http://trademark.i-assist.jp/data/china/image_1884th/76718088.pdf", "76718088")</f>
        <v>76718088</v>
      </c>
      <c r="F1702" s="6" t="s">
        <v>4575</v>
      </c>
      <c r="G1702" s="6" t="s">
        <v>4413</v>
      </c>
      <c r="H1702" s="8" t="s">
        <v>4415</v>
      </c>
      <c r="I1702" s="14">
        <v>45322</v>
      </c>
    </row>
    <row r="1703" spans="1:9" x14ac:dyDescent="0.15">
      <c r="A1703" s="5">
        <v>1702</v>
      </c>
      <c r="B1703" s="6" t="s">
        <v>9</v>
      </c>
      <c r="C1703" s="7">
        <v>1884</v>
      </c>
      <c r="D1703" s="8">
        <v>45402</v>
      </c>
      <c r="E1703" s="9" t="str">
        <f>+HYPERLINK("http://trademark.i-assist.jp/data/china/image_1884th/76718313.pdf", "76718313")</f>
        <v>76718313</v>
      </c>
      <c r="F1703" s="6" t="s">
        <v>4576</v>
      </c>
      <c r="G1703" s="6" t="s">
        <v>11</v>
      </c>
      <c r="H1703" s="8" t="s">
        <v>4577</v>
      </c>
      <c r="I1703" s="14">
        <v>45322</v>
      </c>
    </row>
    <row r="1704" spans="1:9" x14ac:dyDescent="0.15">
      <c r="A1704" s="5">
        <v>1703</v>
      </c>
      <c r="B1704" s="6" t="s">
        <v>9</v>
      </c>
      <c r="C1704" s="7">
        <v>1884</v>
      </c>
      <c r="D1704" s="8">
        <v>45402</v>
      </c>
      <c r="E1704" s="9" t="str">
        <f>+HYPERLINK("http://trademark.i-assist.jp/data/china/image_1884th/76718664.pdf", "76718664")</f>
        <v>76718664</v>
      </c>
      <c r="F1704" s="6" t="s">
        <v>4579</v>
      </c>
      <c r="G1704" s="6" t="s">
        <v>4578</v>
      </c>
      <c r="H1704" s="8" t="s">
        <v>4580</v>
      </c>
      <c r="I1704" s="14">
        <v>45322</v>
      </c>
    </row>
    <row r="1705" spans="1:9" x14ac:dyDescent="0.15">
      <c r="A1705" s="5">
        <v>1704</v>
      </c>
      <c r="B1705" s="6" t="s">
        <v>9</v>
      </c>
      <c r="C1705" s="7">
        <v>1884</v>
      </c>
      <c r="D1705" s="8">
        <v>45402</v>
      </c>
      <c r="E1705" s="9" t="str">
        <f>+HYPERLINK("http://trademark.i-assist.jp/data/china/image_1884th/76718727.pdf", "76718727")</f>
        <v>76718727</v>
      </c>
      <c r="F1705" s="6" t="s">
        <v>4581</v>
      </c>
      <c r="G1705" s="6" t="s">
        <v>4471</v>
      </c>
      <c r="H1705" s="8" t="s">
        <v>4582</v>
      </c>
      <c r="I1705" s="14">
        <v>45322</v>
      </c>
    </row>
    <row r="1706" spans="1:9" x14ac:dyDescent="0.15">
      <c r="A1706" s="5">
        <v>1705</v>
      </c>
      <c r="B1706" s="6" t="s">
        <v>9</v>
      </c>
      <c r="C1706" s="7">
        <v>1884</v>
      </c>
      <c r="D1706" s="8">
        <v>45402</v>
      </c>
      <c r="E1706" s="9" t="str">
        <f>+HYPERLINK("http://trademark.i-assist.jp/data/china/image_1884th/76719003.pdf", "76719003")</f>
        <v>76719003</v>
      </c>
      <c r="F1706" s="6" t="s">
        <v>4584</v>
      </c>
      <c r="G1706" s="6" t="s">
        <v>4583</v>
      </c>
      <c r="H1706" s="8" t="s">
        <v>4585</v>
      </c>
      <c r="I1706" s="14">
        <v>45322</v>
      </c>
    </row>
    <row r="1707" spans="1:9" x14ac:dyDescent="0.15">
      <c r="A1707" s="5">
        <v>1706</v>
      </c>
      <c r="B1707" s="6" t="s">
        <v>9</v>
      </c>
      <c r="C1707" s="7">
        <v>1884</v>
      </c>
      <c r="D1707" s="8">
        <v>45402</v>
      </c>
      <c r="E1707" s="9" t="str">
        <f>+HYPERLINK("http://trademark.i-assist.jp/data/china/image_1884th/76720194.pdf", "76720194")</f>
        <v>76720194</v>
      </c>
      <c r="F1707" s="6" t="s">
        <v>4587</v>
      </c>
      <c r="G1707" s="6" t="s">
        <v>4586</v>
      </c>
      <c r="H1707" s="8" t="s">
        <v>4588</v>
      </c>
      <c r="I1707" s="14">
        <v>45322</v>
      </c>
    </row>
    <row r="1708" spans="1:9" x14ac:dyDescent="0.15">
      <c r="A1708" s="5">
        <v>1707</v>
      </c>
      <c r="B1708" s="6" t="s">
        <v>9</v>
      </c>
      <c r="C1708" s="7">
        <v>1884</v>
      </c>
      <c r="D1708" s="8">
        <v>45402</v>
      </c>
      <c r="E1708" s="9" t="str">
        <f>+HYPERLINK("http://trademark.i-assist.jp/data/china/image_1884th/76720213.pdf", "76720213")</f>
        <v>76720213</v>
      </c>
      <c r="F1708" s="6" t="s">
        <v>4590</v>
      </c>
      <c r="G1708" s="6" t="s">
        <v>4589</v>
      </c>
      <c r="H1708" s="8" t="s">
        <v>4591</v>
      </c>
      <c r="I1708" s="14">
        <v>45322</v>
      </c>
    </row>
    <row r="1709" spans="1:9" x14ac:dyDescent="0.15">
      <c r="A1709" s="5">
        <v>1708</v>
      </c>
      <c r="B1709" s="6" t="s">
        <v>9</v>
      </c>
      <c r="C1709" s="7">
        <v>1884</v>
      </c>
      <c r="D1709" s="8">
        <v>45402</v>
      </c>
      <c r="E1709" s="9" t="str">
        <f>+HYPERLINK("http://trademark.i-assist.jp/data/china/image_1884th/76720690.pdf", "76720690")</f>
        <v>76720690</v>
      </c>
      <c r="F1709" s="6" t="s">
        <v>4593</v>
      </c>
      <c r="G1709" s="6" t="s">
        <v>4592</v>
      </c>
      <c r="H1709" s="8" t="s">
        <v>4594</v>
      </c>
      <c r="I1709" s="14">
        <v>45322</v>
      </c>
    </row>
    <row r="1710" spans="1:9" x14ac:dyDescent="0.15">
      <c r="A1710" s="5">
        <v>1709</v>
      </c>
      <c r="B1710" s="6" t="s">
        <v>9</v>
      </c>
      <c r="C1710" s="7">
        <v>1884</v>
      </c>
      <c r="D1710" s="8">
        <v>45402</v>
      </c>
      <c r="E1710" s="9" t="str">
        <f>+HYPERLINK("http://trademark.i-assist.jp/data/china/image_1884th/76720805.pdf", "76720805")</f>
        <v>76720805</v>
      </c>
      <c r="F1710" s="6" t="s">
        <v>4596</v>
      </c>
      <c r="G1710" s="6" t="s">
        <v>4595</v>
      </c>
      <c r="H1710" s="8" t="s">
        <v>4597</v>
      </c>
      <c r="I1710" s="14">
        <v>45322</v>
      </c>
    </row>
    <row r="1711" spans="1:9" x14ac:dyDescent="0.15">
      <c r="A1711" s="5">
        <v>1710</v>
      </c>
      <c r="B1711" s="6" t="s">
        <v>9</v>
      </c>
      <c r="C1711" s="7">
        <v>1884</v>
      </c>
      <c r="D1711" s="8">
        <v>45402</v>
      </c>
      <c r="E1711" s="9" t="str">
        <f>+HYPERLINK("http://trademark.i-assist.jp/data/china/image_1884th/76721277.pdf", "76721277")</f>
        <v>76721277</v>
      </c>
      <c r="F1711" s="6" t="s">
        <v>4598</v>
      </c>
      <c r="G1711" s="6" t="s">
        <v>1105</v>
      </c>
      <c r="H1711" s="8" t="s">
        <v>4382</v>
      </c>
      <c r="I1711" s="14">
        <v>45322</v>
      </c>
    </row>
    <row r="1712" spans="1:9" x14ac:dyDescent="0.15">
      <c r="A1712" s="5">
        <v>1711</v>
      </c>
      <c r="B1712" s="6" t="s">
        <v>9</v>
      </c>
      <c r="C1712" s="7">
        <v>1884</v>
      </c>
      <c r="D1712" s="8">
        <v>45402</v>
      </c>
      <c r="E1712" s="9" t="str">
        <f>+HYPERLINK("http://trademark.i-assist.jp/data/china/image_1884th/76721529.pdf", "76721529")</f>
        <v>76721529</v>
      </c>
      <c r="F1712" s="6" t="s">
        <v>4600</v>
      </c>
      <c r="G1712" s="6" t="s">
        <v>4599</v>
      </c>
      <c r="H1712" s="8" t="s">
        <v>4601</v>
      </c>
      <c r="I1712" s="14">
        <v>45323</v>
      </c>
    </row>
    <row r="1713" spans="1:9" x14ac:dyDescent="0.15">
      <c r="A1713" s="5">
        <v>1712</v>
      </c>
      <c r="B1713" s="6" t="s">
        <v>9</v>
      </c>
      <c r="C1713" s="7">
        <v>1884</v>
      </c>
      <c r="D1713" s="8">
        <v>45402</v>
      </c>
      <c r="E1713" s="9" t="str">
        <f>+HYPERLINK("http://trademark.i-assist.jp/data/china/image_1884th/76721653.pdf", "76721653")</f>
        <v>76721653</v>
      </c>
      <c r="F1713" s="6" t="s">
        <v>4603</v>
      </c>
      <c r="G1713" s="6" t="s">
        <v>4602</v>
      </c>
      <c r="H1713" s="8" t="s">
        <v>4604</v>
      </c>
      <c r="I1713" s="14">
        <v>45323</v>
      </c>
    </row>
    <row r="1714" spans="1:9" x14ac:dyDescent="0.15">
      <c r="A1714" s="5">
        <v>1713</v>
      </c>
      <c r="B1714" s="6" t="s">
        <v>9</v>
      </c>
      <c r="C1714" s="7">
        <v>1884</v>
      </c>
      <c r="D1714" s="8">
        <v>45402</v>
      </c>
      <c r="E1714" s="9" t="str">
        <f>+HYPERLINK("http://trademark.i-assist.jp/data/china/image_1884th/76721658.pdf", "76721658")</f>
        <v>76721658</v>
      </c>
      <c r="F1714" s="6" t="s">
        <v>4605</v>
      </c>
      <c r="G1714" s="6" t="s">
        <v>4602</v>
      </c>
      <c r="H1714" s="8" t="s">
        <v>4604</v>
      </c>
      <c r="I1714" s="14">
        <v>45323</v>
      </c>
    </row>
    <row r="1715" spans="1:9" x14ac:dyDescent="0.15">
      <c r="A1715" s="5">
        <v>1714</v>
      </c>
      <c r="B1715" s="6" t="s">
        <v>9</v>
      </c>
      <c r="C1715" s="7">
        <v>1884</v>
      </c>
      <c r="D1715" s="8">
        <v>45402</v>
      </c>
      <c r="E1715" s="9" t="str">
        <f>+HYPERLINK("http://trademark.i-assist.jp/data/china/image_1884th/76721959.pdf", "76721959")</f>
        <v>76721959</v>
      </c>
      <c r="F1715" s="6" t="s">
        <v>4607</v>
      </c>
      <c r="G1715" s="6" t="s">
        <v>4606</v>
      </c>
      <c r="H1715" s="8" t="s">
        <v>4608</v>
      </c>
      <c r="I1715" s="14">
        <v>45323</v>
      </c>
    </row>
    <row r="1716" spans="1:9" x14ac:dyDescent="0.15">
      <c r="A1716" s="5">
        <v>1715</v>
      </c>
      <c r="B1716" s="6" t="s">
        <v>9</v>
      </c>
      <c r="C1716" s="7">
        <v>1884</v>
      </c>
      <c r="D1716" s="8">
        <v>45402</v>
      </c>
      <c r="E1716" s="9" t="str">
        <f>+HYPERLINK("http://trademark.i-assist.jp/data/china/image_1884th/76722380.pdf", "76722380")</f>
        <v>76722380</v>
      </c>
      <c r="F1716" s="6" t="s">
        <v>4610</v>
      </c>
      <c r="G1716" s="6" t="s">
        <v>4609</v>
      </c>
      <c r="H1716" s="8" t="s">
        <v>4611</v>
      </c>
      <c r="I1716" s="14">
        <v>45323</v>
      </c>
    </row>
    <row r="1717" spans="1:9" x14ac:dyDescent="0.15">
      <c r="A1717" s="5">
        <v>1716</v>
      </c>
      <c r="B1717" s="6" t="s">
        <v>9</v>
      </c>
      <c r="C1717" s="7">
        <v>1884</v>
      </c>
      <c r="D1717" s="8">
        <v>45402</v>
      </c>
      <c r="E1717" s="9" t="str">
        <f>+HYPERLINK("http://trademark.i-assist.jp/data/china/image_1884th/76722467.pdf", "76722467")</f>
        <v>76722467</v>
      </c>
      <c r="F1717" s="6" t="s">
        <v>4613</v>
      </c>
      <c r="G1717" s="6" t="s">
        <v>4612</v>
      </c>
      <c r="H1717" s="8" t="s">
        <v>4614</v>
      </c>
      <c r="I1717" s="14">
        <v>45323</v>
      </c>
    </row>
    <row r="1718" spans="1:9" x14ac:dyDescent="0.15">
      <c r="A1718" s="5">
        <v>1717</v>
      </c>
      <c r="B1718" s="6" t="s">
        <v>9</v>
      </c>
      <c r="C1718" s="7">
        <v>1884</v>
      </c>
      <c r="D1718" s="8">
        <v>45402</v>
      </c>
      <c r="E1718" s="9" t="str">
        <f>+HYPERLINK("http://trademark.i-assist.jp/data/china/image_1884th/76722768.pdf", "76722768")</f>
        <v>76722768</v>
      </c>
      <c r="F1718" s="6" t="s">
        <v>4616</v>
      </c>
      <c r="G1718" s="6" t="s">
        <v>4615</v>
      </c>
      <c r="H1718" s="8" t="s">
        <v>4617</v>
      </c>
      <c r="I1718" s="14">
        <v>45323</v>
      </c>
    </row>
    <row r="1719" spans="1:9" x14ac:dyDescent="0.15">
      <c r="A1719" s="5">
        <v>1718</v>
      </c>
      <c r="B1719" s="6" t="s">
        <v>9</v>
      </c>
      <c r="C1719" s="7">
        <v>1884</v>
      </c>
      <c r="D1719" s="8">
        <v>45402</v>
      </c>
      <c r="E1719" s="9" t="str">
        <f>+HYPERLINK("http://trademark.i-assist.jp/data/china/image_1884th/76722780.pdf", "76722780")</f>
        <v>76722780</v>
      </c>
      <c r="F1719" s="6" t="s">
        <v>4619</v>
      </c>
      <c r="G1719" s="6" t="s">
        <v>4618</v>
      </c>
      <c r="H1719" s="8" t="s">
        <v>4620</v>
      </c>
      <c r="I1719" s="14">
        <v>45323</v>
      </c>
    </row>
    <row r="1720" spans="1:9" x14ac:dyDescent="0.15">
      <c r="A1720" s="5">
        <v>1719</v>
      </c>
      <c r="B1720" s="6" t="s">
        <v>9</v>
      </c>
      <c r="C1720" s="7">
        <v>1884</v>
      </c>
      <c r="D1720" s="8">
        <v>45402</v>
      </c>
      <c r="E1720" s="9" t="str">
        <f>+HYPERLINK("http://trademark.i-assist.jp/data/china/image_1884th/76722930.pdf", "76722930")</f>
        <v>76722930</v>
      </c>
      <c r="F1720" s="6" t="s">
        <v>4622</v>
      </c>
      <c r="G1720" s="6" t="s">
        <v>4621</v>
      </c>
      <c r="H1720" s="8" t="s">
        <v>4623</v>
      </c>
      <c r="I1720" s="14">
        <v>45323</v>
      </c>
    </row>
    <row r="1721" spans="1:9" x14ac:dyDescent="0.15">
      <c r="A1721" s="5">
        <v>1720</v>
      </c>
      <c r="B1721" s="6" t="s">
        <v>9</v>
      </c>
      <c r="C1721" s="7">
        <v>1884</v>
      </c>
      <c r="D1721" s="8">
        <v>45402</v>
      </c>
      <c r="E1721" s="9" t="str">
        <f>+HYPERLINK("http://trademark.i-assist.jp/data/china/image_1884th/76723424.pdf", "76723424")</f>
        <v>76723424</v>
      </c>
      <c r="F1721" s="6" t="s">
        <v>4625</v>
      </c>
      <c r="G1721" s="6" t="s">
        <v>4624</v>
      </c>
      <c r="H1721" s="8" t="s">
        <v>4626</v>
      </c>
      <c r="I1721" s="14">
        <v>45323</v>
      </c>
    </row>
    <row r="1722" spans="1:9" x14ac:dyDescent="0.15">
      <c r="A1722" s="5">
        <v>1721</v>
      </c>
      <c r="B1722" s="6" t="s">
        <v>9</v>
      </c>
      <c r="C1722" s="7">
        <v>1884</v>
      </c>
      <c r="D1722" s="8">
        <v>45402</v>
      </c>
      <c r="E1722" s="9" t="str">
        <f>+HYPERLINK("http://trademark.i-assist.jp/data/china/image_1884th/76723790.pdf", "76723790")</f>
        <v>76723790</v>
      </c>
      <c r="F1722" s="6" t="s">
        <v>4627</v>
      </c>
      <c r="G1722" s="6" t="s">
        <v>4183</v>
      </c>
      <c r="H1722" s="8" t="s">
        <v>4628</v>
      </c>
      <c r="I1722" s="14">
        <v>45323</v>
      </c>
    </row>
    <row r="1723" spans="1:9" x14ac:dyDescent="0.15">
      <c r="A1723" s="5">
        <v>1722</v>
      </c>
      <c r="B1723" s="6" t="s">
        <v>9</v>
      </c>
      <c r="C1723" s="7">
        <v>1884</v>
      </c>
      <c r="D1723" s="8">
        <v>45402</v>
      </c>
      <c r="E1723" s="9" t="str">
        <f>+HYPERLINK("http://trademark.i-assist.jp/data/china/image_1884th/76724323.pdf", "76724323")</f>
        <v>76724323</v>
      </c>
      <c r="F1723" s="6" t="s">
        <v>4630</v>
      </c>
      <c r="G1723" s="6" t="s">
        <v>4629</v>
      </c>
      <c r="H1723" s="8" t="s">
        <v>4631</v>
      </c>
      <c r="I1723" s="14">
        <v>45323</v>
      </c>
    </row>
    <row r="1724" spans="1:9" x14ac:dyDescent="0.15">
      <c r="A1724" s="5">
        <v>1723</v>
      </c>
      <c r="B1724" s="6" t="s">
        <v>9</v>
      </c>
      <c r="C1724" s="7">
        <v>1884</v>
      </c>
      <c r="D1724" s="8">
        <v>45402</v>
      </c>
      <c r="E1724" s="9" t="str">
        <f>+HYPERLINK("http://trademark.i-assist.jp/data/china/image_1884th/76724544.pdf", "76724544")</f>
        <v>76724544</v>
      </c>
      <c r="F1724" s="6" t="s">
        <v>167</v>
      </c>
      <c r="G1724" s="6" t="s">
        <v>4632</v>
      </c>
      <c r="H1724" s="8" t="s">
        <v>4633</v>
      </c>
      <c r="I1724" s="14">
        <v>45323</v>
      </c>
    </row>
    <row r="1725" spans="1:9" x14ac:dyDescent="0.15">
      <c r="A1725" s="5">
        <v>1724</v>
      </c>
      <c r="B1725" s="6" t="s">
        <v>9</v>
      </c>
      <c r="C1725" s="7">
        <v>1884</v>
      </c>
      <c r="D1725" s="8">
        <v>45402</v>
      </c>
      <c r="E1725" s="9" t="str">
        <f>+HYPERLINK("http://trademark.i-assist.jp/data/china/image_1884th/76724751.pdf", "76724751")</f>
        <v>76724751</v>
      </c>
      <c r="F1725" s="6" t="s">
        <v>4635</v>
      </c>
      <c r="G1725" s="6" t="s">
        <v>4634</v>
      </c>
      <c r="H1725" s="8" t="s">
        <v>4636</v>
      </c>
      <c r="I1725" s="14">
        <v>45323</v>
      </c>
    </row>
    <row r="1726" spans="1:9" x14ac:dyDescent="0.15">
      <c r="A1726" s="5">
        <v>1725</v>
      </c>
      <c r="B1726" s="6" t="s">
        <v>9</v>
      </c>
      <c r="C1726" s="7">
        <v>1884</v>
      </c>
      <c r="D1726" s="8">
        <v>45402</v>
      </c>
      <c r="E1726" s="9" t="str">
        <f>+HYPERLINK("http://trademark.i-assist.jp/data/china/image_1884th/76725268.pdf", "76725268")</f>
        <v>76725268</v>
      </c>
      <c r="F1726" s="6" t="s">
        <v>4638</v>
      </c>
      <c r="G1726" s="6" t="s">
        <v>4637</v>
      </c>
      <c r="H1726" s="8" t="s">
        <v>4639</v>
      </c>
      <c r="I1726" s="14">
        <v>45323</v>
      </c>
    </row>
    <row r="1727" spans="1:9" x14ac:dyDescent="0.15">
      <c r="A1727" s="5">
        <v>1726</v>
      </c>
      <c r="B1727" s="6" t="s">
        <v>9</v>
      </c>
      <c r="C1727" s="7">
        <v>1884</v>
      </c>
      <c r="D1727" s="8">
        <v>45402</v>
      </c>
      <c r="E1727" s="9" t="str">
        <f>+HYPERLINK("http://trademark.i-assist.jp/data/china/image_1884th/76725432.pdf", "76725432")</f>
        <v>76725432</v>
      </c>
      <c r="F1727" s="6" t="s">
        <v>4641</v>
      </c>
      <c r="G1727" s="6" t="s">
        <v>4640</v>
      </c>
      <c r="H1727" s="8" t="s">
        <v>4642</v>
      </c>
      <c r="I1727" s="14">
        <v>45323</v>
      </c>
    </row>
    <row r="1728" spans="1:9" x14ac:dyDescent="0.15">
      <c r="A1728" s="5">
        <v>1727</v>
      </c>
      <c r="B1728" s="6" t="s">
        <v>9</v>
      </c>
      <c r="C1728" s="7">
        <v>1884</v>
      </c>
      <c r="D1728" s="8">
        <v>45402</v>
      </c>
      <c r="E1728" s="9" t="str">
        <f>+HYPERLINK("http://trademark.i-assist.jp/data/china/image_1884th/76725745.pdf", "76725745")</f>
        <v>76725745</v>
      </c>
      <c r="F1728" s="6" t="s">
        <v>4644</v>
      </c>
      <c r="G1728" s="6" t="s">
        <v>4643</v>
      </c>
      <c r="H1728" s="8" t="s">
        <v>4645</v>
      </c>
      <c r="I1728" s="14">
        <v>45323</v>
      </c>
    </row>
    <row r="1729" spans="1:9" x14ac:dyDescent="0.15">
      <c r="A1729" s="5">
        <v>1728</v>
      </c>
      <c r="B1729" s="6" t="s">
        <v>9</v>
      </c>
      <c r="C1729" s="7">
        <v>1884</v>
      </c>
      <c r="D1729" s="8">
        <v>45402</v>
      </c>
      <c r="E1729" s="9" t="str">
        <f>+HYPERLINK("http://trademark.i-assist.jp/data/china/image_1884th/76726018.pdf", "76726018")</f>
        <v>76726018</v>
      </c>
      <c r="F1729" s="6" t="s">
        <v>4646</v>
      </c>
      <c r="G1729" s="6" t="s">
        <v>4618</v>
      </c>
      <c r="H1729" s="8" t="s">
        <v>4647</v>
      </c>
      <c r="I1729" s="14">
        <v>45323</v>
      </c>
    </row>
    <row r="1730" spans="1:9" x14ac:dyDescent="0.15">
      <c r="A1730" s="5">
        <v>1729</v>
      </c>
      <c r="B1730" s="6" t="s">
        <v>9</v>
      </c>
      <c r="C1730" s="7">
        <v>1884</v>
      </c>
      <c r="D1730" s="8">
        <v>45402</v>
      </c>
      <c r="E1730" s="9" t="str">
        <f>+HYPERLINK("http://trademark.i-assist.jp/data/china/image_1884th/76726032.pdf", "76726032")</f>
        <v>76726032</v>
      </c>
      <c r="F1730" s="6" t="s">
        <v>4648</v>
      </c>
      <c r="G1730" s="6" t="s">
        <v>4609</v>
      </c>
      <c r="H1730" s="8" t="s">
        <v>4611</v>
      </c>
      <c r="I1730" s="14">
        <v>45323</v>
      </c>
    </row>
    <row r="1731" spans="1:9" x14ac:dyDescent="0.15">
      <c r="A1731" s="5">
        <v>1730</v>
      </c>
      <c r="B1731" s="6" t="s">
        <v>9</v>
      </c>
      <c r="C1731" s="7">
        <v>1884</v>
      </c>
      <c r="D1731" s="8">
        <v>45402</v>
      </c>
      <c r="E1731" s="9" t="str">
        <f>+HYPERLINK("http://trademark.i-assist.jp/data/china/image_1884th/76726077.pdf", "76726077")</f>
        <v>76726077</v>
      </c>
      <c r="F1731" s="6" t="s">
        <v>4649</v>
      </c>
      <c r="G1731" s="6" t="s">
        <v>4618</v>
      </c>
      <c r="H1731" s="8" t="s">
        <v>4647</v>
      </c>
      <c r="I1731" s="14">
        <v>45323</v>
      </c>
    </row>
    <row r="1732" spans="1:9" x14ac:dyDescent="0.15">
      <c r="A1732" s="5">
        <v>1731</v>
      </c>
      <c r="B1732" s="6" t="s">
        <v>9</v>
      </c>
      <c r="C1732" s="7">
        <v>1884</v>
      </c>
      <c r="D1732" s="8">
        <v>45402</v>
      </c>
      <c r="E1732" s="9" t="str">
        <f>+HYPERLINK("http://trademark.i-assist.jp/data/china/image_1884th/76726342.pdf", "76726342")</f>
        <v>76726342</v>
      </c>
      <c r="F1732" s="6" t="s">
        <v>4651</v>
      </c>
      <c r="G1732" s="6" t="s">
        <v>4650</v>
      </c>
      <c r="H1732" s="8" t="s">
        <v>4652</v>
      </c>
      <c r="I1732" s="14">
        <v>45323</v>
      </c>
    </row>
    <row r="1733" spans="1:9" x14ac:dyDescent="0.15">
      <c r="A1733" s="5">
        <v>1732</v>
      </c>
      <c r="B1733" s="6" t="s">
        <v>9</v>
      </c>
      <c r="C1733" s="7">
        <v>1884</v>
      </c>
      <c r="D1733" s="8">
        <v>45402</v>
      </c>
      <c r="E1733" s="9" t="str">
        <f>+HYPERLINK("http://trademark.i-assist.jp/data/china/image_1884th/76726510.pdf", "76726510")</f>
        <v>76726510</v>
      </c>
      <c r="F1733" s="6" t="s">
        <v>4654</v>
      </c>
      <c r="G1733" s="6" t="s">
        <v>4653</v>
      </c>
      <c r="H1733" s="8" t="s">
        <v>4655</v>
      </c>
      <c r="I1733" s="14">
        <v>45323</v>
      </c>
    </row>
    <row r="1734" spans="1:9" x14ac:dyDescent="0.15">
      <c r="A1734" s="5">
        <v>1733</v>
      </c>
      <c r="B1734" s="6" t="s">
        <v>9</v>
      </c>
      <c r="C1734" s="7">
        <v>1884</v>
      </c>
      <c r="D1734" s="8">
        <v>45402</v>
      </c>
      <c r="E1734" s="9" t="str">
        <f>+HYPERLINK("http://trademark.i-assist.jp/data/china/image_1884th/76726592.pdf", "76726592")</f>
        <v>76726592</v>
      </c>
      <c r="F1734" s="6" t="s">
        <v>4657</v>
      </c>
      <c r="G1734" s="6" t="s">
        <v>4656</v>
      </c>
      <c r="H1734" s="8" t="s">
        <v>4658</v>
      </c>
      <c r="I1734" s="14">
        <v>45323</v>
      </c>
    </row>
    <row r="1735" spans="1:9" x14ac:dyDescent="0.15">
      <c r="A1735" s="5">
        <v>1734</v>
      </c>
      <c r="B1735" s="6" t="s">
        <v>9</v>
      </c>
      <c r="C1735" s="7">
        <v>1884</v>
      </c>
      <c r="D1735" s="8">
        <v>45402</v>
      </c>
      <c r="E1735" s="9" t="str">
        <f>+HYPERLINK("http://trademark.i-assist.jp/data/china/image_1884th/76726995.pdf", "76726995")</f>
        <v>76726995</v>
      </c>
      <c r="F1735" s="6" t="s">
        <v>4659</v>
      </c>
      <c r="G1735" s="6" t="s">
        <v>4618</v>
      </c>
      <c r="H1735" s="8" t="s">
        <v>4660</v>
      </c>
      <c r="I1735" s="14">
        <v>45323</v>
      </c>
    </row>
    <row r="1736" spans="1:9" x14ac:dyDescent="0.15">
      <c r="A1736" s="5">
        <v>1735</v>
      </c>
      <c r="B1736" s="6" t="s">
        <v>9</v>
      </c>
      <c r="C1736" s="7">
        <v>1884</v>
      </c>
      <c r="D1736" s="8">
        <v>45402</v>
      </c>
      <c r="E1736" s="9" t="str">
        <f>+HYPERLINK("http://trademark.i-assist.jp/data/china/image_1884th/76727045.pdf", "76727045")</f>
        <v>76727045</v>
      </c>
      <c r="F1736" s="6" t="s">
        <v>4662</v>
      </c>
      <c r="G1736" s="6" t="s">
        <v>4661</v>
      </c>
      <c r="H1736" s="8" t="s">
        <v>4663</v>
      </c>
      <c r="I1736" s="14">
        <v>45323</v>
      </c>
    </row>
    <row r="1737" spans="1:9" x14ac:dyDescent="0.15">
      <c r="A1737" s="5">
        <v>1736</v>
      </c>
      <c r="B1737" s="6" t="s">
        <v>9</v>
      </c>
      <c r="C1737" s="7">
        <v>1884</v>
      </c>
      <c r="D1737" s="8">
        <v>45402</v>
      </c>
      <c r="E1737" s="9" t="str">
        <f>+HYPERLINK("http://trademark.i-assist.jp/data/china/image_1884th/76727199.pdf", "76727199")</f>
        <v>76727199</v>
      </c>
      <c r="F1737" s="6" t="s">
        <v>4665</v>
      </c>
      <c r="G1737" s="6" t="s">
        <v>4664</v>
      </c>
      <c r="H1737" s="8" t="s">
        <v>4666</v>
      </c>
      <c r="I1737" s="14">
        <v>45323</v>
      </c>
    </row>
    <row r="1738" spans="1:9" x14ac:dyDescent="0.15">
      <c r="A1738" s="5">
        <v>1737</v>
      </c>
      <c r="B1738" s="6" t="s">
        <v>9</v>
      </c>
      <c r="C1738" s="7">
        <v>1884</v>
      </c>
      <c r="D1738" s="8">
        <v>45402</v>
      </c>
      <c r="E1738" s="9" t="str">
        <f>+HYPERLINK("http://trademark.i-assist.jp/data/china/image_1884th/76728258.pdf", "76728258")</f>
        <v>76728258</v>
      </c>
      <c r="F1738" s="6" t="s">
        <v>4668</v>
      </c>
      <c r="G1738" s="6" t="s">
        <v>4667</v>
      </c>
      <c r="H1738" s="8" t="s">
        <v>4669</v>
      </c>
      <c r="I1738" s="14">
        <v>45323</v>
      </c>
    </row>
    <row r="1739" spans="1:9" x14ac:dyDescent="0.15">
      <c r="A1739" s="5">
        <v>1738</v>
      </c>
      <c r="B1739" s="6" t="s">
        <v>9</v>
      </c>
      <c r="C1739" s="7">
        <v>1884</v>
      </c>
      <c r="D1739" s="8">
        <v>45402</v>
      </c>
      <c r="E1739" s="9" t="str">
        <f>+HYPERLINK("http://trademark.i-assist.jp/data/china/image_1884th/76728316.pdf", "76728316")</f>
        <v>76728316</v>
      </c>
      <c r="F1739" s="6" t="s">
        <v>4671</v>
      </c>
      <c r="G1739" s="6" t="s">
        <v>4670</v>
      </c>
      <c r="H1739" s="8" t="s">
        <v>4672</v>
      </c>
      <c r="I1739" s="14">
        <v>45323</v>
      </c>
    </row>
    <row r="1740" spans="1:9" x14ac:dyDescent="0.15">
      <c r="A1740" s="5">
        <v>1739</v>
      </c>
      <c r="B1740" s="6" t="s">
        <v>9</v>
      </c>
      <c r="C1740" s="7">
        <v>1884</v>
      </c>
      <c r="D1740" s="8">
        <v>45402</v>
      </c>
      <c r="E1740" s="9" t="str">
        <f>+HYPERLINK("http://trademark.i-assist.jp/data/china/image_1884th/76728434.pdf", "76728434")</f>
        <v>76728434</v>
      </c>
      <c r="F1740" s="6" t="s">
        <v>4674</v>
      </c>
      <c r="G1740" s="6" t="s">
        <v>4673</v>
      </c>
      <c r="H1740" s="8" t="s">
        <v>4675</v>
      </c>
      <c r="I1740" s="14">
        <v>45323</v>
      </c>
    </row>
    <row r="1741" spans="1:9" x14ac:dyDescent="0.15">
      <c r="A1741" s="5">
        <v>1740</v>
      </c>
      <c r="B1741" s="6" t="s">
        <v>9</v>
      </c>
      <c r="C1741" s="7">
        <v>1884</v>
      </c>
      <c r="D1741" s="8">
        <v>45402</v>
      </c>
      <c r="E1741" s="9" t="str">
        <f>+HYPERLINK("http://trademark.i-assist.jp/data/china/image_1884th/76728610.pdf", "76728610")</f>
        <v>76728610</v>
      </c>
      <c r="F1741" s="6" t="s">
        <v>4677</v>
      </c>
      <c r="G1741" s="6" t="s">
        <v>4676</v>
      </c>
      <c r="H1741" s="8" t="s">
        <v>4678</v>
      </c>
      <c r="I1741" s="14">
        <v>45323</v>
      </c>
    </row>
    <row r="1742" spans="1:9" x14ac:dyDescent="0.15">
      <c r="A1742" s="5">
        <v>1741</v>
      </c>
      <c r="B1742" s="6" t="s">
        <v>9</v>
      </c>
      <c r="C1742" s="7">
        <v>1884</v>
      </c>
      <c r="D1742" s="8">
        <v>45402</v>
      </c>
      <c r="E1742" s="9" t="str">
        <f>+HYPERLINK("http://trademark.i-assist.jp/data/china/image_1884th/76728863.pdf", "76728863")</f>
        <v>76728863</v>
      </c>
      <c r="F1742" s="6" t="s">
        <v>4679</v>
      </c>
      <c r="G1742" s="6" t="s">
        <v>4602</v>
      </c>
      <c r="H1742" s="8" t="s">
        <v>4604</v>
      </c>
      <c r="I1742" s="14">
        <v>45323</v>
      </c>
    </row>
    <row r="1743" spans="1:9" x14ac:dyDescent="0.15">
      <c r="A1743" s="5">
        <v>1742</v>
      </c>
      <c r="B1743" s="6" t="s">
        <v>9</v>
      </c>
      <c r="C1743" s="7">
        <v>1884</v>
      </c>
      <c r="D1743" s="8">
        <v>45402</v>
      </c>
      <c r="E1743" s="9" t="str">
        <f>+HYPERLINK("http://trademark.i-assist.jp/data/china/image_1884th/76729226.pdf", "76729226")</f>
        <v>76729226</v>
      </c>
      <c r="F1743" s="6" t="s">
        <v>4681</v>
      </c>
      <c r="G1743" s="6" t="s">
        <v>4680</v>
      </c>
      <c r="H1743" s="8" t="s">
        <v>4682</v>
      </c>
      <c r="I1743" s="14">
        <v>45323</v>
      </c>
    </row>
    <row r="1744" spans="1:9" x14ac:dyDescent="0.15">
      <c r="A1744" s="5">
        <v>1743</v>
      </c>
      <c r="B1744" s="6" t="s">
        <v>9</v>
      </c>
      <c r="C1744" s="7">
        <v>1884</v>
      </c>
      <c r="D1744" s="8">
        <v>45402</v>
      </c>
      <c r="E1744" s="9" t="str">
        <f>+HYPERLINK("http://trademark.i-assist.jp/data/china/image_1884th/76729250.pdf", "76729250")</f>
        <v>76729250</v>
      </c>
      <c r="F1744" s="6" t="s">
        <v>4683</v>
      </c>
      <c r="G1744" s="6" t="s">
        <v>4680</v>
      </c>
      <c r="H1744" s="8" t="s">
        <v>4684</v>
      </c>
      <c r="I1744" s="14">
        <v>45323</v>
      </c>
    </row>
    <row r="1745" spans="1:9" x14ac:dyDescent="0.15">
      <c r="A1745" s="5">
        <v>1744</v>
      </c>
      <c r="B1745" s="6" t="s">
        <v>9</v>
      </c>
      <c r="C1745" s="7">
        <v>1884</v>
      </c>
      <c r="D1745" s="8">
        <v>45402</v>
      </c>
      <c r="E1745" s="9" t="str">
        <f>+HYPERLINK("http://trademark.i-assist.jp/data/china/image_1884th/76729259.pdf", "76729259")</f>
        <v>76729259</v>
      </c>
      <c r="F1745" s="6" t="s">
        <v>4685</v>
      </c>
      <c r="G1745" s="6" t="s">
        <v>4680</v>
      </c>
      <c r="H1745" s="8" t="s">
        <v>4686</v>
      </c>
      <c r="I1745" s="14">
        <v>45323</v>
      </c>
    </row>
    <row r="1746" spans="1:9" x14ac:dyDescent="0.15">
      <c r="A1746" s="5">
        <v>1745</v>
      </c>
      <c r="B1746" s="6" t="s">
        <v>9</v>
      </c>
      <c r="C1746" s="7">
        <v>1884</v>
      </c>
      <c r="D1746" s="8">
        <v>45402</v>
      </c>
      <c r="E1746" s="9" t="str">
        <f>+HYPERLINK("http://trademark.i-assist.jp/data/china/image_1884th/76729296.pdf", "76729296")</f>
        <v>76729296</v>
      </c>
      <c r="F1746" s="6" t="s">
        <v>4688</v>
      </c>
      <c r="G1746" s="6" t="s">
        <v>4687</v>
      </c>
      <c r="H1746" s="8" t="s">
        <v>4689</v>
      </c>
      <c r="I1746" s="14">
        <v>45323</v>
      </c>
    </row>
    <row r="1747" spans="1:9" x14ac:dyDescent="0.15">
      <c r="A1747" s="5">
        <v>1746</v>
      </c>
      <c r="B1747" s="6" t="s">
        <v>9</v>
      </c>
      <c r="C1747" s="7">
        <v>1884</v>
      </c>
      <c r="D1747" s="8">
        <v>45402</v>
      </c>
      <c r="E1747" s="9" t="str">
        <f>+HYPERLINK("http://trademark.i-assist.jp/data/china/image_1884th/76729356.pdf", "76729356")</f>
        <v>76729356</v>
      </c>
      <c r="F1747" s="6" t="s">
        <v>4691</v>
      </c>
      <c r="G1747" s="6" t="s">
        <v>4690</v>
      </c>
      <c r="H1747" s="8" t="s">
        <v>4692</v>
      </c>
      <c r="I1747" s="14">
        <v>45323</v>
      </c>
    </row>
    <row r="1748" spans="1:9" x14ac:dyDescent="0.15">
      <c r="A1748" s="5">
        <v>1747</v>
      </c>
      <c r="B1748" s="6" t="s">
        <v>9</v>
      </c>
      <c r="C1748" s="7">
        <v>1884</v>
      </c>
      <c r="D1748" s="8">
        <v>45402</v>
      </c>
      <c r="E1748" s="9" t="str">
        <f>+HYPERLINK("http://trademark.i-assist.jp/data/china/image_1884th/76729367.pdf", "76729367")</f>
        <v>76729367</v>
      </c>
      <c r="F1748" s="6" t="s">
        <v>4694</v>
      </c>
      <c r="G1748" s="6" t="s">
        <v>4693</v>
      </c>
      <c r="H1748" s="8" t="s">
        <v>4695</v>
      </c>
      <c r="I1748" s="14">
        <v>45323</v>
      </c>
    </row>
    <row r="1749" spans="1:9" x14ac:dyDescent="0.15">
      <c r="A1749" s="5">
        <v>1748</v>
      </c>
      <c r="B1749" s="6" t="s">
        <v>9</v>
      </c>
      <c r="C1749" s="7">
        <v>1884</v>
      </c>
      <c r="D1749" s="8">
        <v>45402</v>
      </c>
      <c r="E1749" s="9" t="str">
        <f>+HYPERLINK("http://trademark.i-assist.jp/data/china/image_1884th/76729763.pdf", "76729763")</f>
        <v>76729763</v>
      </c>
      <c r="F1749" s="6" t="s">
        <v>4696</v>
      </c>
      <c r="G1749" s="6" t="s">
        <v>4618</v>
      </c>
      <c r="H1749" s="8" t="s">
        <v>4647</v>
      </c>
      <c r="I1749" s="14">
        <v>45323</v>
      </c>
    </row>
    <row r="1750" spans="1:9" x14ac:dyDescent="0.15">
      <c r="A1750" s="5">
        <v>1749</v>
      </c>
      <c r="B1750" s="6" t="s">
        <v>9</v>
      </c>
      <c r="C1750" s="7">
        <v>1884</v>
      </c>
      <c r="D1750" s="8">
        <v>45402</v>
      </c>
      <c r="E1750" s="9" t="str">
        <f>+HYPERLINK("http://trademark.i-assist.jp/data/china/image_1884th/76730108.pdf", "76730108")</f>
        <v>76730108</v>
      </c>
      <c r="F1750" s="6" t="s">
        <v>4698</v>
      </c>
      <c r="G1750" s="6" t="s">
        <v>4697</v>
      </c>
      <c r="H1750" s="8" t="s">
        <v>4699</v>
      </c>
      <c r="I1750" s="14">
        <v>45323</v>
      </c>
    </row>
    <row r="1751" spans="1:9" x14ac:dyDescent="0.15">
      <c r="A1751" s="5">
        <v>1750</v>
      </c>
      <c r="B1751" s="6" t="s">
        <v>9</v>
      </c>
      <c r="C1751" s="7">
        <v>1884</v>
      </c>
      <c r="D1751" s="8">
        <v>45402</v>
      </c>
      <c r="E1751" s="9" t="str">
        <f>+HYPERLINK("http://trademark.i-assist.jp/data/china/image_1884th/76730201.pdf", "76730201")</f>
        <v>76730201</v>
      </c>
      <c r="F1751" s="6" t="s">
        <v>4701</v>
      </c>
      <c r="G1751" s="6" t="s">
        <v>4700</v>
      </c>
      <c r="H1751" s="8" t="s">
        <v>4702</v>
      </c>
      <c r="I1751" s="14">
        <v>45323</v>
      </c>
    </row>
    <row r="1752" spans="1:9" x14ac:dyDescent="0.15">
      <c r="A1752" s="5">
        <v>1751</v>
      </c>
      <c r="B1752" s="6" t="s">
        <v>9</v>
      </c>
      <c r="C1752" s="7">
        <v>1884</v>
      </c>
      <c r="D1752" s="8">
        <v>45402</v>
      </c>
      <c r="E1752" s="9" t="str">
        <f>+HYPERLINK("http://trademark.i-assist.jp/data/china/image_1884th/76730813.pdf", "76730813")</f>
        <v>76730813</v>
      </c>
      <c r="F1752" s="6" t="s">
        <v>4704</v>
      </c>
      <c r="G1752" s="6" t="s">
        <v>4703</v>
      </c>
      <c r="H1752" s="8" t="s">
        <v>4705</v>
      </c>
      <c r="I1752" s="14">
        <v>45323</v>
      </c>
    </row>
    <row r="1753" spans="1:9" x14ac:dyDescent="0.15">
      <c r="A1753" s="5">
        <v>1752</v>
      </c>
      <c r="B1753" s="6" t="s">
        <v>9</v>
      </c>
      <c r="C1753" s="7">
        <v>1884</v>
      </c>
      <c r="D1753" s="8">
        <v>45402</v>
      </c>
      <c r="E1753" s="9" t="str">
        <f>+HYPERLINK("http://trademark.i-assist.jp/data/china/image_1884th/76730826.pdf", "76730826")</f>
        <v>76730826</v>
      </c>
      <c r="F1753" s="6" t="s">
        <v>4706</v>
      </c>
      <c r="G1753" s="6" t="s">
        <v>4618</v>
      </c>
      <c r="H1753" s="8" t="s">
        <v>4647</v>
      </c>
      <c r="I1753" s="14">
        <v>45323</v>
      </c>
    </row>
    <row r="1754" spans="1:9" x14ac:dyDescent="0.15">
      <c r="A1754" s="5">
        <v>1753</v>
      </c>
      <c r="B1754" s="6" t="s">
        <v>9</v>
      </c>
      <c r="C1754" s="7">
        <v>1884</v>
      </c>
      <c r="D1754" s="8">
        <v>45402</v>
      </c>
      <c r="E1754" s="9" t="str">
        <f>+HYPERLINK("http://trademark.i-assist.jp/data/china/image_1884th/76731120.pdf", "76731120")</f>
        <v>76731120</v>
      </c>
      <c r="F1754" s="6" t="s">
        <v>4708</v>
      </c>
      <c r="G1754" s="6" t="s">
        <v>4707</v>
      </c>
      <c r="H1754" s="8" t="s">
        <v>4709</v>
      </c>
      <c r="I1754" s="14">
        <v>45323</v>
      </c>
    </row>
    <row r="1755" spans="1:9" x14ac:dyDescent="0.15">
      <c r="A1755" s="5">
        <v>1754</v>
      </c>
      <c r="B1755" s="6" t="s">
        <v>9</v>
      </c>
      <c r="C1755" s="7">
        <v>1884</v>
      </c>
      <c r="D1755" s="8">
        <v>45402</v>
      </c>
      <c r="E1755" s="9" t="str">
        <f>+HYPERLINK("http://trademark.i-assist.jp/data/china/image_1884th/76731852.pdf", "76731852")</f>
        <v>76731852</v>
      </c>
      <c r="F1755" s="6" t="s">
        <v>4711</v>
      </c>
      <c r="G1755" s="6" t="s">
        <v>4710</v>
      </c>
      <c r="H1755" s="8" t="s">
        <v>4712</v>
      </c>
      <c r="I1755" s="14">
        <v>45323</v>
      </c>
    </row>
    <row r="1756" spans="1:9" x14ac:dyDescent="0.15">
      <c r="A1756" s="5">
        <v>1755</v>
      </c>
      <c r="B1756" s="6" t="s">
        <v>9</v>
      </c>
      <c r="C1756" s="7">
        <v>1884</v>
      </c>
      <c r="D1756" s="8">
        <v>45402</v>
      </c>
      <c r="E1756" s="9" t="str">
        <f>+HYPERLINK("http://trademark.i-assist.jp/data/china/image_1884th/76731876.pdf", "76731876")</f>
        <v>76731876</v>
      </c>
      <c r="F1756" s="6" t="s">
        <v>4713</v>
      </c>
      <c r="G1756" s="6" t="s">
        <v>4609</v>
      </c>
      <c r="H1756" s="8" t="s">
        <v>4714</v>
      </c>
      <c r="I1756" s="14">
        <v>45323</v>
      </c>
    </row>
    <row r="1757" spans="1:9" x14ac:dyDescent="0.15">
      <c r="A1757" s="5">
        <v>1756</v>
      </c>
      <c r="B1757" s="6" t="s">
        <v>9</v>
      </c>
      <c r="C1757" s="7">
        <v>1884</v>
      </c>
      <c r="D1757" s="8">
        <v>45402</v>
      </c>
      <c r="E1757" s="9" t="str">
        <f>+HYPERLINK("http://trademark.i-assist.jp/data/china/image_1884th/76731926.pdf", "76731926")</f>
        <v>76731926</v>
      </c>
      <c r="F1757" s="6" t="s">
        <v>167</v>
      </c>
      <c r="G1757" s="6" t="s">
        <v>4715</v>
      </c>
      <c r="H1757" s="8" t="s">
        <v>4716</v>
      </c>
      <c r="I1757" s="14">
        <v>45323</v>
      </c>
    </row>
    <row r="1758" spans="1:9" x14ac:dyDescent="0.15">
      <c r="A1758" s="5">
        <v>1757</v>
      </c>
      <c r="B1758" s="6" t="s">
        <v>9</v>
      </c>
      <c r="C1758" s="7">
        <v>1884</v>
      </c>
      <c r="D1758" s="8">
        <v>45402</v>
      </c>
      <c r="E1758" s="9" t="str">
        <f>+HYPERLINK("http://trademark.i-assist.jp/data/china/image_1884th/76732044.pdf", "76732044")</f>
        <v>76732044</v>
      </c>
      <c r="F1758" s="6" t="s">
        <v>4718</v>
      </c>
      <c r="G1758" s="6" t="s">
        <v>4717</v>
      </c>
      <c r="H1758" s="8" t="s">
        <v>4719</v>
      </c>
      <c r="I1758" s="14">
        <v>45323</v>
      </c>
    </row>
    <row r="1759" spans="1:9" x14ac:dyDescent="0.15">
      <c r="A1759" s="5">
        <v>1758</v>
      </c>
      <c r="B1759" s="6" t="s">
        <v>9</v>
      </c>
      <c r="C1759" s="7">
        <v>1884</v>
      </c>
      <c r="D1759" s="8">
        <v>45402</v>
      </c>
      <c r="E1759" s="9" t="str">
        <f>+HYPERLINK("http://trademark.i-assist.jp/data/china/image_1884th/76732204.pdf", "76732204")</f>
        <v>76732204</v>
      </c>
      <c r="F1759" s="6" t="s">
        <v>4721</v>
      </c>
      <c r="G1759" s="6" t="s">
        <v>4720</v>
      </c>
      <c r="H1759" s="8" t="s">
        <v>4722</v>
      </c>
      <c r="I1759" s="14">
        <v>45323</v>
      </c>
    </row>
    <row r="1760" spans="1:9" x14ac:dyDescent="0.15">
      <c r="A1760" s="5">
        <v>1759</v>
      </c>
      <c r="B1760" s="6" t="s">
        <v>9</v>
      </c>
      <c r="C1760" s="7">
        <v>1884</v>
      </c>
      <c r="D1760" s="8">
        <v>45402</v>
      </c>
      <c r="E1760" s="9" t="str">
        <f>+HYPERLINK("http://trademark.i-assist.jp/data/china/image_1884th/76732816.pdf", "76732816")</f>
        <v>76732816</v>
      </c>
      <c r="F1760" s="6" t="s">
        <v>4723</v>
      </c>
      <c r="G1760" s="6" t="s">
        <v>4602</v>
      </c>
      <c r="H1760" s="8" t="s">
        <v>4724</v>
      </c>
      <c r="I1760" s="14">
        <v>45323</v>
      </c>
    </row>
    <row r="1761" spans="1:9" x14ac:dyDescent="0.15">
      <c r="A1761" s="5">
        <v>1760</v>
      </c>
      <c r="B1761" s="6" t="s">
        <v>9</v>
      </c>
      <c r="C1761" s="7">
        <v>1884</v>
      </c>
      <c r="D1761" s="8">
        <v>45402</v>
      </c>
      <c r="E1761" s="9" t="str">
        <f>+HYPERLINK("http://trademark.i-assist.jp/data/china/image_1884th/76732924.pdf", "76732924")</f>
        <v>76732924</v>
      </c>
      <c r="F1761" s="6" t="s">
        <v>4726</v>
      </c>
      <c r="G1761" s="6" t="s">
        <v>4725</v>
      </c>
      <c r="H1761" s="8" t="s">
        <v>4727</v>
      </c>
      <c r="I1761" s="14">
        <v>45323</v>
      </c>
    </row>
    <row r="1762" spans="1:9" x14ac:dyDescent="0.15">
      <c r="A1762" s="5">
        <v>1761</v>
      </c>
      <c r="B1762" s="6" t="s">
        <v>9</v>
      </c>
      <c r="C1762" s="7">
        <v>1884</v>
      </c>
      <c r="D1762" s="8">
        <v>45402</v>
      </c>
      <c r="E1762" s="9" t="str">
        <f>+HYPERLINK("http://trademark.i-assist.jp/data/china/image_1884th/76733218.pdf", "76733218")</f>
        <v>76733218</v>
      </c>
      <c r="F1762" s="6" t="s">
        <v>167</v>
      </c>
      <c r="G1762" s="6" t="s">
        <v>4728</v>
      </c>
      <c r="H1762" s="8" t="s">
        <v>4729</v>
      </c>
      <c r="I1762" s="14">
        <v>45323</v>
      </c>
    </row>
    <row r="1763" spans="1:9" x14ac:dyDescent="0.15">
      <c r="A1763" s="5">
        <v>1762</v>
      </c>
      <c r="B1763" s="6" t="s">
        <v>9</v>
      </c>
      <c r="C1763" s="7">
        <v>1884</v>
      </c>
      <c r="D1763" s="8">
        <v>45402</v>
      </c>
      <c r="E1763" s="9" t="str">
        <f>+HYPERLINK("http://trademark.i-assist.jp/data/china/image_1884th/76733220.pdf", "76733220")</f>
        <v>76733220</v>
      </c>
      <c r="F1763" s="6" t="s">
        <v>4730</v>
      </c>
      <c r="G1763" s="6" t="s">
        <v>4618</v>
      </c>
      <c r="H1763" s="8" t="s">
        <v>4731</v>
      </c>
      <c r="I1763" s="14">
        <v>45323</v>
      </c>
    </row>
    <row r="1764" spans="1:9" x14ac:dyDescent="0.15">
      <c r="A1764" s="5">
        <v>1763</v>
      </c>
      <c r="B1764" s="6" t="s">
        <v>9</v>
      </c>
      <c r="C1764" s="7">
        <v>1884</v>
      </c>
      <c r="D1764" s="8">
        <v>45402</v>
      </c>
      <c r="E1764" s="9" t="str">
        <f>+HYPERLINK("http://trademark.i-assist.jp/data/china/image_1884th/76733227.pdf", "76733227")</f>
        <v>76733227</v>
      </c>
      <c r="F1764" s="6" t="s">
        <v>4732</v>
      </c>
      <c r="G1764" s="6" t="s">
        <v>4609</v>
      </c>
      <c r="H1764" s="8" t="s">
        <v>4733</v>
      </c>
      <c r="I1764" s="14">
        <v>45323</v>
      </c>
    </row>
    <row r="1765" spans="1:9" x14ac:dyDescent="0.15">
      <c r="A1765" s="5">
        <v>1764</v>
      </c>
      <c r="B1765" s="6" t="s">
        <v>9</v>
      </c>
      <c r="C1765" s="7">
        <v>1884</v>
      </c>
      <c r="D1765" s="8">
        <v>45402</v>
      </c>
      <c r="E1765" s="9" t="str">
        <f>+HYPERLINK("http://trademark.i-assist.jp/data/china/image_1884th/76733595.pdf", "76733595")</f>
        <v>76733595</v>
      </c>
      <c r="F1765" s="6" t="s">
        <v>4735</v>
      </c>
      <c r="G1765" s="6" t="s">
        <v>4734</v>
      </c>
      <c r="H1765" s="8" t="s">
        <v>4736</v>
      </c>
      <c r="I1765" s="14">
        <v>45323</v>
      </c>
    </row>
    <row r="1766" spans="1:9" x14ac:dyDescent="0.15">
      <c r="A1766" s="5">
        <v>1765</v>
      </c>
      <c r="B1766" s="6" t="s">
        <v>9</v>
      </c>
      <c r="C1766" s="7">
        <v>1884</v>
      </c>
      <c r="D1766" s="8">
        <v>45402</v>
      </c>
      <c r="E1766" s="9" t="str">
        <f>+HYPERLINK("http://trademark.i-assist.jp/data/china/image_1884th/76733627.pdf", "76733627")</f>
        <v>76733627</v>
      </c>
      <c r="F1766" s="6" t="s">
        <v>4738</v>
      </c>
      <c r="G1766" s="6" t="s">
        <v>4737</v>
      </c>
      <c r="H1766" s="8" t="s">
        <v>4739</v>
      </c>
      <c r="I1766" s="14">
        <v>45323</v>
      </c>
    </row>
    <row r="1767" spans="1:9" x14ac:dyDescent="0.15">
      <c r="A1767" s="5">
        <v>1766</v>
      </c>
      <c r="B1767" s="6" t="s">
        <v>9</v>
      </c>
      <c r="C1767" s="7">
        <v>1884</v>
      </c>
      <c r="D1767" s="8">
        <v>45402</v>
      </c>
      <c r="E1767" s="9" t="str">
        <f>+HYPERLINK("http://trademark.i-assist.jp/data/china/image_1884th/76733711.pdf", "76733711")</f>
        <v>76733711</v>
      </c>
      <c r="F1767" s="6" t="s">
        <v>4740</v>
      </c>
      <c r="G1767" s="6" t="s">
        <v>4618</v>
      </c>
      <c r="H1767" s="8" t="s">
        <v>4647</v>
      </c>
      <c r="I1767" s="14">
        <v>45323</v>
      </c>
    </row>
    <row r="1768" spans="1:9" x14ac:dyDescent="0.15">
      <c r="A1768" s="5">
        <v>1767</v>
      </c>
      <c r="B1768" s="6" t="s">
        <v>9</v>
      </c>
      <c r="C1768" s="7">
        <v>1884</v>
      </c>
      <c r="D1768" s="8">
        <v>45402</v>
      </c>
      <c r="E1768" s="9" t="str">
        <f>+HYPERLINK("http://trademark.i-assist.jp/data/china/image_1884th/76733995.pdf", "76733995")</f>
        <v>76733995</v>
      </c>
      <c r="F1768" s="6" t="s">
        <v>4742</v>
      </c>
      <c r="G1768" s="6" t="s">
        <v>4741</v>
      </c>
      <c r="H1768" s="8" t="s">
        <v>4639</v>
      </c>
      <c r="I1768" s="14">
        <v>45323</v>
      </c>
    </row>
    <row r="1769" spans="1:9" x14ac:dyDescent="0.15">
      <c r="A1769" s="5">
        <v>1768</v>
      </c>
      <c r="B1769" s="6" t="s">
        <v>9</v>
      </c>
      <c r="C1769" s="7">
        <v>1884</v>
      </c>
      <c r="D1769" s="8">
        <v>45402</v>
      </c>
      <c r="E1769" s="9" t="str">
        <f>+HYPERLINK("http://trademark.i-assist.jp/data/china/image_1884th/76734259.pdf", "76734259")</f>
        <v>76734259</v>
      </c>
      <c r="F1769" s="6" t="s">
        <v>4743</v>
      </c>
      <c r="G1769" s="6" t="s">
        <v>4618</v>
      </c>
      <c r="H1769" s="8" t="s">
        <v>4647</v>
      </c>
      <c r="I1769" s="14">
        <v>45323</v>
      </c>
    </row>
    <row r="1770" spans="1:9" x14ac:dyDescent="0.15">
      <c r="A1770" s="5">
        <v>1769</v>
      </c>
      <c r="B1770" s="6" t="s">
        <v>9</v>
      </c>
      <c r="C1770" s="7">
        <v>1884</v>
      </c>
      <c r="D1770" s="8">
        <v>45402</v>
      </c>
      <c r="E1770" s="9" t="str">
        <f>+HYPERLINK("http://trademark.i-assist.jp/data/china/image_1884th/76734609.pdf", "76734609")</f>
        <v>76734609</v>
      </c>
      <c r="F1770" s="6" t="s">
        <v>4745</v>
      </c>
      <c r="G1770" s="6" t="s">
        <v>4744</v>
      </c>
      <c r="H1770" s="8" t="s">
        <v>4746</v>
      </c>
      <c r="I1770" s="14">
        <v>45323</v>
      </c>
    </row>
    <row r="1771" spans="1:9" x14ac:dyDescent="0.15">
      <c r="A1771" s="5">
        <v>1770</v>
      </c>
      <c r="B1771" s="6" t="s">
        <v>9</v>
      </c>
      <c r="C1771" s="7">
        <v>1884</v>
      </c>
      <c r="D1771" s="8">
        <v>45402</v>
      </c>
      <c r="E1771" s="9" t="str">
        <f>+HYPERLINK("http://trademark.i-assist.jp/data/china/image_1884th/76734784.pdf", "76734784")</f>
        <v>76734784</v>
      </c>
      <c r="F1771" s="6" t="s">
        <v>4747</v>
      </c>
      <c r="G1771" s="6" t="s">
        <v>4602</v>
      </c>
      <c r="H1771" s="8" t="s">
        <v>4748</v>
      </c>
      <c r="I1771" s="14">
        <v>45323</v>
      </c>
    </row>
    <row r="1772" spans="1:9" x14ac:dyDescent="0.15">
      <c r="A1772" s="5">
        <v>1771</v>
      </c>
      <c r="B1772" s="6" t="s">
        <v>9</v>
      </c>
      <c r="C1772" s="7">
        <v>1884</v>
      </c>
      <c r="D1772" s="8">
        <v>45402</v>
      </c>
      <c r="E1772" s="9" t="str">
        <f>+HYPERLINK("http://trademark.i-assist.jp/data/china/image_1884th/76735713.pdf", "76735713")</f>
        <v>76735713</v>
      </c>
      <c r="F1772" s="6" t="s">
        <v>4750</v>
      </c>
      <c r="G1772" s="6" t="s">
        <v>4749</v>
      </c>
      <c r="H1772" s="8" t="s">
        <v>4751</v>
      </c>
      <c r="I1772" s="14">
        <v>45323</v>
      </c>
    </row>
    <row r="1773" spans="1:9" x14ac:dyDescent="0.15">
      <c r="A1773" s="5">
        <v>1772</v>
      </c>
      <c r="B1773" s="6" t="s">
        <v>9</v>
      </c>
      <c r="C1773" s="7">
        <v>1884</v>
      </c>
      <c r="D1773" s="8">
        <v>45402</v>
      </c>
      <c r="E1773" s="9" t="str">
        <f>+HYPERLINK("http://trademark.i-assist.jp/data/china/image_1884th/76735809.pdf", "76735809")</f>
        <v>76735809</v>
      </c>
      <c r="F1773" s="6" t="s">
        <v>4753</v>
      </c>
      <c r="G1773" s="6" t="s">
        <v>4752</v>
      </c>
      <c r="H1773" s="8" t="s">
        <v>4754</v>
      </c>
      <c r="I1773" s="14">
        <v>45323</v>
      </c>
    </row>
    <row r="1774" spans="1:9" x14ac:dyDescent="0.15">
      <c r="A1774" s="5">
        <v>1773</v>
      </c>
      <c r="B1774" s="6" t="s">
        <v>9</v>
      </c>
      <c r="C1774" s="7">
        <v>1884</v>
      </c>
      <c r="D1774" s="8">
        <v>45402</v>
      </c>
      <c r="E1774" s="9" t="str">
        <f>+HYPERLINK("http://trademark.i-assist.jp/data/china/image_1884th/76735887.pdf", "76735887")</f>
        <v>76735887</v>
      </c>
      <c r="F1774" s="6" t="s">
        <v>4756</v>
      </c>
      <c r="G1774" s="6" t="s">
        <v>4755</v>
      </c>
      <c r="H1774" s="8" t="s">
        <v>4757</v>
      </c>
      <c r="I1774" s="14">
        <v>45323</v>
      </c>
    </row>
    <row r="1775" spans="1:9" x14ac:dyDescent="0.15">
      <c r="A1775" s="5">
        <v>1774</v>
      </c>
      <c r="B1775" s="6" t="s">
        <v>9</v>
      </c>
      <c r="C1775" s="7">
        <v>1884</v>
      </c>
      <c r="D1775" s="8">
        <v>45402</v>
      </c>
      <c r="E1775" s="9" t="str">
        <f>+HYPERLINK("http://trademark.i-assist.jp/data/china/image_1884th/76736062.pdf", "76736062")</f>
        <v>76736062</v>
      </c>
      <c r="F1775" s="6" t="s">
        <v>4758</v>
      </c>
      <c r="G1775" s="6" t="s">
        <v>4618</v>
      </c>
      <c r="H1775" s="8" t="s">
        <v>4647</v>
      </c>
      <c r="I1775" s="14">
        <v>45323</v>
      </c>
    </row>
    <row r="1776" spans="1:9" x14ac:dyDescent="0.15">
      <c r="A1776" s="5">
        <v>1775</v>
      </c>
      <c r="B1776" s="6" t="s">
        <v>9</v>
      </c>
      <c r="C1776" s="7">
        <v>1884</v>
      </c>
      <c r="D1776" s="8">
        <v>45402</v>
      </c>
      <c r="E1776" s="9" t="str">
        <f>+HYPERLINK("http://trademark.i-assist.jp/data/china/image_1884th/76736867.pdf", "76736867")</f>
        <v>76736867</v>
      </c>
      <c r="F1776" s="6" t="s">
        <v>4760</v>
      </c>
      <c r="G1776" s="6" t="s">
        <v>4759</v>
      </c>
      <c r="H1776" s="8" t="s">
        <v>4761</v>
      </c>
      <c r="I1776" s="14">
        <v>45323</v>
      </c>
    </row>
    <row r="1777" spans="1:9" x14ac:dyDescent="0.15">
      <c r="A1777" s="5">
        <v>1776</v>
      </c>
      <c r="B1777" s="6" t="s">
        <v>9</v>
      </c>
      <c r="C1777" s="7">
        <v>1884</v>
      </c>
      <c r="D1777" s="8">
        <v>45402</v>
      </c>
      <c r="E1777" s="9" t="str">
        <f>+HYPERLINK("http://trademark.i-assist.jp/data/china/image_1884th/76737035.pdf", "76737035")</f>
        <v>76737035</v>
      </c>
      <c r="F1777" s="6" t="s">
        <v>4763</v>
      </c>
      <c r="G1777" s="6" t="s">
        <v>4762</v>
      </c>
      <c r="H1777" s="8" t="s">
        <v>4764</v>
      </c>
      <c r="I1777" s="14">
        <v>45323</v>
      </c>
    </row>
    <row r="1778" spans="1:9" x14ac:dyDescent="0.15">
      <c r="A1778" s="5">
        <v>1777</v>
      </c>
      <c r="B1778" s="6" t="s">
        <v>9</v>
      </c>
      <c r="C1778" s="7">
        <v>1884</v>
      </c>
      <c r="D1778" s="8">
        <v>45402</v>
      </c>
      <c r="E1778" s="9" t="str">
        <f>+HYPERLINK("http://trademark.i-assist.jp/data/china/image_1884th/76737385.pdf", "76737385")</f>
        <v>76737385</v>
      </c>
      <c r="F1778" s="6" t="s">
        <v>4766</v>
      </c>
      <c r="G1778" s="6" t="s">
        <v>4765</v>
      </c>
      <c r="H1778" s="8" t="s">
        <v>4767</v>
      </c>
      <c r="I1778" s="14">
        <v>45323</v>
      </c>
    </row>
    <row r="1779" spans="1:9" x14ac:dyDescent="0.15">
      <c r="A1779" s="5">
        <v>1778</v>
      </c>
      <c r="B1779" s="6" t="s">
        <v>9</v>
      </c>
      <c r="C1779" s="7">
        <v>1884</v>
      </c>
      <c r="D1779" s="8">
        <v>45402</v>
      </c>
      <c r="E1779" s="9" t="str">
        <f>+HYPERLINK("http://trademark.i-assist.jp/data/china/image_1884th/76738528.pdf", "76738528")</f>
        <v>76738528</v>
      </c>
      <c r="F1779" s="6" t="s">
        <v>4768</v>
      </c>
      <c r="G1779" s="6" t="s">
        <v>4618</v>
      </c>
      <c r="H1779" s="8" t="s">
        <v>4647</v>
      </c>
      <c r="I1779" s="14">
        <v>45323</v>
      </c>
    </row>
    <row r="1780" spans="1:9" x14ac:dyDescent="0.15">
      <c r="A1780" s="5">
        <v>1779</v>
      </c>
      <c r="B1780" s="6" t="s">
        <v>9</v>
      </c>
      <c r="C1780" s="7">
        <v>1884</v>
      </c>
      <c r="D1780" s="8">
        <v>45402</v>
      </c>
      <c r="E1780" s="9" t="str">
        <f>+HYPERLINK("http://trademark.i-assist.jp/data/china/image_1884th/76739348.pdf", "76739348")</f>
        <v>76739348</v>
      </c>
      <c r="F1780" s="6" t="s">
        <v>4770</v>
      </c>
      <c r="G1780" s="6" t="s">
        <v>4769</v>
      </c>
      <c r="H1780" s="8" t="s">
        <v>4771</v>
      </c>
      <c r="I1780" s="14">
        <v>45323</v>
      </c>
    </row>
    <row r="1781" spans="1:9" x14ac:dyDescent="0.15">
      <c r="A1781" s="5">
        <v>1780</v>
      </c>
      <c r="B1781" s="6" t="s">
        <v>9</v>
      </c>
      <c r="C1781" s="7">
        <v>1884</v>
      </c>
      <c r="D1781" s="8">
        <v>45402</v>
      </c>
      <c r="E1781" s="9" t="str">
        <f>+HYPERLINK("http://trademark.i-assist.jp/data/china/image_1884th/76739507.pdf", "76739507")</f>
        <v>76739507</v>
      </c>
      <c r="F1781" s="6" t="s">
        <v>4773</v>
      </c>
      <c r="G1781" s="6" t="s">
        <v>4772</v>
      </c>
      <c r="H1781" s="8" t="s">
        <v>4774</v>
      </c>
      <c r="I1781" s="14">
        <v>45323</v>
      </c>
    </row>
    <row r="1782" spans="1:9" x14ac:dyDescent="0.15">
      <c r="A1782" s="5">
        <v>1781</v>
      </c>
      <c r="B1782" s="6" t="s">
        <v>9</v>
      </c>
      <c r="C1782" s="7">
        <v>1884</v>
      </c>
      <c r="D1782" s="8">
        <v>45402</v>
      </c>
      <c r="E1782" s="9" t="str">
        <f>+HYPERLINK("http://trademark.i-assist.jp/data/china/image_1884th/76739739.pdf", "76739739")</f>
        <v>76739739</v>
      </c>
      <c r="F1782" s="6" t="s">
        <v>4775</v>
      </c>
      <c r="G1782" s="6" t="s">
        <v>4720</v>
      </c>
      <c r="H1782" s="8" t="s">
        <v>4722</v>
      </c>
      <c r="I1782" s="14">
        <v>45323</v>
      </c>
    </row>
    <row r="1783" spans="1:9" x14ac:dyDescent="0.15">
      <c r="A1783" s="5">
        <v>1782</v>
      </c>
      <c r="B1783" s="6" t="s">
        <v>9</v>
      </c>
      <c r="C1783" s="7">
        <v>1884</v>
      </c>
      <c r="D1783" s="8">
        <v>45402</v>
      </c>
      <c r="E1783" s="9" t="str">
        <f>+HYPERLINK("http://trademark.i-assist.jp/data/china/image_1884th/76740003.pdf", "76740003")</f>
        <v>76740003</v>
      </c>
      <c r="F1783" s="6" t="s">
        <v>4776</v>
      </c>
      <c r="G1783" s="6" t="s">
        <v>4618</v>
      </c>
      <c r="H1783" s="8" t="s">
        <v>4647</v>
      </c>
      <c r="I1783" s="14">
        <v>45323</v>
      </c>
    </row>
    <row r="1784" spans="1:9" x14ac:dyDescent="0.15">
      <c r="A1784" s="5">
        <v>1783</v>
      </c>
      <c r="B1784" s="6" t="s">
        <v>9</v>
      </c>
      <c r="C1784" s="7">
        <v>1884</v>
      </c>
      <c r="D1784" s="8">
        <v>45402</v>
      </c>
      <c r="E1784" s="9" t="str">
        <f>+HYPERLINK("http://trademark.i-assist.jp/data/china/image_1884th/76740344.pdf", "76740344")</f>
        <v>76740344</v>
      </c>
      <c r="F1784" s="6" t="s">
        <v>4778</v>
      </c>
      <c r="G1784" s="6" t="s">
        <v>4777</v>
      </c>
      <c r="H1784" s="8" t="s">
        <v>4779</v>
      </c>
      <c r="I1784" s="14">
        <v>45323</v>
      </c>
    </row>
    <row r="1785" spans="1:9" x14ac:dyDescent="0.15">
      <c r="A1785" s="5">
        <v>1784</v>
      </c>
      <c r="B1785" s="6" t="s">
        <v>9</v>
      </c>
      <c r="C1785" s="7">
        <v>1884</v>
      </c>
      <c r="D1785" s="8">
        <v>45402</v>
      </c>
      <c r="E1785" s="9" t="str">
        <f>+HYPERLINK("http://trademark.i-assist.jp/data/china/image_1884th/76740414.pdf", "76740414")</f>
        <v>76740414</v>
      </c>
      <c r="F1785" s="6" t="s">
        <v>4781</v>
      </c>
      <c r="G1785" s="6" t="s">
        <v>4780</v>
      </c>
      <c r="H1785" s="8" t="s">
        <v>4782</v>
      </c>
      <c r="I1785" s="14">
        <v>45323</v>
      </c>
    </row>
    <row r="1786" spans="1:9" x14ac:dyDescent="0.15">
      <c r="A1786" s="5">
        <v>1785</v>
      </c>
      <c r="B1786" s="6" t="s">
        <v>9</v>
      </c>
      <c r="C1786" s="7">
        <v>1884</v>
      </c>
      <c r="D1786" s="8">
        <v>45402</v>
      </c>
      <c r="E1786" s="9" t="str">
        <f>+HYPERLINK("http://trademark.i-assist.jp/data/china/image_1884th/76740678.pdf", "76740678")</f>
        <v>76740678</v>
      </c>
      <c r="F1786" s="6" t="s">
        <v>4783</v>
      </c>
      <c r="G1786" s="6" t="s">
        <v>4609</v>
      </c>
      <c r="H1786" s="8" t="s">
        <v>4611</v>
      </c>
      <c r="I1786" s="14">
        <v>45323</v>
      </c>
    </row>
    <row r="1787" spans="1:9" x14ac:dyDescent="0.15">
      <c r="A1787" s="5">
        <v>1786</v>
      </c>
      <c r="B1787" s="6" t="s">
        <v>9</v>
      </c>
      <c r="C1787" s="7">
        <v>1884</v>
      </c>
      <c r="D1787" s="8">
        <v>45402</v>
      </c>
      <c r="E1787" s="9" t="str">
        <f>+HYPERLINK("http://trademark.i-assist.jp/data/china/image_1884th/76740726.pdf", "76740726")</f>
        <v>76740726</v>
      </c>
      <c r="F1787" s="6" t="s">
        <v>4784</v>
      </c>
      <c r="G1787" s="6" t="s">
        <v>4609</v>
      </c>
      <c r="H1787" s="8" t="s">
        <v>4611</v>
      </c>
      <c r="I1787" s="14">
        <v>45323</v>
      </c>
    </row>
    <row r="1788" spans="1:9" x14ac:dyDescent="0.15">
      <c r="A1788" s="5">
        <v>1787</v>
      </c>
      <c r="B1788" s="6" t="s">
        <v>9</v>
      </c>
      <c r="C1788" s="7">
        <v>1884</v>
      </c>
      <c r="D1788" s="8">
        <v>45402</v>
      </c>
      <c r="E1788" s="9" t="str">
        <f>+HYPERLINK("http://trademark.i-assist.jp/data/china/image_1884th/76741718.pdf", "76741718")</f>
        <v>76741718</v>
      </c>
      <c r="F1788" s="6" t="s">
        <v>4785</v>
      </c>
      <c r="G1788" s="6" t="s">
        <v>4720</v>
      </c>
      <c r="H1788" s="8" t="s">
        <v>4786</v>
      </c>
      <c r="I1788" s="14">
        <v>45323</v>
      </c>
    </row>
    <row r="1789" spans="1:9" x14ac:dyDescent="0.15">
      <c r="A1789" s="5">
        <v>1788</v>
      </c>
      <c r="B1789" s="6" t="s">
        <v>9</v>
      </c>
      <c r="C1789" s="7">
        <v>1884</v>
      </c>
      <c r="D1789" s="8">
        <v>45402</v>
      </c>
      <c r="E1789" s="9" t="str">
        <f>+HYPERLINK("http://trademark.i-assist.jp/data/china/image_1884th/76742036.pdf", "76742036")</f>
        <v>76742036</v>
      </c>
      <c r="F1789" s="6" t="s">
        <v>4787</v>
      </c>
      <c r="G1789" s="6" t="s">
        <v>4270</v>
      </c>
      <c r="H1789" s="8" t="s">
        <v>4272</v>
      </c>
      <c r="I1789" s="14">
        <v>45323</v>
      </c>
    </row>
    <row r="1790" spans="1:9" x14ac:dyDescent="0.15">
      <c r="A1790" s="5">
        <v>1789</v>
      </c>
      <c r="B1790" s="6" t="s">
        <v>9</v>
      </c>
      <c r="C1790" s="7">
        <v>1884</v>
      </c>
      <c r="D1790" s="8">
        <v>45402</v>
      </c>
      <c r="E1790" s="9" t="str">
        <f>+HYPERLINK("http://trademark.i-assist.jp/data/china/image_1884th/76742077.pdf", "76742077")</f>
        <v>76742077</v>
      </c>
      <c r="F1790" s="6" t="s">
        <v>4788</v>
      </c>
      <c r="G1790" s="6" t="s">
        <v>4734</v>
      </c>
      <c r="H1790" s="8" t="s">
        <v>4789</v>
      </c>
      <c r="I1790" s="14">
        <v>45323</v>
      </c>
    </row>
    <row r="1791" spans="1:9" x14ac:dyDescent="0.15">
      <c r="A1791" s="5">
        <v>1790</v>
      </c>
      <c r="B1791" s="6" t="s">
        <v>9</v>
      </c>
      <c r="C1791" s="7">
        <v>1884</v>
      </c>
      <c r="D1791" s="8">
        <v>45402</v>
      </c>
      <c r="E1791" s="9" t="str">
        <f>+HYPERLINK("http://trademark.i-assist.jp/data/china/image_1884th/76742182.pdf", "76742182")</f>
        <v>76742182</v>
      </c>
      <c r="F1791" s="6" t="s">
        <v>4790</v>
      </c>
      <c r="G1791" s="6" t="s">
        <v>4602</v>
      </c>
      <c r="H1791" s="8" t="s">
        <v>4791</v>
      </c>
      <c r="I1791" s="14">
        <v>45323</v>
      </c>
    </row>
    <row r="1792" spans="1:9" x14ac:dyDescent="0.15">
      <c r="A1792" s="5">
        <v>1791</v>
      </c>
      <c r="B1792" s="6" t="s">
        <v>9</v>
      </c>
      <c r="C1792" s="7">
        <v>1884</v>
      </c>
      <c r="D1792" s="8">
        <v>45402</v>
      </c>
      <c r="E1792" s="9" t="str">
        <f>+HYPERLINK("http://trademark.i-assist.jp/data/china/image_1884th/76742373.pdf", "76742373")</f>
        <v>76742373</v>
      </c>
      <c r="F1792" s="6" t="s">
        <v>167</v>
      </c>
      <c r="G1792" s="6" t="s">
        <v>4792</v>
      </c>
      <c r="H1792" s="8" t="s">
        <v>4793</v>
      </c>
      <c r="I1792" s="14">
        <v>45324</v>
      </c>
    </row>
    <row r="1793" spans="1:9" x14ac:dyDescent="0.15">
      <c r="A1793" s="5">
        <v>1792</v>
      </c>
      <c r="B1793" s="6" t="s">
        <v>9</v>
      </c>
      <c r="C1793" s="7">
        <v>1884</v>
      </c>
      <c r="D1793" s="8">
        <v>45402</v>
      </c>
      <c r="E1793" s="9" t="str">
        <f>+HYPERLINK("http://trademark.i-assist.jp/data/china/image_1884th/76742693.pdf", "76742693")</f>
        <v>76742693</v>
      </c>
      <c r="F1793" s="6" t="s">
        <v>4795</v>
      </c>
      <c r="G1793" s="6" t="s">
        <v>4794</v>
      </c>
      <c r="H1793" s="8" t="s">
        <v>4510</v>
      </c>
      <c r="I1793" s="14">
        <v>45324</v>
      </c>
    </row>
    <row r="1794" spans="1:9" x14ac:dyDescent="0.15">
      <c r="A1794" s="5">
        <v>1793</v>
      </c>
      <c r="B1794" s="6" t="s">
        <v>9</v>
      </c>
      <c r="C1794" s="7">
        <v>1884</v>
      </c>
      <c r="D1794" s="8">
        <v>45402</v>
      </c>
      <c r="E1794" s="9" t="str">
        <f>+HYPERLINK("http://trademark.i-assist.jp/data/china/image_1884th/76743327.pdf", "76743327")</f>
        <v>76743327</v>
      </c>
      <c r="F1794" s="6" t="s">
        <v>4797</v>
      </c>
      <c r="G1794" s="6" t="s">
        <v>4796</v>
      </c>
      <c r="H1794" s="8" t="s">
        <v>4798</v>
      </c>
      <c r="I1794" s="14">
        <v>45324</v>
      </c>
    </row>
    <row r="1795" spans="1:9" x14ac:dyDescent="0.15">
      <c r="A1795" s="5">
        <v>1794</v>
      </c>
      <c r="B1795" s="6" t="s">
        <v>9</v>
      </c>
      <c r="C1795" s="7">
        <v>1884</v>
      </c>
      <c r="D1795" s="8">
        <v>45402</v>
      </c>
      <c r="E1795" s="9" t="str">
        <f>+HYPERLINK("http://trademark.i-assist.jp/data/china/image_1884th/76743419.pdf", "76743419")</f>
        <v>76743419</v>
      </c>
      <c r="F1795" s="6" t="s">
        <v>4799</v>
      </c>
      <c r="G1795" s="6" t="s">
        <v>3352</v>
      </c>
      <c r="H1795" s="8" t="s">
        <v>4800</v>
      </c>
      <c r="I1795" s="14">
        <v>45324</v>
      </c>
    </row>
    <row r="1796" spans="1:9" x14ac:dyDescent="0.15">
      <c r="A1796" s="5">
        <v>1795</v>
      </c>
      <c r="B1796" s="6" t="s">
        <v>9</v>
      </c>
      <c r="C1796" s="7">
        <v>1884</v>
      </c>
      <c r="D1796" s="8">
        <v>45402</v>
      </c>
      <c r="E1796" s="9" t="str">
        <f>+HYPERLINK("http://trademark.i-assist.jp/data/china/image_1884th/76743608.pdf", "76743608")</f>
        <v>76743608</v>
      </c>
      <c r="F1796" s="6" t="s">
        <v>4802</v>
      </c>
      <c r="G1796" s="6" t="s">
        <v>4801</v>
      </c>
      <c r="H1796" s="8" t="s">
        <v>4803</v>
      </c>
      <c r="I1796" s="14">
        <v>45324</v>
      </c>
    </row>
    <row r="1797" spans="1:9" x14ac:dyDescent="0.15">
      <c r="A1797" s="5">
        <v>1796</v>
      </c>
      <c r="B1797" s="6" t="s">
        <v>9</v>
      </c>
      <c r="C1797" s="7">
        <v>1884</v>
      </c>
      <c r="D1797" s="8">
        <v>45402</v>
      </c>
      <c r="E1797" s="9" t="str">
        <f>+HYPERLINK("http://trademark.i-assist.jp/data/china/image_1884th/76744252.pdf", "76744252")</f>
        <v>76744252</v>
      </c>
      <c r="F1797" s="6" t="s">
        <v>4805</v>
      </c>
      <c r="G1797" s="6" t="s">
        <v>4804</v>
      </c>
      <c r="H1797" s="8" t="s">
        <v>4806</v>
      </c>
      <c r="I1797" s="14">
        <v>45324</v>
      </c>
    </row>
    <row r="1798" spans="1:9" x14ac:dyDescent="0.15">
      <c r="A1798" s="5">
        <v>1797</v>
      </c>
      <c r="B1798" s="6" t="s">
        <v>9</v>
      </c>
      <c r="C1798" s="7">
        <v>1884</v>
      </c>
      <c r="D1798" s="8">
        <v>45402</v>
      </c>
      <c r="E1798" s="9" t="str">
        <f>+HYPERLINK("http://trademark.i-assist.jp/data/china/image_1884th/76744532.pdf", "76744532")</f>
        <v>76744532</v>
      </c>
      <c r="F1798" s="6" t="s">
        <v>4808</v>
      </c>
      <c r="G1798" s="6" t="s">
        <v>4807</v>
      </c>
      <c r="H1798" s="8" t="s">
        <v>4809</v>
      </c>
      <c r="I1798" s="14">
        <v>45324</v>
      </c>
    </row>
    <row r="1799" spans="1:9" x14ac:dyDescent="0.15">
      <c r="A1799" s="5">
        <v>1798</v>
      </c>
      <c r="B1799" s="6" t="s">
        <v>9</v>
      </c>
      <c r="C1799" s="7">
        <v>1884</v>
      </c>
      <c r="D1799" s="8">
        <v>45402</v>
      </c>
      <c r="E1799" s="9" t="str">
        <f>+HYPERLINK("http://trademark.i-assist.jp/data/china/image_1884th/76744542.pdf", "76744542")</f>
        <v>76744542</v>
      </c>
      <c r="F1799" s="6" t="s">
        <v>4811</v>
      </c>
      <c r="G1799" s="6" t="s">
        <v>4810</v>
      </c>
      <c r="H1799" s="8" t="s">
        <v>4812</v>
      </c>
      <c r="I1799" s="14">
        <v>45324</v>
      </c>
    </row>
    <row r="1800" spans="1:9" x14ac:dyDescent="0.15">
      <c r="A1800" s="5">
        <v>1799</v>
      </c>
      <c r="B1800" s="6" t="s">
        <v>9</v>
      </c>
      <c r="C1800" s="7">
        <v>1884</v>
      </c>
      <c r="D1800" s="8">
        <v>45402</v>
      </c>
      <c r="E1800" s="9" t="str">
        <f>+HYPERLINK("http://trademark.i-assist.jp/data/china/image_1884th/76744548.pdf", "76744548")</f>
        <v>76744548</v>
      </c>
      <c r="F1800" s="6" t="s">
        <v>4813</v>
      </c>
      <c r="G1800" s="6" t="s">
        <v>4810</v>
      </c>
      <c r="H1800" s="8" t="s">
        <v>3451</v>
      </c>
      <c r="I1800" s="14">
        <v>45324</v>
      </c>
    </row>
    <row r="1801" spans="1:9" x14ac:dyDescent="0.15">
      <c r="A1801" s="5">
        <v>1800</v>
      </c>
      <c r="B1801" s="6" t="s">
        <v>9</v>
      </c>
      <c r="C1801" s="7">
        <v>1884</v>
      </c>
      <c r="D1801" s="8">
        <v>45402</v>
      </c>
      <c r="E1801" s="9" t="str">
        <f>+HYPERLINK("http://trademark.i-assist.jp/data/china/image_1884th/76744621.pdf", "76744621")</f>
        <v>76744621</v>
      </c>
      <c r="F1801" s="6" t="s">
        <v>4815</v>
      </c>
      <c r="G1801" s="6" t="s">
        <v>4814</v>
      </c>
      <c r="H1801" s="8" t="s">
        <v>4816</v>
      </c>
      <c r="I1801" s="14">
        <v>45324</v>
      </c>
    </row>
    <row r="1802" spans="1:9" x14ac:dyDescent="0.15">
      <c r="A1802" s="5">
        <v>1801</v>
      </c>
      <c r="B1802" s="6" t="s">
        <v>9</v>
      </c>
      <c r="C1802" s="7">
        <v>1884</v>
      </c>
      <c r="D1802" s="8">
        <v>45402</v>
      </c>
      <c r="E1802" s="9" t="str">
        <f>+HYPERLINK("http://trademark.i-assist.jp/data/china/image_1884th/76745135.pdf", "76745135")</f>
        <v>76745135</v>
      </c>
      <c r="F1802" s="6" t="s">
        <v>4818</v>
      </c>
      <c r="G1802" s="6" t="s">
        <v>4817</v>
      </c>
      <c r="H1802" s="8" t="s">
        <v>4819</v>
      </c>
      <c r="I1802" s="14">
        <v>45324</v>
      </c>
    </row>
    <row r="1803" spans="1:9" x14ac:dyDescent="0.15">
      <c r="A1803" s="5">
        <v>1802</v>
      </c>
      <c r="B1803" s="6" t="s">
        <v>9</v>
      </c>
      <c r="C1803" s="7">
        <v>1884</v>
      </c>
      <c r="D1803" s="8">
        <v>45402</v>
      </c>
      <c r="E1803" s="9" t="str">
        <f>+HYPERLINK("http://trademark.i-assist.jp/data/china/image_1884th/76745238.pdf", "76745238")</f>
        <v>76745238</v>
      </c>
      <c r="F1803" s="6" t="s">
        <v>4820</v>
      </c>
      <c r="G1803" s="6" t="s">
        <v>1261</v>
      </c>
      <c r="H1803" s="8" t="s">
        <v>4821</v>
      </c>
      <c r="I1803" s="14">
        <v>45324</v>
      </c>
    </row>
    <row r="1804" spans="1:9" x14ac:dyDescent="0.15">
      <c r="A1804" s="5">
        <v>1803</v>
      </c>
      <c r="B1804" s="6" t="s">
        <v>9</v>
      </c>
      <c r="C1804" s="7">
        <v>1884</v>
      </c>
      <c r="D1804" s="8">
        <v>45402</v>
      </c>
      <c r="E1804" s="9" t="str">
        <f>+HYPERLINK("http://trademark.i-assist.jp/data/china/image_1884th/76745239.pdf", "76745239")</f>
        <v>76745239</v>
      </c>
      <c r="F1804" s="6" t="s">
        <v>4823</v>
      </c>
      <c r="G1804" s="6" t="s">
        <v>4822</v>
      </c>
      <c r="H1804" s="8" t="s">
        <v>4824</v>
      </c>
      <c r="I1804" s="14">
        <v>45324</v>
      </c>
    </row>
    <row r="1805" spans="1:9" x14ac:dyDescent="0.15">
      <c r="A1805" s="5">
        <v>1804</v>
      </c>
      <c r="B1805" s="6" t="s">
        <v>9</v>
      </c>
      <c r="C1805" s="7">
        <v>1884</v>
      </c>
      <c r="D1805" s="8">
        <v>45402</v>
      </c>
      <c r="E1805" s="9" t="str">
        <f>+HYPERLINK("http://trademark.i-assist.jp/data/china/image_1884th/76745357.pdf", "76745357")</f>
        <v>76745357</v>
      </c>
      <c r="F1805" s="6" t="s">
        <v>4826</v>
      </c>
      <c r="G1805" s="6" t="s">
        <v>4825</v>
      </c>
      <c r="H1805" s="8" t="s">
        <v>4827</v>
      </c>
      <c r="I1805" s="14">
        <v>45324</v>
      </c>
    </row>
    <row r="1806" spans="1:9" x14ac:dyDescent="0.15">
      <c r="A1806" s="5">
        <v>1805</v>
      </c>
      <c r="B1806" s="6" t="s">
        <v>9</v>
      </c>
      <c r="C1806" s="7">
        <v>1884</v>
      </c>
      <c r="D1806" s="8">
        <v>45402</v>
      </c>
      <c r="E1806" s="9" t="str">
        <f>+HYPERLINK("http://trademark.i-assist.jp/data/china/image_1884th/76745531.pdf", "76745531")</f>
        <v>76745531</v>
      </c>
      <c r="F1806" s="6" t="s">
        <v>4829</v>
      </c>
      <c r="G1806" s="6" t="s">
        <v>4828</v>
      </c>
      <c r="H1806" s="8" t="s">
        <v>4830</v>
      </c>
      <c r="I1806" s="14">
        <v>45324</v>
      </c>
    </row>
    <row r="1807" spans="1:9" x14ac:dyDescent="0.15">
      <c r="A1807" s="5">
        <v>1806</v>
      </c>
      <c r="B1807" s="6" t="s">
        <v>9</v>
      </c>
      <c r="C1807" s="7">
        <v>1884</v>
      </c>
      <c r="D1807" s="8">
        <v>45402</v>
      </c>
      <c r="E1807" s="9" t="str">
        <f>+HYPERLINK("http://trademark.i-assist.jp/data/china/image_1884th/76745695.pdf", "76745695")</f>
        <v>76745695</v>
      </c>
      <c r="F1807" s="6" t="s">
        <v>4832</v>
      </c>
      <c r="G1807" s="6" t="s">
        <v>4831</v>
      </c>
      <c r="H1807" s="8" t="s">
        <v>4833</v>
      </c>
      <c r="I1807" s="14">
        <v>45324</v>
      </c>
    </row>
    <row r="1808" spans="1:9" x14ac:dyDescent="0.15">
      <c r="A1808" s="5">
        <v>1807</v>
      </c>
      <c r="B1808" s="6" t="s">
        <v>9</v>
      </c>
      <c r="C1808" s="7">
        <v>1884</v>
      </c>
      <c r="D1808" s="8">
        <v>45402</v>
      </c>
      <c r="E1808" s="9" t="str">
        <f>+HYPERLINK("http://trademark.i-assist.jp/data/china/image_1884th/76745781.pdf", "76745781")</f>
        <v>76745781</v>
      </c>
      <c r="F1808" s="6" t="s">
        <v>4835</v>
      </c>
      <c r="G1808" s="6" t="s">
        <v>4834</v>
      </c>
      <c r="H1808" s="8" t="s">
        <v>4836</v>
      </c>
      <c r="I1808" s="14">
        <v>45324</v>
      </c>
    </row>
    <row r="1809" spans="1:9" x14ac:dyDescent="0.15">
      <c r="A1809" s="5">
        <v>1808</v>
      </c>
      <c r="B1809" s="6" t="s">
        <v>9</v>
      </c>
      <c r="C1809" s="7">
        <v>1884</v>
      </c>
      <c r="D1809" s="8">
        <v>45402</v>
      </c>
      <c r="E1809" s="9" t="str">
        <f>+HYPERLINK("http://trademark.i-assist.jp/data/china/image_1884th/76745890.pdf", "76745890")</f>
        <v>76745890</v>
      </c>
      <c r="F1809" s="6" t="s">
        <v>4838</v>
      </c>
      <c r="G1809" s="6" t="s">
        <v>4837</v>
      </c>
      <c r="H1809" s="8" t="s">
        <v>4839</v>
      </c>
      <c r="I1809" s="14">
        <v>45324</v>
      </c>
    </row>
    <row r="1810" spans="1:9" x14ac:dyDescent="0.15">
      <c r="A1810" s="5">
        <v>1809</v>
      </c>
      <c r="B1810" s="6" t="s">
        <v>9</v>
      </c>
      <c r="C1810" s="7">
        <v>1884</v>
      </c>
      <c r="D1810" s="8">
        <v>45402</v>
      </c>
      <c r="E1810" s="9" t="str">
        <f>+HYPERLINK("http://trademark.i-assist.jp/data/china/image_1884th/76746436.pdf", "76746436")</f>
        <v>76746436</v>
      </c>
      <c r="F1810" s="6" t="s">
        <v>4841</v>
      </c>
      <c r="G1810" s="6" t="s">
        <v>4840</v>
      </c>
      <c r="H1810" s="8" t="s">
        <v>4842</v>
      </c>
      <c r="I1810" s="14">
        <v>45324</v>
      </c>
    </row>
    <row r="1811" spans="1:9" x14ac:dyDescent="0.15">
      <c r="A1811" s="5">
        <v>1810</v>
      </c>
      <c r="B1811" s="6" t="s">
        <v>9</v>
      </c>
      <c r="C1811" s="7">
        <v>1884</v>
      </c>
      <c r="D1811" s="8">
        <v>45402</v>
      </c>
      <c r="E1811" s="9" t="str">
        <f>+HYPERLINK("http://trademark.i-assist.jp/data/china/image_1884th/76746721.pdf", "76746721")</f>
        <v>76746721</v>
      </c>
      <c r="F1811" s="6" t="s">
        <v>4844</v>
      </c>
      <c r="G1811" s="6" t="s">
        <v>4843</v>
      </c>
      <c r="H1811" s="8" t="s">
        <v>4845</v>
      </c>
      <c r="I1811" s="14">
        <v>45324</v>
      </c>
    </row>
    <row r="1812" spans="1:9" x14ac:dyDescent="0.15">
      <c r="A1812" s="5">
        <v>1811</v>
      </c>
      <c r="B1812" s="6" t="s">
        <v>9</v>
      </c>
      <c r="C1812" s="7">
        <v>1884</v>
      </c>
      <c r="D1812" s="8">
        <v>45402</v>
      </c>
      <c r="E1812" s="9" t="str">
        <f>+HYPERLINK("http://trademark.i-assist.jp/data/china/image_1884th/76746827.pdf", "76746827")</f>
        <v>76746827</v>
      </c>
      <c r="F1812" s="6" t="s">
        <v>4847</v>
      </c>
      <c r="G1812" s="6" t="s">
        <v>4846</v>
      </c>
      <c r="H1812" s="8" t="s">
        <v>3342</v>
      </c>
      <c r="I1812" s="14">
        <v>45324</v>
      </c>
    </row>
    <row r="1813" spans="1:9" x14ac:dyDescent="0.15">
      <c r="A1813" s="5">
        <v>1812</v>
      </c>
      <c r="B1813" s="6" t="s">
        <v>9</v>
      </c>
      <c r="C1813" s="7">
        <v>1884</v>
      </c>
      <c r="D1813" s="8">
        <v>45402</v>
      </c>
      <c r="E1813" s="9" t="str">
        <f>+HYPERLINK("http://trademark.i-assist.jp/data/china/image_1884th/76746878.pdf", "76746878")</f>
        <v>76746878</v>
      </c>
      <c r="F1813" s="6" t="s">
        <v>4849</v>
      </c>
      <c r="G1813" s="6" t="s">
        <v>4848</v>
      </c>
      <c r="H1813" s="8" t="s">
        <v>4850</v>
      </c>
      <c r="I1813" s="14">
        <v>45324</v>
      </c>
    </row>
    <row r="1814" spans="1:9" x14ac:dyDescent="0.15">
      <c r="A1814" s="5">
        <v>1813</v>
      </c>
      <c r="B1814" s="6" t="s">
        <v>9</v>
      </c>
      <c r="C1814" s="7">
        <v>1884</v>
      </c>
      <c r="D1814" s="8">
        <v>45402</v>
      </c>
      <c r="E1814" s="9" t="str">
        <f>+HYPERLINK("http://trademark.i-assist.jp/data/china/image_1884th/76746899.pdf", "76746899")</f>
        <v>76746899</v>
      </c>
      <c r="F1814" s="6" t="s">
        <v>4851</v>
      </c>
      <c r="G1814" s="6" t="s">
        <v>4848</v>
      </c>
      <c r="H1814" s="8" t="s">
        <v>4850</v>
      </c>
      <c r="I1814" s="14">
        <v>45324</v>
      </c>
    </row>
    <row r="1815" spans="1:9" x14ac:dyDescent="0.15">
      <c r="A1815" s="5">
        <v>1814</v>
      </c>
      <c r="B1815" s="6" t="s">
        <v>9</v>
      </c>
      <c r="C1815" s="7">
        <v>1884</v>
      </c>
      <c r="D1815" s="8">
        <v>45402</v>
      </c>
      <c r="E1815" s="9" t="str">
        <f>+HYPERLINK("http://trademark.i-assist.jp/data/china/image_1884th/76747040.pdf", "76747040")</f>
        <v>76747040</v>
      </c>
      <c r="F1815" s="6" t="s">
        <v>4853</v>
      </c>
      <c r="G1815" s="6" t="s">
        <v>4852</v>
      </c>
      <c r="H1815" s="8" t="s">
        <v>4854</v>
      </c>
      <c r="I1815" s="14">
        <v>45324</v>
      </c>
    </row>
    <row r="1816" spans="1:9" x14ac:dyDescent="0.15">
      <c r="A1816" s="5">
        <v>1815</v>
      </c>
      <c r="B1816" s="6" t="s">
        <v>9</v>
      </c>
      <c r="C1816" s="7">
        <v>1884</v>
      </c>
      <c r="D1816" s="8">
        <v>45402</v>
      </c>
      <c r="E1816" s="9" t="str">
        <f>+HYPERLINK("http://trademark.i-assist.jp/data/china/image_1884th/76747291.pdf", "76747291")</f>
        <v>76747291</v>
      </c>
      <c r="F1816" s="6" t="s">
        <v>4856</v>
      </c>
      <c r="G1816" s="6" t="s">
        <v>4855</v>
      </c>
      <c r="H1816" s="8" t="s">
        <v>4857</v>
      </c>
      <c r="I1816" s="14">
        <v>45324</v>
      </c>
    </row>
    <row r="1817" spans="1:9" x14ac:dyDescent="0.15">
      <c r="A1817" s="5">
        <v>1816</v>
      </c>
      <c r="B1817" s="6" t="s">
        <v>9</v>
      </c>
      <c r="C1817" s="7">
        <v>1884</v>
      </c>
      <c r="D1817" s="8">
        <v>45402</v>
      </c>
      <c r="E1817" s="9" t="str">
        <f>+HYPERLINK("http://trademark.i-assist.jp/data/china/image_1884th/76747797.pdf", "76747797")</f>
        <v>76747797</v>
      </c>
      <c r="F1817" s="6" t="s">
        <v>4858</v>
      </c>
      <c r="G1817" s="6" t="s">
        <v>4814</v>
      </c>
      <c r="H1817" s="8" t="s">
        <v>4859</v>
      </c>
      <c r="I1817" s="14">
        <v>45324</v>
      </c>
    </row>
    <row r="1818" spans="1:9" x14ac:dyDescent="0.15">
      <c r="A1818" s="5">
        <v>1817</v>
      </c>
      <c r="B1818" s="6" t="s">
        <v>9</v>
      </c>
      <c r="C1818" s="7">
        <v>1884</v>
      </c>
      <c r="D1818" s="8">
        <v>45402</v>
      </c>
      <c r="E1818" s="9" t="str">
        <f>+HYPERLINK("http://trademark.i-assist.jp/data/china/image_1884th/76748179.pdf", "76748179")</f>
        <v>76748179</v>
      </c>
      <c r="F1818" s="6" t="s">
        <v>4861</v>
      </c>
      <c r="G1818" s="6" t="s">
        <v>4860</v>
      </c>
      <c r="H1818" s="8" t="s">
        <v>4862</v>
      </c>
      <c r="I1818" s="14">
        <v>45324</v>
      </c>
    </row>
    <row r="1819" spans="1:9" x14ac:dyDescent="0.15">
      <c r="A1819" s="5">
        <v>1818</v>
      </c>
      <c r="B1819" s="6" t="s">
        <v>9</v>
      </c>
      <c r="C1819" s="7">
        <v>1884</v>
      </c>
      <c r="D1819" s="8">
        <v>45402</v>
      </c>
      <c r="E1819" s="9" t="str">
        <f>+HYPERLINK("http://trademark.i-assist.jp/data/china/image_1884th/76748703.pdf", "76748703")</f>
        <v>76748703</v>
      </c>
      <c r="F1819" s="6" t="s">
        <v>4864</v>
      </c>
      <c r="G1819" s="6" t="s">
        <v>4863</v>
      </c>
      <c r="H1819" s="8" t="s">
        <v>4865</v>
      </c>
      <c r="I1819" s="14">
        <v>45324</v>
      </c>
    </row>
    <row r="1820" spans="1:9" x14ac:dyDescent="0.15">
      <c r="A1820" s="5">
        <v>1819</v>
      </c>
      <c r="B1820" s="6" t="s">
        <v>9</v>
      </c>
      <c r="C1820" s="7">
        <v>1884</v>
      </c>
      <c r="D1820" s="8">
        <v>45402</v>
      </c>
      <c r="E1820" s="9" t="str">
        <f>+HYPERLINK("http://trademark.i-assist.jp/data/china/image_1884th/76748727.pdf", "76748727")</f>
        <v>76748727</v>
      </c>
      <c r="F1820" s="6" t="s">
        <v>4867</v>
      </c>
      <c r="G1820" s="6" t="s">
        <v>4866</v>
      </c>
      <c r="H1820" s="8" t="s">
        <v>4868</v>
      </c>
      <c r="I1820" s="14">
        <v>45324</v>
      </c>
    </row>
    <row r="1821" spans="1:9" x14ac:dyDescent="0.15">
      <c r="A1821" s="5">
        <v>1820</v>
      </c>
      <c r="B1821" s="6" t="s">
        <v>9</v>
      </c>
      <c r="C1821" s="7">
        <v>1884</v>
      </c>
      <c r="D1821" s="8">
        <v>45402</v>
      </c>
      <c r="E1821" s="9" t="str">
        <f>+HYPERLINK("http://trademark.i-assist.jp/data/china/image_1884th/76748990.pdf", "76748990")</f>
        <v>76748990</v>
      </c>
      <c r="F1821" s="6" t="s">
        <v>4870</v>
      </c>
      <c r="G1821" s="6" t="s">
        <v>4869</v>
      </c>
      <c r="H1821" s="8" t="s">
        <v>4871</v>
      </c>
      <c r="I1821" s="14">
        <v>45324</v>
      </c>
    </row>
    <row r="1822" spans="1:9" x14ac:dyDescent="0.15">
      <c r="A1822" s="5">
        <v>1821</v>
      </c>
      <c r="B1822" s="6" t="s">
        <v>9</v>
      </c>
      <c r="C1822" s="7">
        <v>1884</v>
      </c>
      <c r="D1822" s="8">
        <v>45402</v>
      </c>
      <c r="E1822" s="9" t="str">
        <f>+HYPERLINK("http://trademark.i-assist.jp/data/china/image_1884th/76749317.pdf", "76749317")</f>
        <v>76749317</v>
      </c>
      <c r="F1822" s="6" t="s">
        <v>4873</v>
      </c>
      <c r="G1822" s="6" t="s">
        <v>4872</v>
      </c>
      <c r="H1822" s="8" t="s">
        <v>4874</v>
      </c>
      <c r="I1822" s="14">
        <v>45324</v>
      </c>
    </row>
    <row r="1823" spans="1:9" x14ac:dyDescent="0.15">
      <c r="A1823" s="5">
        <v>1822</v>
      </c>
      <c r="B1823" s="6" t="s">
        <v>9</v>
      </c>
      <c r="C1823" s="7">
        <v>1884</v>
      </c>
      <c r="D1823" s="8">
        <v>45402</v>
      </c>
      <c r="E1823" s="9" t="str">
        <f>+HYPERLINK("http://trademark.i-assist.jp/data/china/image_1884th/76749923.pdf", "76749923")</f>
        <v>76749923</v>
      </c>
      <c r="F1823" s="6" t="s">
        <v>4876</v>
      </c>
      <c r="G1823" s="6" t="s">
        <v>4875</v>
      </c>
      <c r="H1823" s="8" t="s">
        <v>4877</v>
      </c>
      <c r="I1823" s="14">
        <v>45324</v>
      </c>
    </row>
    <row r="1824" spans="1:9" x14ac:dyDescent="0.15">
      <c r="A1824" s="5">
        <v>1823</v>
      </c>
      <c r="B1824" s="6" t="s">
        <v>9</v>
      </c>
      <c r="C1824" s="7">
        <v>1884</v>
      </c>
      <c r="D1824" s="8">
        <v>45402</v>
      </c>
      <c r="E1824" s="9" t="str">
        <f>+HYPERLINK("http://trademark.i-assist.jp/data/china/image_1884th/76749969.pdf", "76749969")</f>
        <v>76749969</v>
      </c>
      <c r="F1824" s="6" t="s">
        <v>4879</v>
      </c>
      <c r="G1824" s="6" t="s">
        <v>4878</v>
      </c>
      <c r="H1824" s="8" t="s">
        <v>4880</v>
      </c>
      <c r="I1824" s="14">
        <v>45324</v>
      </c>
    </row>
    <row r="1825" spans="1:9" x14ac:dyDescent="0.15">
      <c r="A1825" s="5">
        <v>1824</v>
      </c>
      <c r="B1825" s="6" t="s">
        <v>9</v>
      </c>
      <c r="C1825" s="7">
        <v>1884</v>
      </c>
      <c r="D1825" s="8">
        <v>45402</v>
      </c>
      <c r="E1825" s="9" t="str">
        <f>+HYPERLINK("http://trademark.i-assist.jp/data/china/image_1884th/76750283.pdf", "76750283")</f>
        <v>76750283</v>
      </c>
      <c r="F1825" s="6" t="s">
        <v>4882</v>
      </c>
      <c r="G1825" s="6" t="s">
        <v>4881</v>
      </c>
      <c r="H1825" s="8" t="s">
        <v>4883</v>
      </c>
      <c r="I1825" s="14">
        <v>45324</v>
      </c>
    </row>
    <row r="1826" spans="1:9" x14ac:dyDescent="0.15">
      <c r="A1826" s="5">
        <v>1825</v>
      </c>
      <c r="B1826" s="6" t="s">
        <v>9</v>
      </c>
      <c r="C1826" s="7">
        <v>1884</v>
      </c>
      <c r="D1826" s="8">
        <v>45402</v>
      </c>
      <c r="E1826" s="9" t="str">
        <f>+HYPERLINK("http://trademark.i-assist.jp/data/china/image_1884th/76750382.pdf", "76750382")</f>
        <v>76750382</v>
      </c>
      <c r="F1826" s="6" t="s">
        <v>4885</v>
      </c>
      <c r="G1826" s="6" t="s">
        <v>4884</v>
      </c>
      <c r="H1826" s="8" t="s">
        <v>4886</v>
      </c>
      <c r="I1826" s="14">
        <v>45324</v>
      </c>
    </row>
    <row r="1827" spans="1:9" x14ac:dyDescent="0.15">
      <c r="A1827" s="5">
        <v>1826</v>
      </c>
      <c r="B1827" s="6" t="s">
        <v>9</v>
      </c>
      <c r="C1827" s="7">
        <v>1884</v>
      </c>
      <c r="D1827" s="8">
        <v>45402</v>
      </c>
      <c r="E1827" s="9" t="str">
        <f>+HYPERLINK("http://trademark.i-assist.jp/data/china/image_1884th/76750788.pdf", "76750788")</f>
        <v>76750788</v>
      </c>
      <c r="F1827" s="6" t="s">
        <v>4888</v>
      </c>
      <c r="G1827" s="6" t="s">
        <v>4887</v>
      </c>
      <c r="H1827" s="8" t="s">
        <v>4889</v>
      </c>
      <c r="I1827" s="14">
        <v>45324</v>
      </c>
    </row>
    <row r="1828" spans="1:9" x14ac:dyDescent="0.15">
      <c r="A1828" s="5">
        <v>1827</v>
      </c>
      <c r="B1828" s="6" t="s">
        <v>9</v>
      </c>
      <c r="C1828" s="7">
        <v>1884</v>
      </c>
      <c r="D1828" s="8">
        <v>45402</v>
      </c>
      <c r="E1828" s="9" t="str">
        <f>+HYPERLINK("http://trademark.i-assist.jp/data/china/image_1884th/76750896.pdf", "76750896")</f>
        <v>76750896</v>
      </c>
      <c r="F1828" s="6" t="s">
        <v>4891</v>
      </c>
      <c r="G1828" s="6" t="s">
        <v>4890</v>
      </c>
      <c r="H1828" s="8" t="s">
        <v>4892</v>
      </c>
      <c r="I1828" s="14">
        <v>45324</v>
      </c>
    </row>
    <row r="1829" spans="1:9" x14ac:dyDescent="0.15">
      <c r="A1829" s="5">
        <v>1828</v>
      </c>
      <c r="B1829" s="6" t="s">
        <v>9</v>
      </c>
      <c r="C1829" s="7">
        <v>1884</v>
      </c>
      <c r="D1829" s="8">
        <v>45402</v>
      </c>
      <c r="E1829" s="9" t="str">
        <f>+HYPERLINK("http://trademark.i-assist.jp/data/china/image_1884th/76751005.pdf", "76751005")</f>
        <v>76751005</v>
      </c>
      <c r="F1829" s="6" t="s">
        <v>4893</v>
      </c>
      <c r="G1829" s="6" t="s">
        <v>4863</v>
      </c>
      <c r="H1829" s="8" t="s">
        <v>4865</v>
      </c>
      <c r="I1829" s="14">
        <v>45324</v>
      </c>
    </row>
    <row r="1830" spans="1:9" x14ac:dyDescent="0.15">
      <c r="A1830" s="5">
        <v>1829</v>
      </c>
      <c r="B1830" s="6" t="s">
        <v>9</v>
      </c>
      <c r="C1830" s="7">
        <v>1884</v>
      </c>
      <c r="D1830" s="8">
        <v>45402</v>
      </c>
      <c r="E1830" s="9" t="str">
        <f>+HYPERLINK("http://trademark.i-assist.jp/data/china/image_1884th/76752017.pdf", "76752017")</f>
        <v>76752017</v>
      </c>
      <c r="F1830" s="6" t="s">
        <v>4895</v>
      </c>
      <c r="G1830" s="6" t="s">
        <v>4894</v>
      </c>
      <c r="H1830" s="8" t="s">
        <v>4896</v>
      </c>
      <c r="I1830" s="14">
        <v>45324</v>
      </c>
    </row>
    <row r="1831" spans="1:9" x14ac:dyDescent="0.15">
      <c r="A1831" s="5">
        <v>1830</v>
      </c>
      <c r="B1831" s="6" t="s">
        <v>9</v>
      </c>
      <c r="C1831" s="7">
        <v>1884</v>
      </c>
      <c r="D1831" s="8">
        <v>45402</v>
      </c>
      <c r="E1831" s="9" t="str">
        <f>+HYPERLINK("http://trademark.i-assist.jp/data/china/image_1884th/76752715.pdf", "76752715")</f>
        <v>76752715</v>
      </c>
      <c r="F1831" s="6" t="s">
        <v>4898</v>
      </c>
      <c r="G1831" s="6" t="s">
        <v>4897</v>
      </c>
      <c r="H1831" s="8" t="s">
        <v>4899</v>
      </c>
      <c r="I1831" s="14">
        <v>45324</v>
      </c>
    </row>
    <row r="1832" spans="1:9" x14ac:dyDescent="0.15">
      <c r="A1832" s="5">
        <v>1831</v>
      </c>
      <c r="B1832" s="6" t="s">
        <v>9</v>
      </c>
      <c r="C1832" s="7">
        <v>1884</v>
      </c>
      <c r="D1832" s="8">
        <v>45402</v>
      </c>
      <c r="E1832" s="9" t="str">
        <f>+HYPERLINK("http://trademark.i-assist.jp/data/china/image_1884th/76753960.pdf", "76753960")</f>
        <v>76753960</v>
      </c>
      <c r="F1832" s="6" t="s">
        <v>4901</v>
      </c>
      <c r="G1832" s="6" t="s">
        <v>4900</v>
      </c>
      <c r="H1832" s="8" t="s">
        <v>4902</v>
      </c>
      <c r="I1832" s="14">
        <v>45324</v>
      </c>
    </row>
    <row r="1833" spans="1:9" x14ac:dyDescent="0.15">
      <c r="A1833" s="5">
        <v>1832</v>
      </c>
      <c r="B1833" s="6" t="s">
        <v>9</v>
      </c>
      <c r="C1833" s="7">
        <v>1884</v>
      </c>
      <c r="D1833" s="8">
        <v>45402</v>
      </c>
      <c r="E1833" s="9" t="str">
        <f>+HYPERLINK("http://trademark.i-assist.jp/data/china/image_1884th/76754061.pdf", "76754061")</f>
        <v>76754061</v>
      </c>
      <c r="F1833" s="6" t="s">
        <v>4903</v>
      </c>
      <c r="G1833" s="6" t="s">
        <v>4869</v>
      </c>
      <c r="H1833" s="8" t="s">
        <v>4475</v>
      </c>
      <c r="I1833" s="14">
        <v>45324</v>
      </c>
    </row>
    <row r="1834" spans="1:9" x14ac:dyDescent="0.15">
      <c r="A1834" s="5">
        <v>1833</v>
      </c>
      <c r="B1834" s="6" t="s">
        <v>9</v>
      </c>
      <c r="C1834" s="7">
        <v>1884</v>
      </c>
      <c r="D1834" s="8">
        <v>45402</v>
      </c>
      <c r="E1834" s="9" t="str">
        <f>+HYPERLINK("http://trademark.i-assist.jp/data/china/image_1884th/76754470.pdf", "76754470")</f>
        <v>76754470</v>
      </c>
      <c r="F1834" s="6" t="s">
        <v>167</v>
      </c>
      <c r="G1834" s="6" t="s">
        <v>4828</v>
      </c>
      <c r="H1834" s="8" t="s">
        <v>4904</v>
      </c>
      <c r="I1834" s="14">
        <v>45324</v>
      </c>
    </row>
    <row r="1835" spans="1:9" x14ac:dyDescent="0.15">
      <c r="A1835" s="5">
        <v>1834</v>
      </c>
      <c r="B1835" s="6" t="s">
        <v>9</v>
      </c>
      <c r="C1835" s="7">
        <v>1884</v>
      </c>
      <c r="D1835" s="8">
        <v>45402</v>
      </c>
      <c r="E1835" s="9" t="str">
        <f>+HYPERLINK("http://trademark.i-assist.jp/data/china/image_1884th/76754593.pdf", "76754593")</f>
        <v>76754593</v>
      </c>
      <c r="F1835" s="6" t="s">
        <v>4906</v>
      </c>
      <c r="G1835" s="6" t="s">
        <v>4905</v>
      </c>
      <c r="H1835" s="8" t="s">
        <v>4907</v>
      </c>
      <c r="I1835" s="14">
        <v>45324</v>
      </c>
    </row>
    <row r="1836" spans="1:9" x14ac:dyDescent="0.15">
      <c r="A1836" s="5">
        <v>1835</v>
      </c>
      <c r="B1836" s="6" t="s">
        <v>9</v>
      </c>
      <c r="C1836" s="7">
        <v>1884</v>
      </c>
      <c r="D1836" s="8">
        <v>45402</v>
      </c>
      <c r="E1836" s="9" t="str">
        <f>+HYPERLINK("http://trademark.i-assist.jp/data/china/image_1884th/76754635.pdf", "76754635")</f>
        <v>76754635</v>
      </c>
      <c r="F1836" s="6" t="s">
        <v>4908</v>
      </c>
      <c r="G1836" s="6" t="s">
        <v>4459</v>
      </c>
      <c r="H1836" s="8" t="s">
        <v>4909</v>
      </c>
      <c r="I1836" s="14">
        <v>45324</v>
      </c>
    </row>
    <row r="1837" spans="1:9" x14ac:dyDescent="0.15">
      <c r="A1837" s="5">
        <v>1836</v>
      </c>
      <c r="B1837" s="6" t="s">
        <v>9</v>
      </c>
      <c r="C1837" s="7">
        <v>1884</v>
      </c>
      <c r="D1837" s="8">
        <v>45402</v>
      </c>
      <c r="E1837" s="9" t="str">
        <f>+HYPERLINK("http://trademark.i-assist.jp/data/china/image_1884th/76755525.pdf", "76755525")</f>
        <v>76755525</v>
      </c>
      <c r="F1837" s="6" t="s">
        <v>4910</v>
      </c>
      <c r="G1837" s="6" t="s">
        <v>4814</v>
      </c>
      <c r="H1837" s="8" t="s">
        <v>4816</v>
      </c>
      <c r="I1837" s="14">
        <v>45324</v>
      </c>
    </row>
    <row r="1838" spans="1:9" x14ac:dyDescent="0.15">
      <c r="A1838" s="5">
        <v>1837</v>
      </c>
      <c r="B1838" s="6" t="s">
        <v>9</v>
      </c>
      <c r="C1838" s="7">
        <v>1884</v>
      </c>
      <c r="D1838" s="8">
        <v>45402</v>
      </c>
      <c r="E1838" s="9" t="str">
        <f>+HYPERLINK("http://trademark.i-assist.jp/data/china/image_1884th/76755697.pdf", "76755697")</f>
        <v>76755697</v>
      </c>
      <c r="F1838" s="6" t="s">
        <v>4912</v>
      </c>
      <c r="G1838" s="6" t="s">
        <v>4911</v>
      </c>
      <c r="H1838" s="8" t="s">
        <v>4913</v>
      </c>
      <c r="I1838" s="14">
        <v>45324</v>
      </c>
    </row>
    <row r="1839" spans="1:9" x14ac:dyDescent="0.15">
      <c r="A1839" s="5">
        <v>1838</v>
      </c>
      <c r="B1839" s="6" t="s">
        <v>9</v>
      </c>
      <c r="C1839" s="7">
        <v>1884</v>
      </c>
      <c r="D1839" s="8">
        <v>45402</v>
      </c>
      <c r="E1839" s="9" t="str">
        <f>+HYPERLINK("http://trademark.i-assist.jp/data/china/image_1884th/76755830.pdf", "76755830")</f>
        <v>76755830</v>
      </c>
      <c r="F1839" s="6" t="s">
        <v>4915</v>
      </c>
      <c r="G1839" s="6" t="s">
        <v>4914</v>
      </c>
      <c r="H1839" s="8" t="s">
        <v>4916</v>
      </c>
      <c r="I1839" s="14">
        <v>45324</v>
      </c>
    </row>
    <row r="1840" spans="1:9" x14ac:dyDescent="0.15">
      <c r="A1840" s="5">
        <v>1839</v>
      </c>
      <c r="B1840" s="6" t="s">
        <v>9</v>
      </c>
      <c r="C1840" s="7">
        <v>1884</v>
      </c>
      <c r="D1840" s="8">
        <v>45402</v>
      </c>
      <c r="E1840" s="9" t="str">
        <f>+HYPERLINK("http://trademark.i-assist.jp/data/china/image_1884th/76756535.pdf", "76756535")</f>
        <v>76756535</v>
      </c>
      <c r="F1840" s="6" t="s">
        <v>167</v>
      </c>
      <c r="G1840" s="6" t="s">
        <v>4828</v>
      </c>
      <c r="H1840" s="8" t="s">
        <v>4917</v>
      </c>
      <c r="I1840" s="14">
        <v>45324</v>
      </c>
    </row>
    <row r="1841" spans="1:9" x14ac:dyDescent="0.15">
      <c r="A1841" s="5">
        <v>1840</v>
      </c>
      <c r="B1841" s="6" t="s">
        <v>9</v>
      </c>
      <c r="C1841" s="7">
        <v>1884</v>
      </c>
      <c r="D1841" s="8">
        <v>45402</v>
      </c>
      <c r="E1841" s="9" t="str">
        <f>+HYPERLINK("http://trademark.i-assist.jp/data/china/image_1884th/76757510.pdf", "76757510")</f>
        <v>76757510</v>
      </c>
      <c r="F1841" s="6" t="s">
        <v>4918</v>
      </c>
      <c r="G1841" s="6" t="s">
        <v>4894</v>
      </c>
      <c r="H1841" s="8" t="s">
        <v>4919</v>
      </c>
      <c r="I1841" s="14">
        <v>45324</v>
      </c>
    </row>
    <row r="1842" spans="1:9" x14ac:dyDescent="0.15">
      <c r="A1842" s="5">
        <v>1841</v>
      </c>
      <c r="B1842" s="6" t="s">
        <v>9</v>
      </c>
      <c r="C1842" s="7">
        <v>1884</v>
      </c>
      <c r="D1842" s="8">
        <v>45402</v>
      </c>
      <c r="E1842" s="9" t="str">
        <f>+HYPERLINK("http://trademark.i-assist.jp/data/china/image_1884th/76757861.pdf", "76757861")</f>
        <v>76757861</v>
      </c>
      <c r="F1842" s="6" t="s">
        <v>4920</v>
      </c>
      <c r="G1842" s="6" t="s">
        <v>4843</v>
      </c>
      <c r="H1842" s="8" t="s">
        <v>2566</v>
      </c>
      <c r="I1842" s="14">
        <v>45324</v>
      </c>
    </row>
    <row r="1843" spans="1:9" x14ac:dyDescent="0.15">
      <c r="A1843" s="5">
        <v>1842</v>
      </c>
      <c r="B1843" s="6" t="s">
        <v>9</v>
      </c>
      <c r="C1843" s="7">
        <v>1884</v>
      </c>
      <c r="D1843" s="8">
        <v>45402</v>
      </c>
      <c r="E1843" s="9" t="str">
        <f>+HYPERLINK("http://trademark.i-assist.jp/data/china/image_1884th/76758396.pdf", "76758396")</f>
        <v>76758396</v>
      </c>
      <c r="F1843" s="6" t="s">
        <v>4922</v>
      </c>
      <c r="G1843" s="6" t="s">
        <v>4921</v>
      </c>
      <c r="H1843" s="8" t="s">
        <v>4836</v>
      </c>
      <c r="I1843" s="14">
        <v>45324</v>
      </c>
    </row>
    <row r="1844" spans="1:9" x14ac:dyDescent="0.15">
      <c r="A1844" s="5">
        <v>1843</v>
      </c>
      <c r="B1844" s="6" t="s">
        <v>9</v>
      </c>
      <c r="C1844" s="7">
        <v>1884</v>
      </c>
      <c r="D1844" s="8">
        <v>45402</v>
      </c>
      <c r="E1844" s="9" t="str">
        <f>+HYPERLINK("http://trademark.i-assist.jp/data/china/image_1884th/76758398.pdf", "76758398")</f>
        <v>76758398</v>
      </c>
      <c r="F1844" s="6" t="s">
        <v>4923</v>
      </c>
      <c r="G1844" s="6" t="s">
        <v>4921</v>
      </c>
      <c r="H1844" s="8" t="s">
        <v>4836</v>
      </c>
      <c r="I1844" s="14">
        <v>45324</v>
      </c>
    </row>
    <row r="1845" spans="1:9" x14ac:dyDescent="0.15">
      <c r="A1845" s="5">
        <v>1844</v>
      </c>
      <c r="B1845" s="6" t="s">
        <v>9</v>
      </c>
      <c r="C1845" s="7">
        <v>1884</v>
      </c>
      <c r="D1845" s="8">
        <v>45402</v>
      </c>
      <c r="E1845" s="9" t="str">
        <f>+HYPERLINK("http://trademark.i-assist.jp/data/china/image_1884th/76759695.pdf", "76759695")</f>
        <v>76759695</v>
      </c>
      <c r="F1845" s="6" t="s">
        <v>4924</v>
      </c>
      <c r="G1845" s="6" t="s">
        <v>4814</v>
      </c>
      <c r="H1845" s="8" t="s">
        <v>4925</v>
      </c>
      <c r="I1845" s="14">
        <v>45324</v>
      </c>
    </row>
    <row r="1846" spans="1:9" x14ac:dyDescent="0.15">
      <c r="A1846" s="5">
        <v>1845</v>
      </c>
      <c r="B1846" s="6" t="s">
        <v>9</v>
      </c>
      <c r="C1846" s="7">
        <v>1884</v>
      </c>
      <c r="D1846" s="8">
        <v>45402</v>
      </c>
      <c r="E1846" s="9" t="str">
        <f>+HYPERLINK("http://trademark.i-assist.jp/data/china/image_1884th/76759710.pdf", "76759710")</f>
        <v>76759710</v>
      </c>
      <c r="F1846" s="6" t="s">
        <v>4927</v>
      </c>
      <c r="G1846" s="6" t="s">
        <v>4926</v>
      </c>
      <c r="H1846" s="8" t="s">
        <v>4928</v>
      </c>
      <c r="I1846" s="14">
        <v>45324</v>
      </c>
    </row>
    <row r="1847" spans="1:9" x14ac:dyDescent="0.15">
      <c r="A1847" s="5">
        <v>1846</v>
      </c>
      <c r="B1847" s="6" t="s">
        <v>9</v>
      </c>
      <c r="C1847" s="7">
        <v>1884</v>
      </c>
      <c r="D1847" s="8">
        <v>45402</v>
      </c>
      <c r="E1847" s="9" t="str">
        <f>+HYPERLINK("http://trademark.i-assist.jp/data/china/image_1884th/76759808.pdf", "76759808")</f>
        <v>76759808</v>
      </c>
      <c r="F1847" s="6" t="s">
        <v>4929</v>
      </c>
      <c r="G1847" s="6" t="s">
        <v>4869</v>
      </c>
      <c r="H1847" s="8" t="s">
        <v>4930</v>
      </c>
      <c r="I1847" s="14">
        <v>45324</v>
      </c>
    </row>
    <row r="1848" spans="1:9" x14ac:dyDescent="0.15">
      <c r="A1848" s="5">
        <v>1847</v>
      </c>
      <c r="B1848" s="6" t="s">
        <v>9</v>
      </c>
      <c r="C1848" s="7">
        <v>1884</v>
      </c>
      <c r="D1848" s="8">
        <v>45402</v>
      </c>
      <c r="E1848" s="9" t="str">
        <f>+HYPERLINK("http://trademark.i-assist.jp/data/china/image_1884th/76760678.pdf", "76760678")</f>
        <v>76760678</v>
      </c>
      <c r="F1848" s="6" t="s">
        <v>4931</v>
      </c>
      <c r="G1848" s="6" t="s">
        <v>1261</v>
      </c>
      <c r="H1848" s="8" t="s">
        <v>4932</v>
      </c>
      <c r="I1848" s="14">
        <v>45324</v>
      </c>
    </row>
    <row r="1849" spans="1:9" x14ac:dyDescent="0.15">
      <c r="A1849" s="5">
        <v>1848</v>
      </c>
      <c r="B1849" s="6" t="s">
        <v>9</v>
      </c>
      <c r="C1849" s="7">
        <v>1884</v>
      </c>
      <c r="D1849" s="8">
        <v>45402</v>
      </c>
      <c r="E1849" s="9" t="str">
        <f>+HYPERLINK("http://trademark.i-assist.jp/data/china/image_1884th/76761010.pdf", "76761010")</f>
        <v>76761010</v>
      </c>
      <c r="F1849" s="6" t="s">
        <v>4934</v>
      </c>
      <c r="G1849" s="6" t="s">
        <v>4933</v>
      </c>
      <c r="H1849" s="8" t="s">
        <v>4935</v>
      </c>
      <c r="I1849" s="14">
        <v>45324</v>
      </c>
    </row>
    <row r="1850" spans="1:9" x14ac:dyDescent="0.15">
      <c r="A1850" s="5">
        <v>1849</v>
      </c>
      <c r="B1850" s="6" t="s">
        <v>9</v>
      </c>
      <c r="C1850" s="7">
        <v>1884</v>
      </c>
      <c r="D1850" s="8">
        <v>45402</v>
      </c>
      <c r="E1850" s="9" t="str">
        <f>+HYPERLINK("http://trademark.i-assist.jp/data/china/image_1884th/76761114.pdf", "76761114")</f>
        <v>76761114</v>
      </c>
      <c r="F1850" s="6" t="s">
        <v>4937</v>
      </c>
      <c r="G1850" s="6" t="s">
        <v>4936</v>
      </c>
      <c r="H1850" s="8" t="s">
        <v>4938</v>
      </c>
      <c r="I1850" s="14">
        <v>45324</v>
      </c>
    </row>
    <row r="1851" spans="1:9" x14ac:dyDescent="0.15">
      <c r="A1851" s="5">
        <v>1850</v>
      </c>
      <c r="B1851" s="6" t="s">
        <v>9</v>
      </c>
      <c r="C1851" s="7">
        <v>1884</v>
      </c>
      <c r="D1851" s="8">
        <v>45402</v>
      </c>
      <c r="E1851" s="9" t="str">
        <f>+HYPERLINK("http://trademark.i-assist.jp/data/china/image_1884th/76761206.pdf", "76761206")</f>
        <v>76761206</v>
      </c>
      <c r="F1851" s="6" t="s">
        <v>4939</v>
      </c>
      <c r="G1851" s="6" t="s">
        <v>1261</v>
      </c>
      <c r="H1851" s="8" t="s">
        <v>4940</v>
      </c>
      <c r="I1851" s="14">
        <v>45324</v>
      </c>
    </row>
    <row r="1852" spans="1:9" x14ac:dyDescent="0.15">
      <c r="A1852" s="5">
        <v>1851</v>
      </c>
      <c r="B1852" s="6" t="s">
        <v>9</v>
      </c>
      <c r="C1852" s="7">
        <v>1884</v>
      </c>
      <c r="D1852" s="8">
        <v>45402</v>
      </c>
      <c r="E1852" s="9" t="str">
        <f>+HYPERLINK("http://trademark.i-assist.jp/data/china/image_1884th/76761871.pdf", "76761871")</f>
        <v>76761871</v>
      </c>
      <c r="F1852" s="6" t="s">
        <v>4942</v>
      </c>
      <c r="G1852" s="6" t="s">
        <v>4941</v>
      </c>
      <c r="H1852" s="8" t="s">
        <v>4943</v>
      </c>
      <c r="I1852" s="14">
        <v>45324</v>
      </c>
    </row>
    <row r="1853" spans="1:9" x14ac:dyDescent="0.15">
      <c r="A1853" s="5">
        <v>1852</v>
      </c>
      <c r="B1853" s="6" t="s">
        <v>9</v>
      </c>
      <c r="C1853" s="7">
        <v>1884</v>
      </c>
      <c r="D1853" s="8">
        <v>45402</v>
      </c>
      <c r="E1853" s="9" t="str">
        <f>+HYPERLINK("http://trademark.i-assist.jp/data/china/image_1884th/76762044.pdf", "76762044")</f>
        <v>76762044</v>
      </c>
      <c r="F1853" s="6" t="s">
        <v>4944</v>
      </c>
      <c r="G1853" s="6" t="s">
        <v>4814</v>
      </c>
      <c r="H1853" s="8" t="s">
        <v>4816</v>
      </c>
      <c r="I1853" s="14">
        <v>45324</v>
      </c>
    </row>
    <row r="1854" spans="1:9" x14ac:dyDescent="0.15">
      <c r="A1854" s="5">
        <v>1853</v>
      </c>
      <c r="B1854" s="6" t="s">
        <v>9</v>
      </c>
      <c r="C1854" s="7">
        <v>1884</v>
      </c>
      <c r="D1854" s="8">
        <v>45402</v>
      </c>
      <c r="E1854" s="9" t="str">
        <f>+HYPERLINK("http://trademark.i-assist.jp/data/china/image_1884th/76762312.pdf", "76762312")</f>
        <v>76762312</v>
      </c>
      <c r="F1854" s="6" t="s">
        <v>4946</v>
      </c>
      <c r="G1854" s="6" t="s">
        <v>4945</v>
      </c>
      <c r="H1854" s="8" t="s">
        <v>4947</v>
      </c>
      <c r="I1854" s="14">
        <v>45324</v>
      </c>
    </row>
    <row r="1855" spans="1:9" x14ac:dyDescent="0.15">
      <c r="A1855" s="5">
        <v>1854</v>
      </c>
      <c r="B1855" s="6" t="s">
        <v>9</v>
      </c>
      <c r="C1855" s="7">
        <v>1884</v>
      </c>
      <c r="D1855" s="8">
        <v>45402</v>
      </c>
      <c r="E1855" s="9" t="str">
        <f>+HYPERLINK("http://trademark.i-assist.jp/data/china/image_1884th/76763133.pdf", "76763133")</f>
        <v>76763133</v>
      </c>
      <c r="F1855" s="6" t="s">
        <v>4949</v>
      </c>
      <c r="G1855" s="6" t="s">
        <v>4948</v>
      </c>
      <c r="H1855" s="8" t="s">
        <v>4716</v>
      </c>
      <c r="I1855" s="14">
        <v>45325</v>
      </c>
    </row>
    <row r="1856" spans="1:9" x14ac:dyDescent="0.15">
      <c r="A1856" s="5">
        <v>1855</v>
      </c>
      <c r="B1856" s="6" t="s">
        <v>9</v>
      </c>
      <c r="C1856" s="7">
        <v>1884</v>
      </c>
      <c r="D1856" s="8">
        <v>45402</v>
      </c>
      <c r="E1856" s="9" t="str">
        <f>+HYPERLINK("http://trademark.i-assist.jp/data/china/image_1884th/76763158.pdf", "76763158")</f>
        <v>76763158</v>
      </c>
      <c r="F1856" s="6" t="s">
        <v>4951</v>
      </c>
      <c r="G1856" s="6" t="s">
        <v>4950</v>
      </c>
      <c r="H1856" s="8" t="s">
        <v>4952</v>
      </c>
      <c r="I1856" s="14">
        <v>45325</v>
      </c>
    </row>
    <row r="1857" spans="1:9" x14ac:dyDescent="0.15">
      <c r="A1857" s="5">
        <v>1856</v>
      </c>
      <c r="B1857" s="6" t="s">
        <v>9</v>
      </c>
      <c r="C1857" s="7">
        <v>1884</v>
      </c>
      <c r="D1857" s="8">
        <v>45402</v>
      </c>
      <c r="E1857" s="9" t="str">
        <f>+HYPERLINK("http://trademark.i-assist.jp/data/china/image_1884th/76763192.pdf", "76763192")</f>
        <v>76763192</v>
      </c>
      <c r="F1857" s="6" t="s">
        <v>4954</v>
      </c>
      <c r="G1857" s="6" t="s">
        <v>4953</v>
      </c>
      <c r="H1857" s="8" t="s">
        <v>4955</v>
      </c>
      <c r="I1857" s="14">
        <v>45325</v>
      </c>
    </row>
    <row r="1858" spans="1:9" x14ac:dyDescent="0.15">
      <c r="A1858" s="5">
        <v>1857</v>
      </c>
      <c r="B1858" s="6" t="s">
        <v>9</v>
      </c>
      <c r="C1858" s="7">
        <v>1884</v>
      </c>
      <c r="D1858" s="8">
        <v>45402</v>
      </c>
      <c r="E1858" s="9" t="str">
        <f>+HYPERLINK("http://trademark.i-assist.jp/data/china/image_1884th/76763240.pdf", "76763240")</f>
        <v>76763240</v>
      </c>
      <c r="F1858" s="6" t="s">
        <v>4957</v>
      </c>
      <c r="G1858" s="6" t="s">
        <v>4956</v>
      </c>
      <c r="H1858" s="8" t="s">
        <v>4958</v>
      </c>
      <c r="I1858" s="14">
        <v>45325</v>
      </c>
    </row>
    <row r="1859" spans="1:9" x14ac:dyDescent="0.15">
      <c r="A1859" s="5">
        <v>1858</v>
      </c>
      <c r="B1859" s="6" t="s">
        <v>9</v>
      </c>
      <c r="C1859" s="7">
        <v>1884</v>
      </c>
      <c r="D1859" s="8">
        <v>45402</v>
      </c>
      <c r="E1859" s="9" t="str">
        <f>+HYPERLINK("http://trademark.i-assist.jp/data/china/image_1884th/76763320.pdf", "76763320")</f>
        <v>76763320</v>
      </c>
      <c r="F1859" s="6" t="s">
        <v>4960</v>
      </c>
      <c r="G1859" s="6" t="s">
        <v>4959</v>
      </c>
      <c r="H1859" s="8" t="s">
        <v>4961</v>
      </c>
      <c r="I1859" s="14">
        <v>45325</v>
      </c>
    </row>
    <row r="1860" spans="1:9" x14ac:dyDescent="0.15">
      <c r="A1860" s="5">
        <v>1859</v>
      </c>
      <c r="B1860" s="6" t="s">
        <v>9</v>
      </c>
      <c r="C1860" s="7">
        <v>1884</v>
      </c>
      <c r="D1860" s="8">
        <v>45402</v>
      </c>
      <c r="E1860" s="9" t="str">
        <f>+HYPERLINK("http://trademark.i-assist.jp/data/china/image_1884th/76763510.pdf", "76763510")</f>
        <v>76763510</v>
      </c>
      <c r="F1860" s="6" t="s">
        <v>4963</v>
      </c>
      <c r="G1860" s="6" t="s">
        <v>4962</v>
      </c>
      <c r="H1860" s="8" t="s">
        <v>4964</v>
      </c>
      <c r="I1860" s="14">
        <v>45325</v>
      </c>
    </row>
    <row r="1861" spans="1:9" x14ac:dyDescent="0.15">
      <c r="A1861" s="5">
        <v>1860</v>
      </c>
      <c r="B1861" s="6" t="s">
        <v>9</v>
      </c>
      <c r="C1861" s="7">
        <v>1884</v>
      </c>
      <c r="D1861" s="8">
        <v>45402</v>
      </c>
      <c r="E1861" s="9" t="str">
        <f>+HYPERLINK("http://trademark.i-assist.jp/data/china/image_1884th/76763703.pdf", "76763703")</f>
        <v>76763703</v>
      </c>
      <c r="F1861" s="6" t="s">
        <v>4966</v>
      </c>
      <c r="G1861" s="6" t="s">
        <v>4965</v>
      </c>
      <c r="H1861" s="8" t="s">
        <v>467</v>
      </c>
      <c r="I1861" s="14">
        <v>45325</v>
      </c>
    </row>
    <row r="1862" spans="1:9" x14ac:dyDescent="0.15">
      <c r="A1862" s="5">
        <v>1861</v>
      </c>
      <c r="B1862" s="6" t="s">
        <v>9</v>
      </c>
      <c r="C1862" s="7">
        <v>1884</v>
      </c>
      <c r="D1862" s="8">
        <v>45402</v>
      </c>
      <c r="E1862" s="9" t="str">
        <f>+HYPERLINK("http://trademark.i-assist.jp/data/china/image_1884th/76763859.pdf", "76763859")</f>
        <v>76763859</v>
      </c>
      <c r="F1862" s="6" t="s">
        <v>167</v>
      </c>
      <c r="G1862" s="6" t="s">
        <v>4967</v>
      </c>
      <c r="H1862" s="8" t="s">
        <v>4968</v>
      </c>
      <c r="I1862" s="14">
        <v>45325</v>
      </c>
    </row>
    <row r="1863" spans="1:9" x14ac:dyDescent="0.15">
      <c r="A1863" s="5">
        <v>1862</v>
      </c>
      <c r="B1863" s="6" t="s">
        <v>9</v>
      </c>
      <c r="C1863" s="7">
        <v>1884</v>
      </c>
      <c r="D1863" s="8">
        <v>45402</v>
      </c>
      <c r="E1863" s="9" t="str">
        <f>+HYPERLINK("http://trademark.i-assist.jp/data/china/image_1884th/76764343.pdf", "76764343")</f>
        <v>76764343</v>
      </c>
      <c r="F1863" s="6" t="s">
        <v>4970</v>
      </c>
      <c r="G1863" s="6" t="s">
        <v>4969</v>
      </c>
      <c r="H1863" s="8" t="s">
        <v>4971</v>
      </c>
      <c r="I1863" s="14">
        <v>45325</v>
      </c>
    </row>
    <row r="1864" spans="1:9" x14ac:dyDescent="0.15">
      <c r="A1864" s="5">
        <v>1863</v>
      </c>
      <c r="B1864" s="6" t="s">
        <v>9</v>
      </c>
      <c r="C1864" s="7">
        <v>1884</v>
      </c>
      <c r="D1864" s="8">
        <v>45402</v>
      </c>
      <c r="E1864" s="9" t="str">
        <f>+HYPERLINK("http://trademark.i-assist.jp/data/china/image_1884th/76764453.pdf", "76764453")</f>
        <v>76764453</v>
      </c>
      <c r="F1864" s="6" t="s">
        <v>167</v>
      </c>
      <c r="G1864" s="6" t="s">
        <v>4972</v>
      </c>
      <c r="H1864" s="8" t="s">
        <v>4973</v>
      </c>
      <c r="I1864" s="14">
        <v>45325</v>
      </c>
    </row>
    <row r="1865" spans="1:9" x14ac:dyDescent="0.15">
      <c r="A1865" s="5">
        <v>1864</v>
      </c>
      <c r="B1865" s="6" t="s">
        <v>9</v>
      </c>
      <c r="C1865" s="7">
        <v>1884</v>
      </c>
      <c r="D1865" s="8">
        <v>45402</v>
      </c>
      <c r="E1865" s="9" t="str">
        <f>+HYPERLINK("http://trademark.i-assist.jp/data/china/image_1884th/76764621.pdf", "76764621")</f>
        <v>76764621</v>
      </c>
      <c r="F1865" s="6" t="s">
        <v>4975</v>
      </c>
      <c r="G1865" s="6" t="s">
        <v>4974</v>
      </c>
      <c r="H1865" s="8" t="s">
        <v>4976</v>
      </c>
      <c r="I1865" s="14">
        <v>45325</v>
      </c>
    </row>
    <row r="1866" spans="1:9" x14ac:dyDescent="0.15">
      <c r="A1866" s="5">
        <v>1865</v>
      </c>
      <c r="B1866" s="6" t="s">
        <v>9</v>
      </c>
      <c r="C1866" s="7">
        <v>1884</v>
      </c>
      <c r="D1866" s="8">
        <v>45402</v>
      </c>
      <c r="E1866" s="9" t="str">
        <f>+HYPERLINK("http://trademark.i-assist.jp/data/china/image_1884th/76764789.pdf", "76764789")</f>
        <v>76764789</v>
      </c>
      <c r="F1866" s="6" t="s">
        <v>4978</v>
      </c>
      <c r="G1866" s="6" t="s">
        <v>4977</v>
      </c>
      <c r="H1866" s="8" t="s">
        <v>4979</v>
      </c>
      <c r="I1866" s="14">
        <v>45325</v>
      </c>
    </row>
    <row r="1867" spans="1:9" x14ac:dyDescent="0.15">
      <c r="A1867" s="5">
        <v>1866</v>
      </c>
      <c r="B1867" s="6" t="s">
        <v>9</v>
      </c>
      <c r="C1867" s="7">
        <v>1884</v>
      </c>
      <c r="D1867" s="8">
        <v>45402</v>
      </c>
      <c r="E1867" s="9" t="str">
        <f>+HYPERLINK("http://trademark.i-assist.jp/data/china/image_1884th/76765031.pdf", "76765031")</f>
        <v>76765031</v>
      </c>
      <c r="F1867" s="6" t="s">
        <v>4981</v>
      </c>
      <c r="G1867" s="6" t="s">
        <v>4980</v>
      </c>
      <c r="H1867" s="8" t="s">
        <v>4338</v>
      </c>
      <c r="I1867" s="14">
        <v>45325</v>
      </c>
    </row>
    <row r="1868" spans="1:9" x14ac:dyDescent="0.15">
      <c r="A1868" s="5">
        <v>1867</v>
      </c>
      <c r="B1868" s="6" t="s">
        <v>9</v>
      </c>
      <c r="C1868" s="7">
        <v>1884</v>
      </c>
      <c r="D1868" s="8">
        <v>45402</v>
      </c>
      <c r="E1868" s="9" t="str">
        <f>+HYPERLINK("http://trademark.i-assist.jp/data/china/image_1884th/76765562.pdf", "76765562")</f>
        <v>76765562</v>
      </c>
      <c r="F1868" s="6" t="s">
        <v>4983</v>
      </c>
      <c r="G1868" s="6" t="s">
        <v>4982</v>
      </c>
      <c r="H1868" s="8" t="s">
        <v>4984</v>
      </c>
      <c r="I1868" s="14">
        <v>45325</v>
      </c>
    </row>
    <row r="1869" spans="1:9" x14ac:dyDescent="0.15">
      <c r="A1869" s="5">
        <v>1868</v>
      </c>
      <c r="B1869" s="6" t="s">
        <v>9</v>
      </c>
      <c r="C1869" s="7">
        <v>1884</v>
      </c>
      <c r="D1869" s="8">
        <v>45402</v>
      </c>
      <c r="E1869" s="9" t="str">
        <f>+HYPERLINK("http://trademark.i-assist.jp/data/china/image_1884th/76766059.pdf", "76766059")</f>
        <v>76766059</v>
      </c>
      <c r="F1869" s="6" t="s">
        <v>4986</v>
      </c>
      <c r="G1869" s="6" t="s">
        <v>4985</v>
      </c>
      <c r="H1869" s="8" t="s">
        <v>4987</v>
      </c>
      <c r="I1869" s="14">
        <v>45325</v>
      </c>
    </row>
    <row r="1870" spans="1:9" x14ac:dyDescent="0.15">
      <c r="A1870" s="5">
        <v>1869</v>
      </c>
      <c r="B1870" s="6" t="s">
        <v>9</v>
      </c>
      <c r="C1870" s="7">
        <v>1884</v>
      </c>
      <c r="D1870" s="8">
        <v>45402</v>
      </c>
      <c r="E1870" s="9" t="str">
        <f>+HYPERLINK("http://trademark.i-assist.jp/data/china/image_1884th/76766068.pdf", "76766068")</f>
        <v>76766068</v>
      </c>
      <c r="F1870" s="6" t="s">
        <v>4988</v>
      </c>
      <c r="G1870" s="6" t="s">
        <v>4985</v>
      </c>
      <c r="H1870" s="8" t="s">
        <v>4989</v>
      </c>
      <c r="I1870" s="14">
        <v>45325</v>
      </c>
    </row>
    <row r="1871" spans="1:9" x14ac:dyDescent="0.15">
      <c r="A1871" s="5">
        <v>1870</v>
      </c>
      <c r="B1871" s="6" t="s">
        <v>9</v>
      </c>
      <c r="C1871" s="7">
        <v>1884</v>
      </c>
      <c r="D1871" s="8">
        <v>45402</v>
      </c>
      <c r="E1871" s="9" t="str">
        <f>+HYPERLINK("http://trademark.i-assist.jp/data/china/image_1884th/76766310.pdf", "76766310")</f>
        <v>76766310</v>
      </c>
      <c r="F1871" s="6" t="s">
        <v>4990</v>
      </c>
      <c r="G1871" s="6" t="s">
        <v>3311</v>
      </c>
      <c r="H1871" s="8" t="s">
        <v>4991</v>
      </c>
      <c r="I1871" s="14">
        <v>45325</v>
      </c>
    </row>
    <row r="1872" spans="1:9" x14ac:dyDescent="0.15">
      <c r="A1872" s="5">
        <v>1871</v>
      </c>
      <c r="B1872" s="6" t="s">
        <v>9</v>
      </c>
      <c r="C1872" s="7">
        <v>1884</v>
      </c>
      <c r="D1872" s="8">
        <v>45402</v>
      </c>
      <c r="E1872" s="9" t="str">
        <f>+HYPERLINK("http://trademark.i-assist.jp/data/china/image_1884th/76766642.pdf", "76766642")</f>
        <v>76766642</v>
      </c>
      <c r="F1872" s="6" t="s">
        <v>4993</v>
      </c>
      <c r="G1872" s="6" t="s">
        <v>4992</v>
      </c>
      <c r="H1872" s="8" t="s">
        <v>4994</v>
      </c>
      <c r="I1872" s="14">
        <v>45325</v>
      </c>
    </row>
    <row r="1873" spans="1:9" x14ac:dyDescent="0.15">
      <c r="A1873" s="5">
        <v>1872</v>
      </c>
      <c r="B1873" s="6" t="s">
        <v>9</v>
      </c>
      <c r="C1873" s="7">
        <v>1884</v>
      </c>
      <c r="D1873" s="8">
        <v>45402</v>
      </c>
      <c r="E1873" s="9" t="str">
        <f>+HYPERLINK("http://trademark.i-assist.jp/data/china/image_1884th/76767351.pdf", "76767351")</f>
        <v>76767351</v>
      </c>
      <c r="F1873" s="6" t="s">
        <v>4995</v>
      </c>
      <c r="G1873" s="6" t="s">
        <v>4985</v>
      </c>
      <c r="H1873" s="8" t="s">
        <v>4996</v>
      </c>
      <c r="I1873" s="14">
        <v>45325</v>
      </c>
    </row>
    <row r="1874" spans="1:9" x14ac:dyDescent="0.15">
      <c r="A1874" s="5">
        <v>1873</v>
      </c>
      <c r="B1874" s="6" t="s">
        <v>9</v>
      </c>
      <c r="C1874" s="7">
        <v>1884</v>
      </c>
      <c r="D1874" s="8">
        <v>45402</v>
      </c>
      <c r="E1874" s="9" t="str">
        <f>+HYPERLINK("http://trademark.i-assist.jp/data/china/image_1884th/76767359.pdf", "76767359")</f>
        <v>76767359</v>
      </c>
      <c r="F1874" s="6" t="s">
        <v>4998</v>
      </c>
      <c r="G1874" s="6" t="s">
        <v>4997</v>
      </c>
      <c r="H1874" s="8" t="s">
        <v>4999</v>
      </c>
      <c r="I1874" s="14">
        <v>45325</v>
      </c>
    </row>
    <row r="1875" spans="1:9" x14ac:dyDescent="0.15">
      <c r="A1875" s="5">
        <v>1874</v>
      </c>
      <c r="B1875" s="6" t="s">
        <v>9</v>
      </c>
      <c r="C1875" s="7">
        <v>1884</v>
      </c>
      <c r="D1875" s="8">
        <v>45402</v>
      </c>
      <c r="E1875" s="9" t="str">
        <f>+HYPERLINK("http://trademark.i-assist.jp/data/china/image_1884th/76768602.pdf", "76768602")</f>
        <v>76768602</v>
      </c>
      <c r="F1875" s="6" t="s">
        <v>5000</v>
      </c>
      <c r="G1875" s="6" t="s">
        <v>4972</v>
      </c>
      <c r="H1875" s="8" t="s">
        <v>5001</v>
      </c>
      <c r="I1875" s="14">
        <v>45325</v>
      </c>
    </row>
    <row r="1876" spans="1:9" x14ac:dyDescent="0.15">
      <c r="A1876" s="5">
        <v>1875</v>
      </c>
      <c r="B1876" s="6" t="s">
        <v>9</v>
      </c>
      <c r="C1876" s="7">
        <v>1884</v>
      </c>
      <c r="D1876" s="8">
        <v>45402</v>
      </c>
      <c r="E1876" s="9" t="str">
        <f>+HYPERLINK("http://trademark.i-assist.jp/data/china/image_1884th/76768698.pdf", "76768698")</f>
        <v>76768698</v>
      </c>
      <c r="F1876" s="6" t="s">
        <v>5002</v>
      </c>
      <c r="G1876" s="6" t="s">
        <v>4977</v>
      </c>
      <c r="H1876" s="8" t="s">
        <v>4979</v>
      </c>
      <c r="I1876" s="14">
        <v>45325</v>
      </c>
    </row>
    <row r="1877" spans="1:9" x14ac:dyDescent="0.15">
      <c r="A1877" s="5">
        <v>1876</v>
      </c>
      <c r="B1877" s="6" t="s">
        <v>9</v>
      </c>
      <c r="C1877" s="7">
        <v>1884</v>
      </c>
      <c r="D1877" s="8">
        <v>45402</v>
      </c>
      <c r="E1877" s="9" t="str">
        <f>+HYPERLINK("http://trademark.i-assist.jp/data/china/image_1884th/76769370.pdf", "76769370")</f>
        <v>76769370</v>
      </c>
      <c r="F1877" s="6" t="s">
        <v>5003</v>
      </c>
      <c r="G1877" s="6" t="s">
        <v>4985</v>
      </c>
      <c r="H1877" s="8" t="s">
        <v>5004</v>
      </c>
      <c r="I1877" s="14">
        <v>45325</v>
      </c>
    </row>
    <row r="1878" spans="1:9" x14ac:dyDescent="0.15">
      <c r="A1878" s="5">
        <v>1877</v>
      </c>
      <c r="B1878" s="6" t="s">
        <v>9</v>
      </c>
      <c r="C1878" s="7">
        <v>1884</v>
      </c>
      <c r="D1878" s="8">
        <v>45402</v>
      </c>
      <c r="E1878" s="9" t="str">
        <f>+HYPERLINK("http://trademark.i-assist.jp/data/china/image_1884th/76769372.pdf", "76769372")</f>
        <v>76769372</v>
      </c>
      <c r="F1878" s="6" t="s">
        <v>5005</v>
      </c>
      <c r="G1878" s="6" t="s">
        <v>4985</v>
      </c>
      <c r="H1878" s="8" t="s">
        <v>5006</v>
      </c>
      <c r="I1878" s="14">
        <v>45325</v>
      </c>
    </row>
    <row r="1879" spans="1:9" x14ac:dyDescent="0.15">
      <c r="A1879" s="5">
        <v>1878</v>
      </c>
      <c r="B1879" s="6" t="s">
        <v>9</v>
      </c>
      <c r="C1879" s="7">
        <v>1884</v>
      </c>
      <c r="D1879" s="8">
        <v>45402</v>
      </c>
      <c r="E1879" s="9" t="str">
        <f>+HYPERLINK("http://trademark.i-assist.jp/data/china/image_1884th/76769453.pdf", "76769453")</f>
        <v>76769453</v>
      </c>
      <c r="F1879" s="6" t="s">
        <v>5007</v>
      </c>
      <c r="G1879" s="6" t="s">
        <v>4956</v>
      </c>
      <c r="H1879" s="8" t="s">
        <v>5008</v>
      </c>
      <c r="I1879" s="14">
        <v>45325</v>
      </c>
    </row>
    <row r="1880" spans="1:9" x14ac:dyDescent="0.15">
      <c r="A1880" s="5">
        <v>1879</v>
      </c>
      <c r="B1880" s="6" t="s">
        <v>9</v>
      </c>
      <c r="C1880" s="7">
        <v>1884</v>
      </c>
      <c r="D1880" s="8">
        <v>45402</v>
      </c>
      <c r="E1880" s="9" t="str">
        <f>+HYPERLINK("http://trademark.i-assist.jp/data/china/image_1884th/76770117.pdf", "76770117")</f>
        <v>76770117</v>
      </c>
      <c r="F1880" s="6" t="s">
        <v>5010</v>
      </c>
      <c r="G1880" s="6" t="s">
        <v>5009</v>
      </c>
      <c r="H1880" s="8" t="s">
        <v>5011</v>
      </c>
      <c r="I1880" s="14">
        <v>45326</v>
      </c>
    </row>
    <row r="1881" spans="1:9" x14ac:dyDescent="0.15">
      <c r="A1881" s="5">
        <v>1880</v>
      </c>
      <c r="B1881" s="6" t="s">
        <v>9</v>
      </c>
      <c r="C1881" s="7">
        <v>1884</v>
      </c>
      <c r="D1881" s="8">
        <v>45402</v>
      </c>
      <c r="E1881" s="9" t="str">
        <f>+HYPERLINK("http://trademark.i-assist.jp/data/china/image_1884th/76770500.pdf", "76770500")</f>
        <v>76770500</v>
      </c>
      <c r="F1881" s="6" t="s">
        <v>5013</v>
      </c>
      <c r="G1881" s="6" t="s">
        <v>5012</v>
      </c>
      <c r="H1881" s="8" t="s">
        <v>5014</v>
      </c>
      <c r="I1881" s="14">
        <v>45326</v>
      </c>
    </row>
    <row r="1882" spans="1:9" x14ac:dyDescent="0.15">
      <c r="A1882" s="5">
        <v>1881</v>
      </c>
      <c r="B1882" s="6" t="s">
        <v>9</v>
      </c>
      <c r="C1882" s="7">
        <v>1884</v>
      </c>
      <c r="D1882" s="8">
        <v>45402</v>
      </c>
      <c r="E1882" s="9" t="str">
        <f>+HYPERLINK("http://trademark.i-assist.jp/data/china/image_1884th/76770508.pdf", "76770508")</f>
        <v>76770508</v>
      </c>
      <c r="F1882" s="6" t="s">
        <v>5016</v>
      </c>
      <c r="G1882" s="6" t="s">
        <v>5015</v>
      </c>
      <c r="H1882" s="8" t="s">
        <v>5017</v>
      </c>
      <c r="I1882" s="14">
        <v>45326</v>
      </c>
    </row>
    <row r="1883" spans="1:9" x14ac:dyDescent="0.15">
      <c r="A1883" s="5">
        <v>1882</v>
      </c>
      <c r="B1883" s="6" t="s">
        <v>9</v>
      </c>
      <c r="C1883" s="7">
        <v>1884</v>
      </c>
      <c r="D1883" s="8">
        <v>45402</v>
      </c>
      <c r="E1883" s="9" t="str">
        <f>+HYPERLINK("http://trademark.i-assist.jp/data/china/image_1884th/76770521.pdf", "76770521")</f>
        <v>76770521</v>
      </c>
      <c r="F1883" s="6" t="s">
        <v>5019</v>
      </c>
      <c r="G1883" s="6" t="s">
        <v>5018</v>
      </c>
      <c r="H1883" s="8" t="s">
        <v>5020</v>
      </c>
      <c r="I1883" s="14">
        <v>45326</v>
      </c>
    </row>
    <row r="1884" spans="1:9" x14ac:dyDescent="0.15">
      <c r="A1884" s="5">
        <v>1883</v>
      </c>
      <c r="B1884" s="6" t="s">
        <v>9</v>
      </c>
      <c r="C1884" s="7">
        <v>1884</v>
      </c>
      <c r="D1884" s="8">
        <v>45402</v>
      </c>
      <c r="E1884" s="9" t="str">
        <f>+HYPERLINK("http://trademark.i-assist.jp/data/china/image_1884th/76770652.pdf", "76770652")</f>
        <v>76770652</v>
      </c>
      <c r="F1884" s="6" t="s">
        <v>5022</v>
      </c>
      <c r="G1884" s="6" t="s">
        <v>5021</v>
      </c>
      <c r="H1884" s="8" t="s">
        <v>5023</v>
      </c>
      <c r="I1884" s="14">
        <v>45326</v>
      </c>
    </row>
    <row r="1885" spans="1:9" x14ac:dyDescent="0.15">
      <c r="A1885" s="5">
        <v>1884</v>
      </c>
      <c r="B1885" s="6" t="s">
        <v>9</v>
      </c>
      <c r="C1885" s="7">
        <v>1884</v>
      </c>
      <c r="D1885" s="8">
        <v>45402</v>
      </c>
      <c r="E1885" s="9" t="str">
        <f>+HYPERLINK("http://trademark.i-assist.jp/data/china/image_1884th/76771097.pdf", "76771097")</f>
        <v>76771097</v>
      </c>
      <c r="F1885" s="6" t="s">
        <v>5025</v>
      </c>
      <c r="G1885" s="6" t="s">
        <v>5024</v>
      </c>
      <c r="H1885" s="8" t="s">
        <v>5026</v>
      </c>
      <c r="I1885" s="14">
        <v>45326</v>
      </c>
    </row>
    <row r="1886" spans="1:9" x14ac:dyDescent="0.15">
      <c r="A1886" s="5">
        <v>1885</v>
      </c>
      <c r="B1886" s="6" t="s">
        <v>9</v>
      </c>
      <c r="C1886" s="7">
        <v>1884</v>
      </c>
      <c r="D1886" s="8">
        <v>45402</v>
      </c>
      <c r="E1886" s="9" t="str">
        <f>+HYPERLINK("http://trademark.i-assist.jp/data/china/image_1884th/76771356.pdf", "76771356")</f>
        <v>76771356</v>
      </c>
      <c r="F1886" s="6" t="s">
        <v>5028</v>
      </c>
      <c r="G1886" s="6" t="s">
        <v>5027</v>
      </c>
      <c r="H1886" s="8" t="s">
        <v>5029</v>
      </c>
      <c r="I1886" s="14">
        <v>45326</v>
      </c>
    </row>
    <row r="1887" spans="1:9" x14ac:dyDescent="0.15">
      <c r="A1887" s="5">
        <v>1886</v>
      </c>
      <c r="B1887" s="6" t="s">
        <v>9</v>
      </c>
      <c r="C1887" s="7">
        <v>1884</v>
      </c>
      <c r="D1887" s="8">
        <v>45402</v>
      </c>
      <c r="E1887" s="9" t="str">
        <f>+HYPERLINK("http://trademark.i-assist.jp/data/china/image_1884th/76771461.pdf", "76771461")</f>
        <v>76771461</v>
      </c>
      <c r="F1887" s="6" t="s">
        <v>5031</v>
      </c>
      <c r="G1887" s="6" t="s">
        <v>5030</v>
      </c>
      <c r="H1887" s="8" t="s">
        <v>5032</v>
      </c>
      <c r="I1887" s="14">
        <v>45326</v>
      </c>
    </row>
    <row r="1888" spans="1:9" x14ac:dyDescent="0.15">
      <c r="A1888" s="5">
        <v>1887</v>
      </c>
      <c r="B1888" s="6" t="s">
        <v>9</v>
      </c>
      <c r="C1888" s="7">
        <v>1884</v>
      </c>
      <c r="D1888" s="8">
        <v>45402</v>
      </c>
      <c r="E1888" s="9" t="str">
        <f>+HYPERLINK("http://trademark.i-assist.jp/data/china/image_1884th/76772021.pdf", "76772021")</f>
        <v>76772021</v>
      </c>
      <c r="F1888" s="6" t="s">
        <v>5034</v>
      </c>
      <c r="G1888" s="6" t="s">
        <v>5033</v>
      </c>
      <c r="H1888" s="8" t="s">
        <v>5035</v>
      </c>
      <c r="I1888" s="14">
        <v>45326</v>
      </c>
    </row>
    <row r="1889" spans="1:9" x14ac:dyDescent="0.15">
      <c r="A1889" s="5">
        <v>1888</v>
      </c>
      <c r="B1889" s="6" t="s">
        <v>9</v>
      </c>
      <c r="C1889" s="7">
        <v>1884</v>
      </c>
      <c r="D1889" s="8">
        <v>45402</v>
      </c>
      <c r="E1889" s="9" t="str">
        <f>+HYPERLINK("http://trademark.i-assist.jp/data/china/image_1884th/76772024.pdf", "76772024")</f>
        <v>76772024</v>
      </c>
      <c r="F1889" s="6" t="s">
        <v>5037</v>
      </c>
      <c r="G1889" s="6" t="s">
        <v>5036</v>
      </c>
      <c r="H1889" s="8" t="s">
        <v>5038</v>
      </c>
      <c r="I1889" s="14">
        <v>45326</v>
      </c>
    </row>
    <row r="1890" spans="1:9" x14ac:dyDescent="0.15">
      <c r="A1890" s="5">
        <v>1889</v>
      </c>
      <c r="B1890" s="6" t="s">
        <v>9</v>
      </c>
      <c r="C1890" s="7">
        <v>1884</v>
      </c>
      <c r="D1890" s="8">
        <v>45402</v>
      </c>
      <c r="E1890" s="9" t="str">
        <f>+HYPERLINK("http://trademark.i-assist.jp/data/china/image_1884th/76772218.pdf", "76772218")</f>
        <v>76772218</v>
      </c>
      <c r="F1890" s="6" t="s">
        <v>5040</v>
      </c>
      <c r="G1890" s="6" t="s">
        <v>5039</v>
      </c>
      <c r="H1890" s="8" t="s">
        <v>5041</v>
      </c>
      <c r="I1890" s="14">
        <v>45326</v>
      </c>
    </row>
    <row r="1891" spans="1:9" x14ac:dyDescent="0.15">
      <c r="A1891" s="5">
        <v>1890</v>
      </c>
      <c r="B1891" s="6" t="s">
        <v>9</v>
      </c>
      <c r="C1891" s="7">
        <v>1884</v>
      </c>
      <c r="D1891" s="8">
        <v>45402</v>
      </c>
      <c r="E1891" s="9" t="str">
        <f>+HYPERLINK("http://trademark.i-assist.jp/data/china/image_1884th/76772346.pdf", "76772346")</f>
        <v>76772346</v>
      </c>
      <c r="F1891" s="6" t="s">
        <v>5043</v>
      </c>
      <c r="G1891" s="6" t="s">
        <v>5042</v>
      </c>
      <c r="H1891" s="8" t="s">
        <v>5044</v>
      </c>
      <c r="I1891" s="14">
        <v>45326</v>
      </c>
    </row>
    <row r="1892" spans="1:9" x14ac:dyDescent="0.15">
      <c r="A1892" s="5">
        <v>1891</v>
      </c>
      <c r="B1892" s="6" t="s">
        <v>9</v>
      </c>
      <c r="C1892" s="7">
        <v>1884</v>
      </c>
      <c r="D1892" s="8">
        <v>45402</v>
      </c>
      <c r="E1892" s="9" t="str">
        <f>+HYPERLINK("http://trademark.i-assist.jp/data/china/image_1884th/76772853.pdf", "76772853")</f>
        <v>76772853</v>
      </c>
      <c r="F1892" s="6" t="s">
        <v>5046</v>
      </c>
      <c r="G1892" s="6" t="s">
        <v>5045</v>
      </c>
      <c r="H1892" s="8" t="s">
        <v>5047</v>
      </c>
      <c r="I1892" s="14">
        <v>45326</v>
      </c>
    </row>
    <row r="1893" spans="1:9" x14ac:dyDescent="0.15">
      <c r="A1893" s="5">
        <v>1892</v>
      </c>
      <c r="B1893" s="6" t="s">
        <v>9</v>
      </c>
      <c r="C1893" s="7">
        <v>1884</v>
      </c>
      <c r="D1893" s="8">
        <v>45402</v>
      </c>
      <c r="E1893" s="9" t="str">
        <f>+HYPERLINK("http://trademark.i-assist.jp/data/china/image_1884th/76773119.pdf", "76773119")</f>
        <v>76773119</v>
      </c>
      <c r="F1893" s="6" t="s">
        <v>5049</v>
      </c>
      <c r="G1893" s="6" t="s">
        <v>5048</v>
      </c>
      <c r="H1893" s="8" t="s">
        <v>5050</v>
      </c>
      <c r="I1893" s="14">
        <v>45326</v>
      </c>
    </row>
    <row r="1894" spans="1:9" x14ac:dyDescent="0.15">
      <c r="A1894" s="5">
        <v>1893</v>
      </c>
      <c r="B1894" s="6" t="s">
        <v>9</v>
      </c>
      <c r="C1894" s="7">
        <v>1884</v>
      </c>
      <c r="D1894" s="8">
        <v>45402</v>
      </c>
      <c r="E1894" s="9" t="str">
        <f>+HYPERLINK("http://trademark.i-assist.jp/data/china/image_1884th/76773256.pdf", "76773256")</f>
        <v>76773256</v>
      </c>
      <c r="F1894" s="6" t="s">
        <v>5052</v>
      </c>
      <c r="G1894" s="6" t="s">
        <v>5051</v>
      </c>
      <c r="H1894" s="8" t="s">
        <v>5053</v>
      </c>
      <c r="I1894" s="14">
        <v>45326</v>
      </c>
    </row>
    <row r="1895" spans="1:9" x14ac:dyDescent="0.15">
      <c r="A1895" s="5">
        <v>1894</v>
      </c>
      <c r="B1895" s="6" t="s">
        <v>9</v>
      </c>
      <c r="C1895" s="7">
        <v>1884</v>
      </c>
      <c r="D1895" s="8">
        <v>45402</v>
      </c>
      <c r="E1895" s="9" t="str">
        <f>+HYPERLINK("http://trademark.i-assist.jp/data/china/image_1884th/76774041.pdf", "76774041")</f>
        <v>76774041</v>
      </c>
      <c r="F1895" s="6" t="s">
        <v>5055</v>
      </c>
      <c r="G1895" s="6" t="s">
        <v>5054</v>
      </c>
      <c r="H1895" s="8" t="s">
        <v>5056</v>
      </c>
      <c r="I1895" s="14">
        <v>45326</v>
      </c>
    </row>
    <row r="1896" spans="1:9" x14ac:dyDescent="0.15">
      <c r="A1896" s="5">
        <v>1895</v>
      </c>
      <c r="B1896" s="6" t="s">
        <v>9</v>
      </c>
      <c r="C1896" s="7">
        <v>1884</v>
      </c>
      <c r="D1896" s="8">
        <v>45402</v>
      </c>
      <c r="E1896" s="9" t="str">
        <f>+HYPERLINK("http://trademark.i-assist.jp/data/china/image_1884th/76774552.pdf", "76774552")</f>
        <v>76774552</v>
      </c>
      <c r="F1896" s="6" t="s">
        <v>5058</v>
      </c>
      <c r="G1896" s="6" t="s">
        <v>5057</v>
      </c>
      <c r="H1896" s="8" t="s">
        <v>5059</v>
      </c>
      <c r="I1896" s="14">
        <v>45326</v>
      </c>
    </row>
    <row r="1897" spans="1:9" x14ac:dyDescent="0.15">
      <c r="A1897" s="5">
        <v>1896</v>
      </c>
      <c r="B1897" s="6" t="s">
        <v>9</v>
      </c>
      <c r="C1897" s="7">
        <v>1884</v>
      </c>
      <c r="D1897" s="8">
        <v>45402</v>
      </c>
      <c r="E1897" s="9" t="str">
        <f>+HYPERLINK("http://trademark.i-assist.jp/data/china/image_1884th/76774844.pdf", "76774844")</f>
        <v>76774844</v>
      </c>
      <c r="F1897" s="6" t="s">
        <v>5061</v>
      </c>
      <c r="G1897" s="6" t="s">
        <v>5060</v>
      </c>
      <c r="H1897" s="8" t="s">
        <v>5062</v>
      </c>
      <c r="I1897" s="14">
        <v>45326</v>
      </c>
    </row>
    <row r="1898" spans="1:9" x14ac:dyDescent="0.15">
      <c r="A1898" s="5">
        <v>1897</v>
      </c>
      <c r="B1898" s="6" t="s">
        <v>9</v>
      </c>
      <c r="C1898" s="7">
        <v>1884</v>
      </c>
      <c r="D1898" s="8">
        <v>45402</v>
      </c>
      <c r="E1898" s="9" t="str">
        <f>+HYPERLINK("http://trademark.i-assist.jp/data/china/image_1884th/76775505.pdf", "76775505")</f>
        <v>76775505</v>
      </c>
      <c r="F1898" s="6" t="s">
        <v>5064</v>
      </c>
      <c r="G1898" s="6" t="s">
        <v>5063</v>
      </c>
      <c r="H1898" s="8" t="s">
        <v>5065</v>
      </c>
      <c r="I1898" s="14">
        <v>45326</v>
      </c>
    </row>
    <row r="1899" spans="1:9" x14ac:dyDescent="0.15">
      <c r="A1899" s="5">
        <v>1898</v>
      </c>
      <c r="B1899" s="6" t="s">
        <v>9</v>
      </c>
      <c r="C1899" s="7">
        <v>1884</v>
      </c>
      <c r="D1899" s="8">
        <v>45402</v>
      </c>
      <c r="E1899" s="9" t="str">
        <f>+HYPERLINK("http://trademark.i-assist.jp/data/china/image_1884th/76775981.pdf", "76775981")</f>
        <v>76775981</v>
      </c>
      <c r="F1899" s="6" t="s">
        <v>5066</v>
      </c>
      <c r="G1899" s="6" t="s">
        <v>5009</v>
      </c>
      <c r="H1899" s="8" t="s">
        <v>5067</v>
      </c>
      <c r="I1899" s="14">
        <v>45326</v>
      </c>
    </row>
    <row r="1900" spans="1:9" x14ac:dyDescent="0.15">
      <c r="A1900" s="5">
        <v>1899</v>
      </c>
      <c r="B1900" s="6" t="s">
        <v>9</v>
      </c>
      <c r="C1900" s="7">
        <v>1884</v>
      </c>
      <c r="D1900" s="8">
        <v>45402</v>
      </c>
      <c r="E1900" s="9" t="str">
        <f>+HYPERLINK("http://trademark.i-assist.jp/data/china/image_1884th/76776307.pdf", "76776307")</f>
        <v>76776307</v>
      </c>
      <c r="F1900" s="6" t="s">
        <v>5069</v>
      </c>
      <c r="G1900" s="6" t="s">
        <v>5068</v>
      </c>
      <c r="H1900" s="8" t="s">
        <v>5070</v>
      </c>
      <c r="I1900" s="14">
        <v>45326</v>
      </c>
    </row>
    <row r="1901" spans="1:9" x14ac:dyDescent="0.15">
      <c r="A1901" s="5">
        <v>1900</v>
      </c>
      <c r="B1901" s="6" t="s">
        <v>9</v>
      </c>
      <c r="C1901" s="7">
        <v>1884</v>
      </c>
      <c r="D1901" s="8">
        <v>45402</v>
      </c>
      <c r="E1901" s="9" t="str">
        <f>+HYPERLINK("http://trademark.i-assist.jp/data/china/image_1884th/76776444.pdf", "76776444")</f>
        <v>76776444</v>
      </c>
      <c r="F1901" s="6" t="s">
        <v>5072</v>
      </c>
      <c r="G1901" s="6" t="s">
        <v>5071</v>
      </c>
      <c r="H1901" s="8" t="s">
        <v>5073</v>
      </c>
      <c r="I1901" s="14">
        <v>45326</v>
      </c>
    </row>
    <row r="1902" spans="1:9" x14ac:dyDescent="0.15">
      <c r="A1902" s="5">
        <v>1901</v>
      </c>
      <c r="B1902" s="6" t="s">
        <v>9</v>
      </c>
      <c r="C1902" s="7">
        <v>1884</v>
      </c>
      <c r="D1902" s="8">
        <v>45402</v>
      </c>
      <c r="E1902" s="9" t="str">
        <f>+HYPERLINK("http://trademark.i-assist.jp/data/china/image_1884th/76776604.pdf", "76776604")</f>
        <v>76776604</v>
      </c>
      <c r="F1902" s="6" t="s">
        <v>5075</v>
      </c>
      <c r="G1902" s="6" t="s">
        <v>5074</v>
      </c>
      <c r="H1902" s="8" t="s">
        <v>5076</v>
      </c>
      <c r="I1902" s="14">
        <v>45326</v>
      </c>
    </row>
    <row r="1903" spans="1:9" x14ac:dyDescent="0.15">
      <c r="A1903" s="5">
        <v>1902</v>
      </c>
      <c r="B1903" s="6" t="s">
        <v>9</v>
      </c>
      <c r="C1903" s="7">
        <v>1884</v>
      </c>
      <c r="D1903" s="8">
        <v>45402</v>
      </c>
      <c r="E1903" s="9" t="str">
        <f>+HYPERLINK("http://trademark.i-assist.jp/data/china/image_1884th/76776933.pdf", "76776933")</f>
        <v>76776933</v>
      </c>
      <c r="F1903" s="6" t="s">
        <v>5077</v>
      </c>
      <c r="G1903" s="6" t="s">
        <v>5057</v>
      </c>
      <c r="H1903" s="8" t="s">
        <v>5078</v>
      </c>
      <c r="I1903" s="14">
        <v>45326</v>
      </c>
    </row>
    <row r="1904" spans="1:9" x14ac:dyDescent="0.15">
      <c r="A1904" s="5">
        <v>1903</v>
      </c>
      <c r="B1904" s="6" t="s">
        <v>9</v>
      </c>
      <c r="C1904" s="7">
        <v>1884</v>
      </c>
      <c r="D1904" s="8">
        <v>45402</v>
      </c>
      <c r="E1904" s="9" t="str">
        <f>+HYPERLINK("http://trademark.i-assist.jp/data/china/image_1884th/76777335.pdf", "76777335")</f>
        <v>76777335</v>
      </c>
      <c r="F1904" s="6" t="s">
        <v>5080</v>
      </c>
      <c r="G1904" s="6" t="s">
        <v>5079</v>
      </c>
      <c r="H1904" s="8" t="s">
        <v>5081</v>
      </c>
      <c r="I1904" s="14">
        <v>45326</v>
      </c>
    </row>
    <row r="1905" spans="1:9" x14ac:dyDescent="0.15">
      <c r="A1905" s="5">
        <v>1904</v>
      </c>
      <c r="B1905" s="6" t="s">
        <v>9</v>
      </c>
      <c r="C1905" s="7">
        <v>1884</v>
      </c>
      <c r="D1905" s="8">
        <v>45402</v>
      </c>
      <c r="E1905" s="9" t="str">
        <f>+HYPERLINK("http://trademark.i-assist.jp/data/china/image_1884th/76778262.pdf", "76778262")</f>
        <v>76778262</v>
      </c>
      <c r="F1905" s="6" t="s">
        <v>5083</v>
      </c>
      <c r="G1905" s="6" t="s">
        <v>5082</v>
      </c>
      <c r="H1905" s="8" t="s">
        <v>5084</v>
      </c>
      <c r="I1905" s="14">
        <v>45326</v>
      </c>
    </row>
    <row r="1906" spans="1:9" x14ac:dyDescent="0.15">
      <c r="A1906" s="5">
        <v>1905</v>
      </c>
      <c r="B1906" s="6" t="s">
        <v>9</v>
      </c>
      <c r="C1906" s="7">
        <v>1884</v>
      </c>
      <c r="D1906" s="8">
        <v>45402</v>
      </c>
      <c r="E1906" s="9" t="str">
        <f>+HYPERLINK("http://trademark.i-assist.jp/data/china/image_1884th/76778990.pdf", "76778990")</f>
        <v>76778990</v>
      </c>
      <c r="F1906" s="6" t="s">
        <v>5085</v>
      </c>
      <c r="G1906" s="6" t="s">
        <v>5057</v>
      </c>
      <c r="H1906" s="8" t="s">
        <v>5086</v>
      </c>
      <c r="I1906" s="14">
        <v>45326</v>
      </c>
    </row>
    <row r="1907" spans="1:9" x14ac:dyDescent="0.15">
      <c r="A1907" s="5">
        <v>1906</v>
      </c>
      <c r="B1907" s="6" t="s">
        <v>9</v>
      </c>
      <c r="C1907" s="7">
        <v>1884</v>
      </c>
      <c r="D1907" s="8">
        <v>45402</v>
      </c>
      <c r="E1907" s="9" t="str">
        <f>+HYPERLINK("http://trademark.i-assist.jp/data/china/image_1884th/76779241.pdf", "76779241")</f>
        <v>76779241</v>
      </c>
      <c r="F1907" s="6" t="s">
        <v>5088</v>
      </c>
      <c r="G1907" s="6" t="s">
        <v>5087</v>
      </c>
      <c r="H1907" s="8" t="s">
        <v>5089</v>
      </c>
      <c r="I1907" s="14">
        <v>45326</v>
      </c>
    </row>
    <row r="1908" spans="1:9" x14ac:dyDescent="0.15">
      <c r="A1908" s="5">
        <v>1907</v>
      </c>
      <c r="B1908" s="6" t="s">
        <v>9</v>
      </c>
      <c r="C1908" s="7">
        <v>1884</v>
      </c>
      <c r="D1908" s="8">
        <v>45402</v>
      </c>
      <c r="E1908" s="9" t="str">
        <f>+HYPERLINK("http://trademark.i-assist.jp/data/china/image_1884th/76780248.pdf", "76780248")</f>
        <v>76780248</v>
      </c>
      <c r="F1908" s="6" t="s">
        <v>5091</v>
      </c>
      <c r="G1908" s="6" t="s">
        <v>5090</v>
      </c>
      <c r="H1908" s="8" t="s">
        <v>5092</v>
      </c>
      <c r="I1908" s="14">
        <v>45326</v>
      </c>
    </row>
    <row r="1909" spans="1:9" x14ac:dyDescent="0.15">
      <c r="A1909" s="5">
        <v>1908</v>
      </c>
      <c r="B1909" s="6" t="s">
        <v>9</v>
      </c>
      <c r="C1909" s="7">
        <v>1884</v>
      </c>
      <c r="D1909" s="8">
        <v>45402</v>
      </c>
      <c r="E1909" s="9" t="str">
        <f>+HYPERLINK("http://trademark.i-assist.jp/data/china/image_1884th/76780545.pdf", "76780545")</f>
        <v>76780545</v>
      </c>
      <c r="F1909" s="6" t="s">
        <v>5093</v>
      </c>
      <c r="G1909" s="6" t="s">
        <v>5057</v>
      </c>
      <c r="H1909" s="8" t="s">
        <v>5094</v>
      </c>
      <c r="I1909" s="14">
        <v>45326</v>
      </c>
    </row>
    <row r="1910" spans="1:9" x14ac:dyDescent="0.15">
      <c r="A1910" s="5">
        <v>1909</v>
      </c>
      <c r="B1910" s="6" t="s">
        <v>9</v>
      </c>
      <c r="C1910" s="7">
        <v>1884</v>
      </c>
      <c r="D1910" s="8">
        <v>45402</v>
      </c>
      <c r="E1910" s="9" t="str">
        <f>+HYPERLINK("http://trademark.i-assist.jp/data/china/image_1884th/76780873.pdf", "76780873")</f>
        <v>76780873</v>
      </c>
      <c r="F1910" s="6" t="s">
        <v>5096</v>
      </c>
      <c r="G1910" s="6" t="s">
        <v>5095</v>
      </c>
      <c r="H1910" s="8" t="s">
        <v>5097</v>
      </c>
      <c r="I1910" s="14">
        <v>45326</v>
      </c>
    </row>
    <row r="1911" spans="1:9" x14ac:dyDescent="0.15">
      <c r="A1911" s="5">
        <v>1910</v>
      </c>
      <c r="B1911" s="6" t="s">
        <v>9</v>
      </c>
      <c r="C1911" s="7">
        <v>1884</v>
      </c>
      <c r="D1911" s="8">
        <v>45402</v>
      </c>
      <c r="E1911" s="9" t="str">
        <f>+HYPERLINK("http://trademark.i-assist.jp/data/china/image_1884th/76781094.pdf", "76781094")</f>
        <v>76781094</v>
      </c>
      <c r="F1911" s="6" t="s">
        <v>5069</v>
      </c>
      <c r="G1911" s="6" t="s">
        <v>5068</v>
      </c>
      <c r="H1911" s="8" t="s">
        <v>5098</v>
      </c>
      <c r="I1911" s="14">
        <v>45326</v>
      </c>
    </row>
    <row r="1912" spans="1:9" x14ac:dyDescent="0.15">
      <c r="A1912" s="5">
        <v>1911</v>
      </c>
      <c r="B1912" s="6" t="s">
        <v>9</v>
      </c>
      <c r="C1912" s="7">
        <v>1884</v>
      </c>
      <c r="D1912" s="8">
        <v>45402</v>
      </c>
      <c r="E1912" s="9" t="str">
        <f>+HYPERLINK("http://trademark.i-assist.jp/data/china/image_1884th/76782011.pdf", "76782011")</f>
        <v>76782011</v>
      </c>
      <c r="F1912" s="6" t="s">
        <v>5100</v>
      </c>
      <c r="G1912" s="6" t="s">
        <v>5099</v>
      </c>
      <c r="H1912" s="8" t="s">
        <v>5101</v>
      </c>
      <c r="I1912" s="14">
        <v>45326</v>
      </c>
    </row>
    <row r="1913" spans="1:9" x14ac:dyDescent="0.15">
      <c r="A1913" s="5">
        <v>1912</v>
      </c>
      <c r="B1913" s="6" t="s">
        <v>9</v>
      </c>
      <c r="C1913" s="7">
        <v>1884</v>
      </c>
      <c r="D1913" s="8">
        <v>45402</v>
      </c>
      <c r="E1913" s="9" t="str">
        <f>+HYPERLINK("http://trademark.i-assist.jp/data/china/image_1884th/76783713.pdf", "76783713")</f>
        <v>76783713</v>
      </c>
      <c r="F1913" s="6" t="s">
        <v>5103</v>
      </c>
      <c r="G1913" s="6" t="s">
        <v>5102</v>
      </c>
      <c r="H1913" s="8" t="s">
        <v>5104</v>
      </c>
      <c r="I1913" s="14">
        <v>45326</v>
      </c>
    </row>
    <row r="1914" spans="1:9" x14ac:dyDescent="0.15">
      <c r="A1914" s="5">
        <v>1913</v>
      </c>
      <c r="B1914" s="6" t="s">
        <v>9</v>
      </c>
      <c r="C1914" s="7">
        <v>1884</v>
      </c>
      <c r="D1914" s="8">
        <v>45402</v>
      </c>
      <c r="E1914" s="9" t="str">
        <f>+HYPERLINK("http://trademark.i-assist.jp/data/china/image_1884th/76783968.pdf", "76783968")</f>
        <v>76783968</v>
      </c>
      <c r="F1914" s="6" t="s">
        <v>5106</v>
      </c>
      <c r="G1914" s="6" t="s">
        <v>5105</v>
      </c>
      <c r="H1914" s="8" t="s">
        <v>5107</v>
      </c>
      <c r="I1914" s="14">
        <v>45326</v>
      </c>
    </row>
    <row r="1915" spans="1:9" x14ac:dyDescent="0.15">
      <c r="A1915" s="5">
        <v>1914</v>
      </c>
      <c r="B1915" s="6" t="s">
        <v>9</v>
      </c>
      <c r="C1915" s="7">
        <v>1884</v>
      </c>
      <c r="D1915" s="8">
        <v>45402</v>
      </c>
      <c r="E1915" s="9" t="str">
        <f>+HYPERLINK("http://trademark.i-assist.jp/data/china/image_1884th/76784818.pdf", "76784818")</f>
        <v>76784818</v>
      </c>
      <c r="F1915" s="6" t="s">
        <v>5109</v>
      </c>
      <c r="G1915" s="6" t="s">
        <v>5108</v>
      </c>
      <c r="H1915" s="8" t="s">
        <v>5110</v>
      </c>
      <c r="I1915" s="14">
        <v>45326</v>
      </c>
    </row>
    <row r="1916" spans="1:9" x14ac:dyDescent="0.15">
      <c r="A1916" s="5">
        <v>1915</v>
      </c>
      <c r="B1916" s="6" t="s">
        <v>9</v>
      </c>
      <c r="C1916" s="7">
        <v>1884</v>
      </c>
      <c r="D1916" s="8">
        <v>45402</v>
      </c>
      <c r="E1916" s="9" t="str">
        <f>+HYPERLINK("http://trademark.i-assist.jp/data/china/image_1884th/76785362.pdf", "76785362")</f>
        <v>76785362</v>
      </c>
      <c r="F1916" s="6" t="s">
        <v>5112</v>
      </c>
      <c r="G1916" s="6" t="s">
        <v>5111</v>
      </c>
      <c r="H1916" s="8" t="s">
        <v>5113</v>
      </c>
      <c r="I1916" s="14">
        <v>45326</v>
      </c>
    </row>
    <row r="1917" spans="1:9" x14ac:dyDescent="0.15">
      <c r="A1917" s="5">
        <v>1916</v>
      </c>
      <c r="B1917" s="6" t="s">
        <v>9</v>
      </c>
      <c r="C1917" s="7">
        <v>1884</v>
      </c>
      <c r="D1917" s="8">
        <v>45402</v>
      </c>
      <c r="E1917" s="9" t="str">
        <f>+HYPERLINK("http://trademark.i-assist.jp/data/china/image_1884th/76785446.pdf", "76785446")</f>
        <v>76785446</v>
      </c>
      <c r="F1917" s="6" t="s">
        <v>5114</v>
      </c>
      <c r="G1917" s="6" t="s">
        <v>5099</v>
      </c>
      <c r="H1917" s="8" t="s">
        <v>5115</v>
      </c>
      <c r="I1917" s="14">
        <v>45326</v>
      </c>
    </row>
    <row r="1918" spans="1:9" x14ac:dyDescent="0.15">
      <c r="A1918" s="5">
        <v>1917</v>
      </c>
      <c r="B1918" s="6" t="s">
        <v>9</v>
      </c>
      <c r="C1918" s="7">
        <v>1884</v>
      </c>
      <c r="D1918" s="8">
        <v>45402</v>
      </c>
      <c r="E1918" s="9" t="str">
        <f>+HYPERLINK("http://trademark.i-assist.jp/data/china/image_1884th/76786703.pdf", "76786703")</f>
        <v>76786703</v>
      </c>
      <c r="F1918" s="6" t="s">
        <v>5117</v>
      </c>
      <c r="G1918" s="6" t="s">
        <v>5116</v>
      </c>
      <c r="H1918" s="8" t="s">
        <v>5118</v>
      </c>
      <c r="I1918" s="14">
        <v>45327</v>
      </c>
    </row>
    <row r="1919" spans="1:9" x14ac:dyDescent="0.15">
      <c r="A1919" s="5">
        <v>1918</v>
      </c>
      <c r="B1919" s="6" t="s">
        <v>9</v>
      </c>
      <c r="C1919" s="7">
        <v>1884</v>
      </c>
      <c r="D1919" s="8">
        <v>45402</v>
      </c>
      <c r="E1919" s="9" t="str">
        <f>+HYPERLINK("http://trademark.i-assist.jp/data/china/image_1884th/76872289.pdf", "76872289")</f>
        <v>76872289</v>
      </c>
      <c r="F1919" s="6" t="s">
        <v>5120</v>
      </c>
      <c r="G1919" s="6" t="s">
        <v>5119</v>
      </c>
      <c r="H1919" s="8" t="s">
        <v>5121</v>
      </c>
      <c r="I1919" s="14">
        <v>45342</v>
      </c>
    </row>
    <row r="1920" spans="1:9" x14ac:dyDescent="0.15">
      <c r="A1920" s="5">
        <v>1919</v>
      </c>
      <c r="B1920" s="6" t="s">
        <v>9</v>
      </c>
      <c r="C1920" s="7">
        <v>1884</v>
      </c>
      <c r="D1920" s="8">
        <v>45402</v>
      </c>
      <c r="E1920" s="9" t="str">
        <f>+HYPERLINK("http://trademark.i-assist.jp/data/china/image_1884th/76881025.pdf", "76881025")</f>
        <v>76881025</v>
      </c>
      <c r="F1920" s="6" t="s">
        <v>5123</v>
      </c>
      <c r="G1920" s="6" t="s">
        <v>5122</v>
      </c>
      <c r="H1920" s="8" t="s">
        <v>5124</v>
      </c>
      <c r="I1920" s="14">
        <v>45342</v>
      </c>
    </row>
    <row r="1921" spans="1:9" x14ac:dyDescent="0.15">
      <c r="A1921" s="5">
        <v>1920</v>
      </c>
      <c r="B1921" s="6" t="s">
        <v>9</v>
      </c>
      <c r="C1921" s="7">
        <v>1884</v>
      </c>
      <c r="D1921" s="8">
        <v>45402</v>
      </c>
      <c r="E1921" s="9" t="str">
        <f>+HYPERLINK("http://trademark.i-assist.jp/data/china/image_1884th/76881237.pdf", "76881237")</f>
        <v>76881237</v>
      </c>
      <c r="F1921" s="6" t="s">
        <v>5125</v>
      </c>
      <c r="G1921" s="6" t="s">
        <v>5122</v>
      </c>
      <c r="H1921" s="8" t="s">
        <v>5126</v>
      </c>
      <c r="I1921" s="14">
        <v>45342</v>
      </c>
    </row>
    <row r="1922" spans="1:9" x14ac:dyDescent="0.15">
      <c r="A1922" s="5">
        <v>1921</v>
      </c>
      <c r="B1922" s="6" t="s">
        <v>9</v>
      </c>
      <c r="C1922" s="7">
        <v>1884</v>
      </c>
      <c r="D1922" s="8">
        <v>45402</v>
      </c>
      <c r="E1922" s="9" t="str">
        <f>+HYPERLINK("http://trademark.i-assist.jp/data/china/image_1884th/76888440.pdf", "76888440")</f>
        <v>76888440</v>
      </c>
      <c r="F1922" s="6" t="s">
        <v>5128</v>
      </c>
      <c r="G1922" s="6" t="s">
        <v>5127</v>
      </c>
      <c r="H1922" s="8" t="s">
        <v>5129</v>
      </c>
      <c r="I1922" s="14">
        <v>45343</v>
      </c>
    </row>
    <row r="1923" spans="1:9" x14ac:dyDescent="0.15">
      <c r="A1923" s="5">
        <v>1922</v>
      </c>
      <c r="B1923" s="6" t="s">
        <v>9</v>
      </c>
      <c r="C1923" s="7">
        <v>1884</v>
      </c>
      <c r="D1923" s="8">
        <v>45402</v>
      </c>
      <c r="E1923" s="9" t="str">
        <f>+HYPERLINK("http://trademark.i-assist.jp/data/china/image_1884th/76900546.pdf", "76900546")</f>
        <v>76900546</v>
      </c>
      <c r="F1923" s="6" t="s">
        <v>5131</v>
      </c>
      <c r="G1923" s="6" t="s">
        <v>5130</v>
      </c>
      <c r="H1923" s="8" t="s">
        <v>5132</v>
      </c>
      <c r="I1923" s="14">
        <v>45344</v>
      </c>
    </row>
    <row r="1924" spans="1:9" x14ac:dyDescent="0.15">
      <c r="A1924" s="5">
        <v>1923</v>
      </c>
      <c r="B1924" s="6" t="s">
        <v>9</v>
      </c>
      <c r="C1924" s="7">
        <v>1884</v>
      </c>
      <c r="D1924" s="8">
        <v>45402</v>
      </c>
      <c r="E1924" s="9" t="str">
        <f>+HYPERLINK("http://trademark.i-assist.jp/data/china/image_1884th/76903197.pdf", "76903197")</f>
        <v>76903197</v>
      </c>
      <c r="F1924" s="6" t="s">
        <v>5134</v>
      </c>
      <c r="G1924" s="6" t="s">
        <v>5133</v>
      </c>
      <c r="H1924" s="8" t="s">
        <v>5135</v>
      </c>
      <c r="I1924" s="14">
        <v>45344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1884th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2025-01-08T03:03:31Z</dcterms:modified>
</cp:coreProperties>
</file>